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убликации\Fire\Рабочие\Новые\"/>
    </mc:Choice>
  </mc:AlternateContent>
  <bookViews>
    <workbookView xWindow="0" yWindow="0" windowWidth="38400" windowHeight="17734"/>
  </bookViews>
  <sheets>
    <sheet name="Лист1" sheetId="2" r:id="rId1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B30" i="2" l="1"/>
  <c r="B36" i="2" l="1"/>
  <c r="AA26" i="2"/>
  <c r="Y28" i="2"/>
  <c r="C26" i="2" l="1"/>
  <c r="C27" i="2" s="1"/>
  <c r="D26" i="2"/>
  <c r="D27" i="2" s="1"/>
  <c r="E26" i="2"/>
  <c r="E27" i="2" s="1"/>
  <c r="F26" i="2"/>
  <c r="F27" i="2" s="1"/>
  <c r="G26" i="2"/>
  <c r="G27" i="2" s="1"/>
  <c r="H26" i="2"/>
  <c r="H27" i="2" s="1"/>
  <c r="I26" i="2"/>
  <c r="I27" i="2" s="1"/>
  <c r="J26" i="2"/>
  <c r="J27" i="2" s="1"/>
  <c r="K26" i="2"/>
  <c r="K27" i="2" s="1"/>
  <c r="L26" i="2"/>
  <c r="L27" i="2" s="1"/>
  <c r="M26" i="2"/>
  <c r="M27" i="2" s="1"/>
  <c r="N26" i="2"/>
  <c r="N27" i="2" s="1"/>
  <c r="O26" i="2"/>
  <c r="O27" i="2" s="1"/>
  <c r="P26" i="2"/>
  <c r="Q26" i="2"/>
  <c r="Q27" i="2" s="1"/>
  <c r="R26" i="2"/>
  <c r="R27" i="2" s="1"/>
  <c r="S26" i="2"/>
  <c r="S27" i="2" s="1"/>
  <c r="T26" i="2"/>
  <c r="T27" i="2" s="1"/>
  <c r="U26" i="2"/>
  <c r="U27" i="2" s="1"/>
  <c r="V26" i="2"/>
  <c r="V27" i="2" s="1"/>
  <c r="W26" i="2"/>
  <c r="X26" i="2"/>
  <c r="X27" i="2" s="1"/>
  <c r="B26" i="2"/>
  <c r="B27" i="2" s="1"/>
  <c r="B28" i="2" l="1"/>
  <c r="M28" i="2"/>
  <c r="P27" i="2"/>
  <c r="K28" i="2"/>
  <c r="J28" i="2"/>
  <c r="G28" i="2"/>
  <c r="E28" i="2"/>
  <c r="C28" i="2"/>
  <c r="AA8" i="2"/>
  <c r="Y10" i="2"/>
  <c r="Z10" i="2" s="1"/>
  <c r="Y11" i="2"/>
  <c r="Y12" i="2"/>
  <c r="Z12" i="2" s="1"/>
  <c r="Y13" i="2"/>
  <c r="Z13" i="2" s="1"/>
  <c r="Y14" i="2"/>
  <c r="Z14" i="2" s="1"/>
  <c r="Y15" i="2"/>
  <c r="Z15" i="2" s="1"/>
  <c r="Y16" i="2"/>
  <c r="Z16" i="2" s="1"/>
  <c r="Y17" i="2"/>
  <c r="Z17" i="2" s="1"/>
  <c r="Y18" i="2"/>
  <c r="Z18" i="2" s="1"/>
  <c r="Y19" i="2"/>
  <c r="Z19" i="2" s="1"/>
  <c r="Y20" i="2"/>
  <c r="Z20" i="2" s="1"/>
  <c r="Y21" i="2"/>
  <c r="Z21" i="2" s="1"/>
  <c r="Y22" i="2"/>
  <c r="Z22" i="2" s="1"/>
  <c r="Y23" i="2"/>
  <c r="Z23" i="2" s="1"/>
  <c r="Y24" i="2"/>
  <c r="Z24" i="2" s="1"/>
  <c r="Y25" i="2"/>
  <c r="Z25" i="2" s="1"/>
  <c r="Y6" i="2"/>
  <c r="Z6" i="2" s="1"/>
  <c r="Y7" i="2"/>
  <c r="Z7" i="2" s="1"/>
  <c r="Y8" i="2"/>
  <c r="Z8" i="2" s="1"/>
  <c r="Y5" i="2"/>
  <c r="Z5" i="2" s="1"/>
  <c r="Y4" i="2"/>
  <c r="Z4" i="2" s="1"/>
  <c r="Y3" i="2"/>
  <c r="Z3" i="2" s="1"/>
  <c r="W27" i="2"/>
  <c r="F28" i="2"/>
  <c r="S28" i="2"/>
  <c r="G30" i="2" l="1"/>
  <c r="AA11" i="2"/>
  <c r="Z11" i="2"/>
  <c r="AA4" i="2"/>
  <c r="AA23" i="2"/>
  <c r="AA21" i="2"/>
  <c r="AA20" i="2"/>
  <c r="J30" i="2"/>
  <c r="AA12" i="2"/>
  <c r="K30" i="2" s="1"/>
  <c r="AA3" i="2"/>
  <c r="C30" i="2"/>
  <c r="S30" i="2"/>
  <c r="AA6" i="2"/>
  <c r="E30" i="2" s="1"/>
  <c r="V28" i="2"/>
  <c r="AA7" i="2"/>
  <c r="F30" i="2" s="1"/>
  <c r="AA18" i="2"/>
  <c r="Y9" i="2"/>
  <c r="Z9" i="2" s="1"/>
  <c r="AA14" i="2"/>
  <c r="AA16" i="2"/>
  <c r="X28" i="2"/>
  <c r="O28" i="2"/>
  <c r="Q28" i="2"/>
  <c r="V30" i="2" l="1"/>
  <c r="Y26" i="2"/>
  <c r="O30" i="2"/>
  <c r="M30" i="2"/>
  <c r="AA25" i="2"/>
  <c r="X30" i="2" s="1"/>
  <c r="Q30" i="2"/>
  <c r="AA24" i="2" l="1"/>
  <c r="AA22" i="2"/>
  <c r="AA19" i="2"/>
  <c r="AA17" i="2"/>
  <c r="AA15" i="2"/>
  <c r="AA13" i="2"/>
  <c r="AA10" i="2"/>
  <c r="AA9" i="2"/>
  <c r="AA5" i="2"/>
  <c r="R28" i="2" l="1"/>
  <c r="R30" i="2" s="1"/>
  <c r="N28" i="2"/>
  <c r="N30" i="2" s="1"/>
  <c r="T28" i="2"/>
  <c r="T30" i="2" s="1"/>
  <c r="W28" i="2"/>
  <c r="W30" i="2" s="1"/>
  <c r="U28" i="2"/>
  <c r="U30" i="2" s="1"/>
  <c r="P28" i="2"/>
  <c r="P30" i="2" s="1"/>
  <c r="L28" i="2"/>
  <c r="L30" i="2" s="1"/>
  <c r="H28" i="2"/>
  <c r="H30" i="2" s="1"/>
  <c r="I28" i="2"/>
  <c r="I30" i="2" s="1"/>
  <c r="D28" i="2"/>
  <c r="D30" i="2" s="1"/>
  <c r="Y30" i="2" s="1"/>
  <c r="B34" i="2" s="1"/>
</calcChain>
</file>

<file path=xl/sharedStrings.xml><?xml version="1.0" encoding="utf-8"?>
<sst xmlns="http://schemas.openxmlformats.org/spreadsheetml/2006/main" count="14" uniqueCount="12">
  <si>
    <t>Total</t>
  </si>
  <si>
    <t>UA</t>
  </si>
  <si>
    <t>PA</t>
  </si>
  <si>
    <t>Overall accuracy</t>
  </si>
  <si>
    <t xml:space="preserve">Kappa </t>
  </si>
  <si>
    <t>User's accuracy</t>
  </si>
  <si>
    <t xml:space="preserve">Comission error </t>
  </si>
  <si>
    <t>Omissison error</t>
  </si>
  <si>
    <t>F-score</t>
  </si>
  <si>
    <t>Producer's accuracy (PA)</t>
  </si>
  <si>
    <t>Years</t>
  </si>
  <si>
    <t>Table S1. Condusion matrix for accuracy assessment of BA detection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</si>
</sst>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2" fontId="0" fillId="0" borderId="0" xfId="0" applyNumberFormat="1"/>
    <xf numFmtId="10" fontId="0" fillId="0" borderId="0" xfId="0" applyNumberFormat="1"/>
    <xf numFmtId="10" fontId="0" fillId="0" borderId="0" xfId="42" applyNumberFormat="1" applyFont="1"/>
    <xf numFmtId="0" fontId="6" fillId="2" borderId="0" xfId="6"/>
    <xf numFmtId="164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9" fontId="0" fillId="0" borderId="0" xfId="0" applyNumberFormat="1"/>
    <xf numFmtId="0" fontId="16" fillId="0" borderId="0" xfId="0" applyFon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оцентный" xfId="42" builtinId="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topLeftCell="A16" workbookViewId="0">
      <selection activeCell="L7" sqref="L7"/>
    </sheetView>
  </sheetViews>
  <sheetFormatPr defaultRowHeight="14.6" x14ac:dyDescent="0.4"/>
  <cols>
    <col min="1" max="1" width="21.07421875" customWidth="1"/>
    <col min="3" max="3" width="9.53515625" bestFit="1" customWidth="1"/>
    <col min="8" max="8" width="8.84375" customWidth="1"/>
    <col min="21" max="22" width="9.69140625" customWidth="1"/>
    <col min="23" max="23" width="11.84375" customWidth="1"/>
    <col min="24" max="24" width="12.53515625" bestFit="1" customWidth="1"/>
    <col min="26" max="26" width="14.765625" customWidth="1"/>
    <col min="27" max="27" width="16.61328125" customWidth="1"/>
    <col min="29" max="29" width="16.15234375" customWidth="1"/>
  </cols>
  <sheetData>
    <row r="1" spans="1:27" x14ac:dyDescent="0.4">
      <c r="B1" s="8" t="s">
        <v>11</v>
      </c>
      <c r="C1" s="8"/>
      <c r="D1" s="8"/>
      <c r="E1" s="8"/>
      <c r="F1" s="8"/>
      <c r="G1" s="8"/>
    </row>
    <row r="2" spans="1:27" x14ac:dyDescent="0.4">
      <c r="A2" t="s">
        <v>10</v>
      </c>
      <c r="B2">
        <v>2000</v>
      </c>
      <c r="C2">
        <v>2001</v>
      </c>
      <c r="D2">
        <v>2002</v>
      </c>
      <c r="E2">
        <v>2003</v>
      </c>
      <c r="F2">
        <v>2004</v>
      </c>
      <c r="G2">
        <v>2005</v>
      </c>
      <c r="H2">
        <v>2006</v>
      </c>
      <c r="I2">
        <v>2007</v>
      </c>
      <c r="J2">
        <v>2008</v>
      </c>
      <c r="K2">
        <v>2009</v>
      </c>
      <c r="L2">
        <v>2010</v>
      </c>
      <c r="M2">
        <v>2011</v>
      </c>
      <c r="N2">
        <v>2012</v>
      </c>
      <c r="O2">
        <v>2013</v>
      </c>
      <c r="P2">
        <v>2014</v>
      </c>
      <c r="Q2">
        <v>2015</v>
      </c>
      <c r="R2">
        <v>2016</v>
      </c>
      <c r="S2">
        <v>2017</v>
      </c>
      <c r="T2">
        <v>2018</v>
      </c>
      <c r="U2">
        <v>2019</v>
      </c>
      <c r="V2">
        <v>2020</v>
      </c>
      <c r="W2">
        <v>2021</v>
      </c>
      <c r="X2">
        <v>2022</v>
      </c>
      <c r="Y2" s="6" t="s">
        <v>0</v>
      </c>
      <c r="Z2" t="s">
        <v>6</v>
      </c>
      <c r="AA2" s="6" t="s">
        <v>5</v>
      </c>
    </row>
    <row r="3" spans="1:27" x14ac:dyDescent="0.4">
      <c r="A3">
        <v>2000</v>
      </c>
      <c r="B3" s="4">
        <v>228</v>
      </c>
      <c r="C3">
        <v>2</v>
      </c>
      <c r="D3">
        <v>5</v>
      </c>
      <c r="E3">
        <v>6</v>
      </c>
      <c r="F3">
        <v>5</v>
      </c>
      <c r="G3">
        <v>9</v>
      </c>
      <c r="H3">
        <v>5</v>
      </c>
      <c r="I3">
        <v>2</v>
      </c>
      <c r="J3">
        <v>7</v>
      </c>
      <c r="K3">
        <v>4</v>
      </c>
      <c r="L3">
        <v>25</v>
      </c>
      <c r="O3">
        <v>4</v>
      </c>
      <c r="S3">
        <v>4</v>
      </c>
      <c r="T3">
        <v>2</v>
      </c>
      <c r="Y3">
        <f t="shared" ref="Y3:Y25" si="0">SUM(B3:X3)</f>
        <v>308</v>
      </c>
      <c r="Z3" s="3">
        <f>80/Y3</f>
        <v>0.25974025974025972</v>
      </c>
      <c r="AA3" s="3">
        <f>B3/Y3</f>
        <v>0.74025974025974028</v>
      </c>
    </row>
    <row r="4" spans="1:27" x14ac:dyDescent="0.4">
      <c r="A4">
        <v>2001</v>
      </c>
      <c r="B4">
        <v>2</v>
      </c>
      <c r="C4" s="4">
        <v>268</v>
      </c>
      <c r="D4">
        <v>4</v>
      </c>
      <c r="H4">
        <v>1</v>
      </c>
      <c r="I4">
        <v>3</v>
      </c>
      <c r="J4">
        <v>27</v>
      </c>
      <c r="K4">
        <v>2</v>
      </c>
      <c r="L4">
        <v>33</v>
      </c>
      <c r="M4">
        <v>2</v>
      </c>
      <c r="N4">
        <v>7</v>
      </c>
      <c r="O4">
        <v>5</v>
      </c>
      <c r="Q4">
        <v>5</v>
      </c>
      <c r="S4">
        <v>5</v>
      </c>
      <c r="W4">
        <v>1</v>
      </c>
      <c r="X4">
        <v>6</v>
      </c>
      <c r="Y4">
        <f t="shared" si="0"/>
        <v>371</v>
      </c>
      <c r="Z4" s="3">
        <f>101/Y4</f>
        <v>0.27223719676549868</v>
      </c>
      <c r="AA4" s="3">
        <f>C4/Y4</f>
        <v>0.72237196765498657</v>
      </c>
    </row>
    <row r="5" spans="1:27" x14ac:dyDescent="0.4">
      <c r="A5">
        <v>2002</v>
      </c>
      <c r="C5">
        <v>12</v>
      </c>
      <c r="D5" s="4">
        <v>786</v>
      </c>
      <c r="E5">
        <v>9</v>
      </c>
      <c r="F5">
        <v>10</v>
      </c>
      <c r="S5">
        <v>10</v>
      </c>
      <c r="U5">
        <v>8</v>
      </c>
      <c r="X5">
        <v>11</v>
      </c>
      <c r="Y5">
        <f t="shared" si="0"/>
        <v>846</v>
      </c>
      <c r="Z5" s="2">
        <f>60/Y5</f>
        <v>7.0921985815602842E-2</v>
      </c>
      <c r="AA5" s="2">
        <f>D5/Y5</f>
        <v>0.92907801418439717</v>
      </c>
    </row>
    <row r="6" spans="1:27" x14ac:dyDescent="0.4">
      <c r="A6">
        <v>2003</v>
      </c>
      <c r="B6">
        <v>17</v>
      </c>
      <c r="C6">
        <v>10</v>
      </c>
      <c r="D6">
        <v>5</v>
      </c>
      <c r="E6" s="4">
        <v>293</v>
      </c>
      <c r="F6">
        <v>3</v>
      </c>
      <c r="G6">
        <v>8</v>
      </c>
      <c r="H6">
        <v>2</v>
      </c>
      <c r="I6">
        <v>9</v>
      </c>
      <c r="J6">
        <v>7</v>
      </c>
      <c r="K6">
        <v>5</v>
      </c>
      <c r="L6">
        <v>22</v>
      </c>
      <c r="Q6">
        <v>3</v>
      </c>
      <c r="R6">
        <v>2</v>
      </c>
      <c r="S6">
        <v>12</v>
      </c>
      <c r="T6">
        <v>2</v>
      </c>
      <c r="U6">
        <v>1</v>
      </c>
      <c r="W6">
        <v>1</v>
      </c>
      <c r="X6">
        <v>10</v>
      </c>
      <c r="Y6">
        <f t="shared" si="0"/>
        <v>412</v>
      </c>
      <c r="Z6" s="2">
        <f>119/Y6</f>
        <v>0.28883495145631066</v>
      </c>
      <c r="AA6" s="2">
        <f>E6/Y6</f>
        <v>0.71116504854368934</v>
      </c>
    </row>
    <row r="7" spans="1:27" x14ac:dyDescent="0.4">
      <c r="A7">
        <v>2004</v>
      </c>
      <c r="B7">
        <v>2</v>
      </c>
      <c r="C7">
        <v>4</v>
      </c>
      <c r="D7">
        <v>3</v>
      </c>
      <c r="E7">
        <v>1</v>
      </c>
      <c r="F7" s="4">
        <v>314</v>
      </c>
      <c r="G7">
        <v>2</v>
      </c>
      <c r="H7">
        <v>1</v>
      </c>
      <c r="I7">
        <v>3</v>
      </c>
      <c r="J7">
        <v>1</v>
      </c>
      <c r="K7">
        <v>4</v>
      </c>
      <c r="L7">
        <v>9</v>
      </c>
      <c r="N7">
        <v>2</v>
      </c>
      <c r="P7">
        <v>3</v>
      </c>
      <c r="S7">
        <v>5</v>
      </c>
      <c r="T7">
        <v>3</v>
      </c>
      <c r="V7">
        <v>12</v>
      </c>
      <c r="X7">
        <v>1</v>
      </c>
      <c r="Y7">
        <f t="shared" si="0"/>
        <v>370</v>
      </c>
      <c r="Z7" s="2">
        <f>56/Y7</f>
        <v>0.15135135135135136</v>
      </c>
      <c r="AA7" s="2">
        <f>F7/Y7</f>
        <v>0.84864864864864864</v>
      </c>
    </row>
    <row r="8" spans="1:27" x14ac:dyDescent="0.4">
      <c r="A8">
        <v>2005</v>
      </c>
      <c r="B8">
        <v>2</v>
      </c>
      <c r="D8">
        <v>3</v>
      </c>
      <c r="E8">
        <v>1</v>
      </c>
      <c r="G8" s="4">
        <v>90</v>
      </c>
      <c r="L8">
        <v>5</v>
      </c>
      <c r="S8">
        <v>2</v>
      </c>
      <c r="T8">
        <v>4</v>
      </c>
      <c r="U8">
        <v>2</v>
      </c>
      <c r="Y8">
        <f t="shared" si="0"/>
        <v>109</v>
      </c>
      <c r="Z8" s="2">
        <f>19/Y8</f>
        <v>0.1743119266055046</v>
      </c>
      <c r="AA8" s="2">
        <f>G8/Y8</f>
        <v>0.82568807339449546</v>
      </c>
    </row>
    <row r="9" spans="1:27" x14ac:dyDescent="0.4">
      <c r="A9">
        <v>2006</v>
      </c>
      <c r="H9" s="4">
        <v>67</v>
      </c>
      <c r="L9">
        <v>3</v>
      </c>
      <c r="P9">
        <v>1</v>
      </c>
      <c r="S9">
        <v>2</v>
      </c>
      <c r="Y9">
        <f t="shared" si="0"/>
        <v>73</v>
      </c>
      <c r="Z9" s="2">
        <f>6/Y9</f>
        <v>8.2191780821917804E-2</v>
      </c>
      <c r="AA9" s="2">
        <f>H9/Y9</f>
        <v>0.9178082191780822</v>
      </c>
    </row>
    <row r="10" spans="1:27" x14ac:dyDescent="0.4">
      <c r="A10">
        <v>2007</v>
      </c>
      <c r="D10">
        <v>3</v>
      </c>
      <c r="I10" s="4">
        <v>69</v>
      </c>
      <c r="L10">
        <v>8</v>
      </c>
      <c r="Y10">
        <f t="shared" si="0"/>
        <v>80</v>
      </c>
      <c r="Z10" s="2">
        <f>11/Y10</f>
        <v>0.13750000000000001</v>
      </c>
      <c r="AA10" s="2">
        <f>I10/Y10</f>
        <v>0.86250000000000004</v>
      </c>
    </row>
    <row r="11" spans="1:27" x14ac:dyDescent="0.4">
      <c r="A11">
        <v>2008</v>
      </c>
      <c r="C11">
        <v>2</v>
      </c>
      <c r="D11">
        <v>16</v>
      </c>
      <c r="F11">
        <v>2</v>
      </c>
      <c r="G11">
        <v>2</v>
      </c>
      <c r="H11">
        <v>8</v>
      </c>
      <c r="J11" s="4">
        <v>206</v>
      </c>
      <c r="K11">
        <v>2</v>
      </c>
      <c r="L11">
        <v>26</v>
      </c>
      <c r="N11">
        <v>3</v>
      </c>
      <c r="P11">
        <v>4</v>
      </c>
      <c r="X11">
        <v>1</v>
      </c>
      <c r="Y11">
        <f t="shared" si="0"/>
        <v>272</v>
      </c>
      <c r="Z11" s="2">
        <f>66/Y11</f>
        <v>0.24264705882352941</v>
      </c>
      <c r="AA11" s="2">
        <f>J11/Y11</f>
        <v>0.75735294117647056</v>
      </c>
    </row>
    <row r="12" spans="1:27" x14ac:dyDescent="0.4">
      <c r="A12">
        <v>2009</v>
      </c>
      <c r="B12">
        <v>7</v>
      </c>
      <c r="C12">
        <v>1</v>
      </c>
      <c r="D12">
        <v>5</v>
      </c>
      <c r="E12">
        <v>7</v>
      </c>
      <c r="F12">
        <v>8</v>
      </c>
      <c r="G12">
        <v>8</v>
      </c>
      <c r="H12">
        <v>1</v>
      </c>
      <c r="I12">
        <v>3</v>
      </c>
      <c r="J12">
        <v>15</v>
      </c>
      <c r="K12" s="4">
        <v>262</v>
      </c>
      <c r="L12">
        <v>8</v>
      </c>
      <c r="M12">
        <v>4</v>
      </c>
      <c r="N12">
        <v>1</v>
      </c>
      <c r="O12">
        <v>5</v>
      </c>
      <c r="S12">
        <v>4</v>
      </c>
      <c r="T12">
        <v>3</v>
      </c>
      <c r="V12">
        <v>11</v>
      </c>
      <c r="X12">
        <v>2</v>
      </c>
      <c r="Y12">
        <f t="shared" si="0"/>
        <v>355</v>
      </c>
      <c r="Z12" s="2">
        <f>93/Y12</f>
        <v>0.26197183098591548</v>
      </c>
      <c r="AA12" s="2">
        <f>K12/Y12</f>
        <v>0.73802816901408452</v>
      </c>
    </row>
    <row r="13" spans="1:27" x14ac:dyDescent="0.4">
      <c r="A13">
        <v>2010</v>
      </c>
      <c r="D13">
        <v>24</v>
      </c>
      <c r="I13">
        <v>5</v>
      </c>
      <c r="L13" s="4">
        <v>1527</v>
      </c>
      <c r="N13">
        <v>1</v>
      </c>
      <c r="P13">
        <v>17</v>
      </c>
      <c r="R13">
        <v>1</v>
      </c>
      <c r="S13">
        <v>20</v>
      </c>
      <c r="T13">
        <v>2</v>
      </c>
      <c r="U13">
        <v>5</v>
      </c>
      <c r="W13">
        <v>12</v>
      </c>
      <c r="X13">
        <v>15</v>
      </c>
      <c r="Y13">
        <f t="shared" si="0"/>
        <v>1629</v>
      </c>
      <c r="Z13" s="2">
        <f>102/Y13</f>
        <v>6.2615101289134445E-2</v>
      </c>
      <c r="AA13" s="2">
        <f>L13/Y13</f>
        <v>0.93738489871086561</v>
      </c>
    </row>
    <row r="14" spans="1:27" x14ac:dyDescent="0.4">
      <c r="A14">
        <v>2011</v>
      </c>
      <c r="L14">
        <v>2</v>
      </c>
      <c r="M14" s="4">
        <v>33</v>
      </c>
      <c r="S14">
        <v>1</v>
      </c>
      <c r="Y14">
        <f t="shared" si="0"/>
        <v>36</v>
      </c>
      <c r="Z14" s="3">
        <f>3/Y14</f>
        <v>8.3333333333333329E-2</v>
      </c>
      <c r="AA14" s="3">
        <f>M14/Y14</f>
        <v>0.91666666666666663</v>
      </c>
    </row>
    <row r="15" spans="1:27" x14ac:dyDescent="0.4">
      <c r="A15">
        <v>2012</v>
      </c>
      <c r="L15">
        <v>5</v>
      </c>
      <c r="M15">
        <v>3</v>
      </c>
      <c r="N15" s="4">
        <v>68</v>
      </c>
      <c r="U15">
        <v>1</v>
      </c>
      <c r="Y15">
        <f t="shared" si="0"/>
        <v>77</v>
      </c>
      <c r="Z15" s="2">
        <f>9/Y15</f>
        <v>0.11688311688311688</v>
      </c>
      <c r="AA15" s="2">
        <f>N15/Y15</f>
        <v>0.88311688311688308</v>
      </c>
    </row>
    <row r="16" spans="1:27" x14ac:dyDescent="0.4">
      <c r="A16">
        <v>2013</v>
      </c>
      <c r="L16">
        <v>14</v>
      </c>
      <c r="N16">
        <v>1</v>
      </c>
      <c r="O16" s="4">
        <v>96</v>
      </c>
      <c r="Y16">
        <f t="shared" si="0"/>
        <v>111</v>
      </c>
      <c r="Z16" s="3">
        <f>15/Y16</f>
        <v>0.13513513513513514</v>
      </c>
      <c r="AA16" s="3">
        <f>O16/Y16</f>
        <v>0.86486486486486491</v>
      </c>
    </row>
    <row r="17" spans="1:27" x14ac:dyDescent="0.4">
      <c r="A17">
        <v>2014</v>
      </c>
      <c r="D17">
        <v>5</v>
      </c>
      <c r="H17">
        <v>1</v>
      </c>
      <c r="L17">
        <v>15</v>
      </c>
      <c r="N17">
        <v>3</v>
      </c>
      <c r="P17" s="4">
        <v>206</v>
      </c>
      <c r="S17">
        <v>6</v>
      </c>
      <c r="Y17">
        <f t="shared" si="0"/>
        <v>236</v>
      </c>
      <c r="Z17" s="2">
        <f>30/Y17</f>
        <v>0.1271186440677966</v>
      </c>
      <c r="AA17" s="2">
        <f>P17/Y17</f>
        <v>0.8728813559322034</v>
      </c>
    </row>
    <row r="18" spans="1:27" x14ac:dyDescent="0.4">
      <c r="A18">
        <v>2015</v>
      </c>
      <c r="O18">
        <v>13</v>
      </c>
      <c r="Q18" s="4">
        <v>61</v>
      </c>
      <c r="Y18">
        <f t="shared" si="0"/>
        <v>74</v>
      </c>
      <c r="Z18" s="3">
        <f>13/Y18</f>
        <v>0.17567567567567569</v>
      </c>
      <c r="AA18" s="3">
        <f>Q18/Y18</f>
        <v>0.82432432432432434</v>
      </c>
    </row>
    <row r="19" spans="1:27" x14ac:dyDescent="0.4">
      <c r="A19">
        <v>2016</v>
      </c>
      <c r="R19" s="4">
        <v>46</v>
      </c>
      <c r="S19">
        <v>3</v>
      </c>
      <c r="U19">
        <v>2</v>
      </c>
      <c r="Y19">
        <f t="shared" si="0"/>
        <v>51</v>
      </c>
      <c r="Z19" s="2">
        <f>5/Y19</f>
        <v>9.8039215686274508E-2</v>
      </c>
      <c r="AA19" s="2">
        <f>R19/Y19</f>
        <v>0.90196078431372551</v>
      </c>
    </row>
    <row r="20" spans="1:27" x14ac:dyDescent="0.4">
      <c r="A20">
        <v>2017</v>
      </c>
      <c r="B20">
        <v>3</v>
      </c>
      <c r="C20">
        <v>2</v>
      </c>
      <c r="D20">
        <v>6</v>
      </c>
      <c r="E20">
        <v>2</v>
      </c>
      <c r="F20">
        <v>10</v>
      </c>
      <c r="G20">
        <v>1</v>
      </c>
      <c r="H20">
        <v>2</v>
      </c>
      <c r="I20">
        <v>3</v>
      </c>
      <c r="J20">
        <v>5</v>
      </c>
      <c r="K20">
        <v>35</v>
      </c>
      <c r="L20">
        <v>69</v>
      </c>
      <c r="M20">
        <v>4</v>
      </c>
      <c r="O20">
        <v>3</v>
      </c>
      <c r="P20">
        <v>55</v>
      </c>
      <c r="Q20">
        <v>7</v>
      </c>
      <c r="R20">
        <v>6</v>
      </c>
      <c r="S20" s="4">
        <v>891</v>
      </c>
      <c r="T20">
        <v>6</v>
      </c>
      <c r="U20">
        <v>5</v>
      </c>
      <c r="V20">
        <v>20</v>
      </c>
      <c r="X20">
        <v>1</v>
      </c>
      <c r="Y20">
        <f t="shared" si="0"/>
        <v>1136</v>
      </c>
      <c r="Z20" s="2">
        <f>245/Y20</f>
        <v>0.21566901408450703</v>
      </c>
      <c r="AA20" s="2">
        <f>S20/Y20</f>
        <v>0.784330985915493</v>
      </c>
    </row>
    <row r="21" spans="1:27" x14ac:dyDescent="0.4">
      <c r="A21">
        <v>2018</v>
      </c>
      <c r="D21">
        <v>1</v>
      </c>
      <c r="L21">
        <v>8</v>
      </c>
      <c r="P21">
        <v>2</v>
      </c>
      <c r="T21" s="4">
        <v>108</v>
      </c>
      <c r="Y21">
        <f t="shared" si="0"/>
        <v>119</v>
      </c>
      <c r="Z21" s="2">
        <f>11/Y21</f>
        <v>9.2436974789915971E-2</v>
      </c>
      <c r="AA21" s="2">
        <f>T21/Y21</f>
        <v>0.90756302521008403</v>
      </c>
    </row>
    <row r="22" spans="1:27" x14ac:dyDescent="0.4">
      <c r="A22">
        <v>2019</v>
      </c>
      <c r="D22">
        <v>12</v>
      </c>
      <c r="L22">
        <v>11</v>
      </c>
      <c r="Q22">
        <v>2</v>
      </c>
      <c r="U22" s="4">
        <v>122</v>
      </c>
      <c r="W22">
        <v>11</v>
      </c>
      <c r="Y22">
        <f t="shared" si="0"/>
        <v>158</v>
      </c>
      <c r="Z22" s="2">
        <f>36/Y22</f>
        <v>0.22784810126582278</v>
      </c>
      <c r="AA22" s="2">
        <f>U22/Y22</f>
        <v>0.77215189873417722</v>
      </c>
    </row>
    <row r="23" spans="1:27" x14ac:dyDescent="0.4">
      <c r="A23">
        <v>2020</v>
      </c>
      <c r="B23">
        <v>4</v>
      </c>
      <c r="C23">
        <v>2</v>
      </c>
      <c r="D23">
        <v>3</v>
      </c>
      <c r="E23">
        <v>5</v>
      </c>
      <c r="F23">
        <v>2</v>
      </c>
      <c r="G23">
        <v>5</v>
      </c>
      <c r="I23">
        <v>4</v>
      </c>
      <c r="J23">
        <v>3</v>
      </c>
      <c r="K23">
        <v>1</v>
      </c>
      <c r="L23">
        <v>22</v>
      </c>
      <c r="N23">
        <v>3</v>
      </c>
      <c r="P23">
        <v>3</v>
      </c>
      <c r="Q23">
        <v>2</v>
      </c>
      <c r="R23">
        <v>1</v>
      </c>
      <c r="S23">
        <v>2</v>
      </c>
      <c r="T23">
        <v>15</v>
      </c>
      <c r="U23">
        <v>2</v>
      </c>
      <c r="V23" s="4">
        <v>310</v>
      </c>
      <c r="W23">
        <v>3</v>
      </c>
      <c r="X23">
        <v>6</v>
      </c>
      <c r="Y23">
        <f t="shared" si="0"/>
        <v>398</v>
      </c>
      <c r="Z23" s="2">
        <f>88/Y23</f>
        <v>0.22110552763819097</v>
      </c>
      <c r="AA23" s="2">
        <f>V23/Y23</f>
        <v>0.77889447236180909</v>
      </c>
    </row>
    <row r="24" spans="1:27" x14ac:dyDescent="0.4">
      <c r="A24">
        <v>2021</v>
      </c>
      <c r="Q24">
        <v>8</v>
      </c>
      <c r="S24">
        <v>9</v>
      </c>
      <c r="W24" s="4">
        <v>295</v>
      </c>
      <c r="Y24">
        <f t="shared" si="0"/>
        <v>312</v>
      </c>
      <c r="Z24" s="2">
        <f>17/Y24</f>
        <v>5.4487179487179488E-2</v>
      </c>
      <c r="AA24" s="2">
        <f>W24/Y24</f>
        <v>0.94551282051282048</v>
      </c>
    </row>
    <row r="25" spans="1:27" x14ac:dyDescent="0.4">
      <c r="A25">
        <v>2022</v>
      </c>
      <c r="L25">
        <v>32</v>
      </c>
      <c r="W25">
        <v>8</v>
      </c>
      <c r="X25" s="4">
        <v>328</v>
      </c>
      <c r="Y25">
        <f t="shared" si="0"/>
        <v>368</v>
      </c>
      <c r="Z25" s="3">
        <f>40/Y25</f>
        <v>0.10869565217391304</v>
      </c>
      <c r="AA25" s="3">
        <f>X25/Y25</f>
        <v>0.89130434782608692</v>
      </c>
    </row>
    <row r="26" spans="1:27" x14ac:dyDescent="0.4">
      <c r="A26" t="s">
        <v>0</v>
      </c>
      <c r="B26">
        <f t="shared" ref="B26:Y26" si="1">SUM(B3:B25)</f>
        <v>265</v>
      </c>
      <c r="C26">
        <f t="shared" si="1"/>
        <v>303</v>
      </c>
      <c r="D26">
        <f t="shared" si="1"/>
        <v>881</v>
      </c>
      <c r="E26">
        <f t="shared" si="1"/>
        <v>324</v>
      </c>
      <c r="F26">
        <f t="shared" si="1"/>
        <v>354</v>
      </c>
      <c r="G26">
        <f t="shared" si="1"/>
        <v>125</v>
      </c>
      <c r="H26">
        <f t="shared" si="1"/>
        <v>88</v>
      </c>
      <c r="I26">
        <f t="shared" si="1"/>
        <v>101</v>
      </c>
      <c r="J26">
        <f t="shared" si="1"/>
        <v>271</v>
      </c>
      <c r="K26">
        <f t="shared" si="1"/>
        <v>315</v>
      </c>
      <c r="L26">
        <f t="shared" si="1"/>
        <v>1844</v>
      </c>
      <c r="M26">
        <f t="shared" si="1"/>
        <v>46</v>
      </c>
      <c r="N26">
        <f t="shared" si="1"/>
        <v>89</v>
      </c>
      <c r="O26">
        <f t="shared" si="1"/>
        <v>126</v>
      </c>
      <c r="P26">
        <f t="shared" si="1"/>
        <v>291</v>
      </c>
      <c r="Q26">
        <f t="shared" si="1"/>
        <v>88</v>
      </c>
      <c r="R26">
        <f t="shared" si="1"/>
        <v>56</v>
      </c>
      <c r="S26">
        <f t="shared" si="1"/>
        <v>976</v>
      </c>
      <c r="T26">
        <f t="shared" si="1"/>
        <v>145</v>
      </c>
      <c r="U26">
        <f t="shared" si="1"/>
        <v>148</v>
      </c>
      <c r="V26">
        <f t="shared" si="1"/>
        <v>353</v>
      </c>
      <c r="W26">
        <f t="shared" si="1"/>
        <v>331</v>
      </c>
      <c r="X26">
        <f t="shared" si="1"/>
        <v>381</v>
      </c>
      <c r="Y26">
        <f t="shared" si="1"/>
        <v>7901</v>
      </c>
      <c r="AA26" s="2">
        <f>SUM(AA3:AA25)/23</f>
        <v>0.84060252828454785</v>
      </c>
    </row>
    <row r="27" spans="1:27" x14ac:dyDescent="0.4">
      <c r="A27" t="s">
        <v>7</v>
      </c>
      <c r="B27" s="3">
        <f>37/B26</f>
        <v>0.13962264150943396</v>
      </c>
      <c r="C27" s="3">
        <f>35/C26</f>
        <v>0.11551155115511551</v>
      </c>
      <c r="D27" s="2">
        <f>95/D26</f>
        <v>0.10783200908059024</v>
      </c>
      <c r="E27" s="3">
        <f>31/E26</f>
        <v>9.5679012345679007E-2</v>
      </c>
      <c r="F27" s="2">
        <f>40/F26</f>
        <v>0.11299435028248588</v>
      </c>
      <c r="G27" s="2">
        <f>35/G26</f>
        <v>0.28000000000000003</v>
      </c>
      <c r="H27" s="2">
        <f>21/H26</f>
        <v>0.23863636363636365</v>
      </c>
      <c r="I27" s="2">
        <f>32/I26</f>
        <v>0.31683168316831684</v>
      </c>
      <c r="J27" s="2">
        <f>65/J26</f>
        <v>0.23985239852398524</v>
      </c>
      <c r="K27" s="2">
        <f>53/K26</f>
        <v>0.16825396825396827</v>
      </c>
      <c r="L27" s="2">
        <f>317/L26</f>
        <v>0.17190889370932755</v>
      </c>
      <c r="M27" s="2">
        <f>13/M26</f>
        <v>0.28260869565217389</v>
      </c>
      <c r="N27" s="2">
        <f>21/N26</f>
        <v>0.23595505617977527</v>
      </c>
      <c r="O27" s="3">
        <f>30/O26</f>
        <v>0.23809523809523808</v>
      </c>
      <c r="P27" s="2">
        <f>85/P26</f>
        <v>0.29209621993127149</v>
      </c>
      <c r="Q27" s="3">
        <f>27/Q26</f>
        <v>0.30681818181818182</v>
      </c>
      <c r="R27" s="2">
        <f>10/R26</f>
        <v>0.17857142857142858</v>
      </c>
      <c r="S27" s="2">
        <f>85/S26</f>
        <v>8.7090163934426229E-2</v>
      </c>
      <c r="T27" s="2">
        <f>37/T26</f>
        <v>0.25517241379310346</v>
      </c>
      <c r="U27" s="2">
        <f>26/U26</f>
        <v>0.17567567567567569</v>
      </c>
      <c r="V27" s="2">
        <f>43/V26</f>
        <v>0.12181303116147309</v>
      </c>
      <c r="W27" s="2">
        <f>36/W26</f>
        <v>0.10876132930513595</v>
      </c>
      <c r="X27" s="3">
        <f>53/X26</f>
        <v>0.13910761154855644</v>
      </c>
      <c r="Z27" s="4">
        <v>6674</v>
      </c>
    </row>
    <row r="28" spans="1:27" x14ac:dyDescent="0.4">
      <c r="A28" t="s">
        <v>9</v>
      </c>
      <c r="B28" s="3">
        <f>B3/B26</f>
        <v>0.86037735849056607</v>
      </c>
      <c r="C28" s="3">
        <f>C4/C26</f>
        <v>0.88448844884488453</v>
      </c>
      <c r="D28" s="2">
        <f>D5/D26</f>
        <v>0.89216799091940979</v>
      </c>
      <c r="E28" s="2">
        <f>E6/E26</f>
        <v>0.90432098765432101</v>
      </c>
      <c r="F28" s="2">
        <f>F7/F26</f>
        <v>0.88700564971751417</v>
      </c>
      <c r="G28" s="2">
        <f>G8/G26</f>
        <v>0.72</v>
      </c>
      <c r="H28" s="2">
        <f>H9/H26</f>
        <v>0.76136363636363635</v>
      </c>
      <c r="I28" s="2">
        <f>I10/I26</f>
        <v>0.68316831683168322</v>
      </c>
      <c r="J28" s="2">
        <f>J11/J26</f>
        <v>0.76014760147601479</v>
      </c>
      <c r="K28" s="2">
        <f>K12/K26</f>
        <v>0.83174603174603179</v>
      </c>
      <c r="L28" s="2">
        <f>L13/L26</f>
        <v>0.8280911062906724</v>
      </c>
      <c r="M28" s="3">
        <f>M14/M26</f>
        <v>0.71739130434782605</v>
      </c>
      <c r="N28" s="2">
        <f>N15/N26</f>
        <v>0.7640449438202247</v>
      </c>
      <c r="O28" s="3">
        <f>O16/O26</f>
        <v>0.76190476190476186</v>
      </c>
      <c r="P28" s="2">
        <f>P17/P26</f>
        <v>0.70790378006872856</v>
      </c>
      <c r="Q28" s="3">
        <f>Q18/Q26</f>
        <v>0.69318181818181823</v>
      </c>
      <c r="R28" s="2">
        <f>R19/R26</f>
        <v>0.8214285714285714</v>
      </c>
      <c r="S28" s="2">
        <f>S20/S26</f>
        <v>0.91290983606557374</v>
      </c>
      <c r="T28" s="2">
        <f>T21/T26</f>
        <v>0.7448275862068966</v>
      </c>
      <c r="U28" s="2">
        <f>U22/U26</f>
        <v>0.82432432432432434</v>
      </c>
      <c r="V28" s="2">
        <f>V23/V26</f>
        <v>0.87818696883852687</v>
      </c>
      <c r="W28" s="2">
        <f>W24/W26</f>
        <v>0.89123867069486407</v>
      </c>
      <c r="X28" s="3">
        <f>X25/X26</f>
        <v>0.86089238845144356</v>
      </c>
      <c r="Y28" s="2">
        <f>SUM(B28:X28)/23</f>
        <v>0.80830922098557789</v>
      </c>
    </row>
    <row r="30" spans="1:27" x14ac:dyDescent="0.4">
      <c r="A30" t="s">
        <v>8</v>
      </c>
      <c r="B30" s="1">
        <f>((B28*AA3)/(B28+AA3))*2</f>
        <v>0.79581151832460728</v>
      </c>
      <c r="C30" s="1">
        <f>((C28*AA4)/(C28+AA4))*2</f>
        <v>0.79525222551928776</v>
      </c>
      <c r="D30" s="1">
        <f>((D28*AA5)/(D28+AA5))*2</f>
        <v>0.91024898668210774</v>
      </c>
      <c r="E30" s="1">
        <f>((E28*AA6)/(E28+AA6))*2</f>
        <v>0.79619565217391308</v>
      </c>
      <c r="F30" s="1">
        <f>((F28*AA7)/(F28+AA7))*2</f>
        <v>0.86740331491712719</v>
      </c>
      <c r="G30" s="1">
        <f>((G28*AA8)/(G28+AA8))*2</f>
        <v>0.76923076923076916</v>
      </c>
      <c r="H30" s="1">
        <f>((H28*AA9)/(H28+AA9))*2</f>
        <v>0.83229813664596264</v>
      </c>
      <c r="I30" s="1">
        <f>((I28*AA10)/(I28+AA10))*2</f>
        <v>0.76243093922651939</v>
      </c>
      <c r="J30" s="1">
        <f>((J28*AA11)/(J28+AA11))*2</f>
        <v>0.75874769797421748</v>
      </c>
      <c r="K30" s="1">
        <f>((K28*AA12)/(K28+AA12))*2</f>
        <v>0.78208955223880605</v>
      </c>
      <c r="L30" s="1">
        <f>((L28*AA13)/(L28+AA13))*2</f>
        <v>0.87935502447451774</v>
      </c>
      <c r="M30" s="1">
        <f>((M28*AA14)/(M28+AA14))*2</f>
        <v>0.80487804878048774</v>
      </c>
      <c r="N30" s="1">
        <f>((N28*AA15)/(N28+AA15))*2</f>
        <v>0.81927710843373491</v>
      </c>
      <c r="O30" s="1">
        <f>((O28*AA16)/(O28+AA16))*2</f>
        <v>0.810126582278481</v>
      </c>
      <c r="P30" s="1">
        <f>((P28*AA17)/(P28+AA17))*2</f>
        <v>0.78178368121442132</v>
      </c>
      <c r="Q30" s="1">
        <f>((Q28*AA18)/(Q28+AA18))*2</f>
        <v>0.75308641975308643</v>
      </c>
      <c r="R30" s="1">
        <f>((R28*AA19)/(R28+AA19))*2</f>
        <v>0.85981308411214952</v>
      </c>
      <c r="S30" s="1">
        <f>((S28*AA20)/(S28+AA20))*2</f>
        <v>0.84375000000000011</v>
      </c>
      <c r="T30" s="1">
        <f>((T28*AA21)/(T28+AA21))*2</f>
        <v>0.81818181818181812</v>
      </c>
      <c r="U30" s="1">
        <f>((U28*AA22)/(U28+AA22))*2</f>
        <v>0.79738562091503284</v>
      </c>
      <c r="V30" s="1">
        <f>((V28*AA23)/(V28+AA23))*2</f>
        <v>0.82556591211717711</v>
      </c>
      <c r="W30" s="1">
        <f>((W28*AA24)/(W28+AA24))*2</f>
        <v>0.91757387247278388</v>
      </c>
      <c r="X30" s="1">
        <f>((X28*AA25)/(X28+AA25))*2</f>
        <v>0.87583444592790383</v>
      </c>
      <c r="Y30" s="1">
        <f>SUM(B30:X30)</f>
        <v>18.856320411594911</v>
      </c>
    </row>
    <row r="32" spans="1:27" x14ac:dyDescent="0.4">
      <c r="A32" s="5" t="s">
        <v>3</v>
      </c>
      <c r="B32" s="2">
        <v>0.84499999999999997</v>
      </c>
    </row>
    <row r="33" spans="1:2" x14ac:dyDescent="0.4">
      <c r="A33" t="s">
        <v>4</v>
      </c>
      <c r="B33" s="2">
        <v>0.82799999999999996</v>
      </c>
    </row>
    <row r="34" spans="1:2" x14ac:dyDescent="0.4">
      <c r="A34" t="s">
        <v>8</v>
      </c>
      <c r="B34" s="1">
        <f>Y30/23%</f>
        <v>81.984001789543086</v>
      </c>
    </row>
    <row r="35" spans="1:2" x14ac:dyDescent="0.4">
      <c r="A35" t="s">
        <v>1</v>
      </c>
      <c r="B35" s="7">
        <v>0.84</v>
      </c>
    </row>
    <row r="36" spans="1:2" x14ac:dyDescent="0.4">
      <c r="A36" t="s">
        <v>2</v>
      </c>
      <c r="B36" s="2">
        <f>Y28</f>
        <v>0.80830922098557789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Дергунов Денис Михайлович</dc:creator>
  <cp:lastModifiedBy>Рецензент</cp:lastModifiedBy>
  <dcterms:created xsi:type="dcterms:W3CDTF">2023-08-16T07:28:16Z</dcterms:created>
  <dcterms:modified xsi:type="dcterms:W3CDTF">2023-12-01T12:42:41Z</dcterms:modified>
</cp:coreProperties>
</file>