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autoCompressPictures="0" defaultThemeVersion="166925"/>
  <mc:AlternateContent xmlns:mc="http://schemas.openxmlformats.org/markup-compatibility/2006">
    <mc:Choice Requires="x15">
      <x15ac:absPath xmlns:x15ac="http://schemas.microsoft.com/office/spreadsheetml/2010/11/ac" url="/Users/edwardbraun/IN_PROGRESS/taxon-sampling-protein-structure/02-Biophysica-version/02-02-supporting-information/Pandey_Braun_Supplementary_Files/"/>
    </mc:Choice>
  </mc:AlternateContent>
  <xr:revisionPtr revIDLastSave="0" documentId="13_ncr:1_{29F7B6AF-646F-5942-B49F-F097605207BC}" xr6:coauthVersionLast="45" xr6:coauthVersionMax="45" xr10:uidLastSave="{00000000-0000-0000-0000-000000000000}"/>
  <bookViews>
    <workbookView xWindow="0" yWindow="460" windowWidth="25600" windowHeight="14300" xr2:uid="{00000000-000D-0000-FFFF-FFFF00000000}"/>
  </bookViews>
  <sheets>
    <sheet name="Model fit - RSA vs SS" sheetId="2" r:id="rId1"/>
    <sheet name="SD symmetry test"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34" i="2" l="1"/>
  <c r="F33" i="2"/>
  <c r="F32" i="2"/>
  <c r="F31" i="2"/>
  <c r="F30" i="2"/>
  <c r="E34" i="2"/>
  <c r="E33" i="2"/>
  <c r="E32" i="2"/>
  <c r="E31" i="2"/>
  <c r="E30" i="2"/>
  <c r="D34" i="2"/>
  <c r="D33" i="2"/>
  <c r="D32" i="2"/>
  <c r="D31" i="2"/>
  <c r="D30" i="2"/>
  <c r="C34" i="2"/>
  <c r="C33" i="2"/>
  <c r="C32" i="2"/>
  <c r="C31" i="2"/>
  <c r="C30" i="2"/>
  <c r="B34" i="2"/>
  <c r="B33" i="2"/>
  <c r="B32" i="2"/>
  <c r="B31" i="2"/>
  <c r="B30" i="2"/>
  <c r="K3" i="2"/>
  <c r="K4" i="2"/>
  <c r="K5" i="2"/>
  <c r="K7" i="2"/>
  <c r="K6" i="2"/>
  <c r="G5" i="2"/>
  <c r="G3" i="2"/>
  <c r="E5" i="2"/>
  <c r="C5" i="2"/>
  <c r="H5" i="2"/>
  <c r="E3" i="2"/>
  <c r="H3" i="2" s="1"/>
  <c r="C3" i="2"/>
  <c r="M7" i="1"/>
  <c r="N7" i="1" s="1"/>
  <c r="O7" i="1" s="1"/>
  <c r="M6" i="1"/>
  <c r="N6" i="1"/>
  <c r="O6" i="1" s="1"/>
  <c r="M5" i="1"/>
  <c r="N5" i="1"/>
  <c r="O5" i="1" s="1"/>
  <c r="M4" i="1"/>
  <c r="N4" i="1" s="1"/>
  <c r="O4" i="1" s="1"/>
  <c r="M3" i="1"/>
  <c r="N3" i="1" s="1"/>
  <c r="O3" i="1" s="1"/>
  <c r="K7" i="1"/>
  <c r="K6" i="1"/>
  <c r="K5" i="1"/>
  <c r="K4" i="1"/>
  <c r="K3" i="1"/>
  <c r="J7" i="1"/>
  <c r="I7" i="1"/>
  <c r="H7" i="1"/>
  <c r="J6" i="1"/>
  <c r="I6" i="1"/>
  <c r="H6" i="1"/>
  <c r="J5" i="1"/>
  <c r="I5" i="1"/>
  <c r="H5" i="1"/>
  <c r="J4" i="1"/>
  <c r="I4" i="1"/>
  <c r="H4" i="1"/>
  <c r="J3" i="1"/>
  <c r="I3" i="1"/>
  <c r="H3" i="1"/>
  <c r="D5" i="2"/>
  <c r="D3" i="2"/>
  <c r="I3" i="2" l="1"/>
  <c r="I5" i="2"/>
</calcChain>
</file>

<file path=xl/sharedStrings.xml><?xml version="1.0" encoding="utf-8"?>
<sst xmlns="http://schemas.openxmlformats.org/spreadsheetml/2006/main" count="66" uniqueCount="54">
  <si>
    <t>Dataset</t>
  </si>
  <si>
    <t>T1</t>
  </si>
  <si>
    <t>T2</t>
  </si>
  <si>
    <t>T3</t>
  </si>
  <si>
    <t>SD sites</t>
  </si>
  <si>
    <t>Total sites</t>
  </si>
  <si>
    <t>Exposed</t>
  </si>
  <si>
    <t>Buried</t>
  </si>
  <si>
    <t>Helix</t>
  </si>
  <si>
    <t>Sheet</t>
  </si>
  <si>
    <t>Coil</t>
  </si>
  <si>
    <t>prop T1</t>
  </si>
  <si>
    <t>prop T2</t>
  </si>
  <si>
    <t>prop T3</t>
  </si>
  <si>
    <t>prop T1/T3</t>
  </si>
  <si>
    <t>Exp Sym</t>
  </si>
  <si>
    <t>chi-sq Sym</t>
  </si>
  <si>
    <t>P(Sym)</t>
  </si>
  <si>
    <t>lnL</t>
  </si>
  <si>
    <t>RSA vs SS lnL</t>
  </si>
  <si>
    <t>RSA vs SS delta lnL</t>
  </si>
  <si>
    <t>K</t>
  </si>
  <si>
    <t>n</t>
  </si>
  <si>
    <t>RSA vs SS AICc</t>
  </si>
  <si>
    <t>RSA vs SS delta AICc</t>
  </si>
  <si>
    <t>Treelength</t>
  </si>
  <si>
    <t>alpha</t>
  </si>
  <si>
    <t>Relative Rate</t>
  </si>
  <si>
    <t>pi(A)</t>
  </si>
  <si>
    <t>AA freq</t>
  </si>
  <si>
    <t>pi(R)</t>
  </si>
  <si>
    <t>pi(N)</t>
  </si>
  <si>
    <t>pi(D)</t>
  </si>
  <si>
    <t>pi(C)</t>
  </si>
  <si>
    <t>pi(Q)</t>
  </si>
  <si>
    <t>pi(E)</t>
  </si>
  <si>
    <t>pi(G)</t>
  </si>
  <si>
    <t>pi(H)</t>
  </si>
  <si>
    <t>pi(I)</t>
  </si>
  <si>
    <t>pi(L)</t>
  </si>
  <si>
    <t>pi(K)</t>
  </si>
  <si>
    <t>pi(M)</t>
  </si>
  <si>
    <t>pi(F)</t>
  </si>
  <si>
    <t>pi(P)</t>
  </si>
  <si>
    <t>pi(S)</t>
  </si>
  <si>
    <t>pi(T)</t>
  </si>
  <si>
    <t>pi(W)</t>
  </si>
  <si>
    <t>pi(Y)</t>
  </si>
  <si>
    <t>pi(V)</t>
  </si>
  <si>
    <t>hydrophobic</t>
  </si>
  <si>
    <t>polar</t>
  </si>
  <si>
    <t>helix</t>
  </si>
  <si>
    <t>sheet</t>
  </si>
  <si>
    <t>coil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</si>
</sst>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2"/>
      <color theme="1"/>
      <name val="Calibri"/>
      <family val="2"/>
      <scheme val="minor"/>
    </font>
    <font>
      <sz val="12"/>
      <color theme="1"/>
      <name val="Times New Roman"/>
      <family val="1"/>
    </font>
  </fonts>
  <fills count="2">
    <fill>
      <patternFill patternType="none"/>
    </fill>
    <fill>
      <patternFill patternType="gray125"/>
    </fill>
  </fills>
  <borders count="5">
    <border>
      <left/>
      <right/>
      <top/>
      <bottom/>
      <diagonal/>
    </border>
    <border>
      <left/>
      <right/>
      <top style="medium">
        <color auto="1"/>
      </top>
      <bottom style="medium">
        <color auto="1"/>
      </bottom>
      <diagonal/>
    </border>
    <border>
      <left/>
      <right/>
      <top/>
      <bottom style="medium">
        <color auto="1"/>
      </bottom>
      <diagonal/>
    </border>
    <border>
      <left/>
      <right/>
      <top/>
      <bottom style="thin">
        <color auto="1"/>
      </bottom>
      <diagonal/>
    </border>
    <border>
      <left/>
      <right/>
      <top style="thin">
        <color auto="1"/>
      </top>
      <bottom style="thin">
        <color auto="1"/>
      </bottom>
      <diagonal/>
    </border>
  </borders>
  <cellStyleXfs count="1">
    <xf numFmtId="0" fontId="0" fillId="0" borderId="0"/>
  </cellStyleXfs>
  <cellXfs count="19">
    <xf numFmtId="0" fontId="0" fillId="0" borderId="0" xfId="0"/>
    <xf numFmtId="0" fontId="1" fillId="0" borderId="1" xfId="0" applyFont="1" applyBorder="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3" fontId="1" fillId="0" borderId="0" xfId="0" applyNumberFormat="1" applyFont="1" applyAlignment="1">
      <alignment horizontal="center" vertical="center" wrapText="1"/>
    </xf>
    <xf numFmtId="0" fontId="1" fillId="0" borderId="2" xfId="0" applyFont="1" applyBorder="1" applyAlignment="1">
      <alignment vertical="center" wrapText="1"/>
    </xf>
    <xf numFmtId="0" fontId="1" fillId="0" borderId="2" xfId="0" applyFont="1" applyBorder="1" applyAlignment="1">
      <alignment horizontal="center" vertical="center" wrapText="1"/>
    </xf>
    <xf numFmtId="3" fontId="1" fillId="0" borderId="2" xfId="0" applyNumberFormat="1" applyFont="1" applyBorder="1" applyAlignment="1">
      <alignment horizontal="center" vertical="center" wrapText="1"/>
    </xf>
    <xf numFmtId="0" fontId="0" fillId="0" borderId="0" xfId="0" applyAlignment="1">
      <alignment horizontal="center"/>
    </xf>
    <xf numFmtId="4" fontId="1" fillId="0" borderId="0" xfId="0" applyNumberFormat="1" applyFont="1" applyAlignment="1">
      <alignment horizontal="center"/>
    </xf>
    <xf numFmtId="4" fontId="1" fillId="0" borderId="2" xfId="0" applyNumberFormat="1" applyFont="1" applyBorder="1" applyAlignment="1">
      <alignment horizontal="center" vertical="center" wrapText="1"/>
    </xf>
    <xf numFmtId="0" fontId="1" fillId="0" borderId="0" xfId="0" applyNumberFormat="1" applyFont="1" applyAlignment="1">
      <alignment horizontal="center"/>
    </xf>
    <xf numFmtId="0" fontId="1" fillId="0" borderId="2" xfId="0" applyNumberFormat="1" applyFont="1" applyBorder="1" applyAlignment="1">
      <alignment horizontal="center" vertical="center" wrapText="1"/>
    </xf>
    <xf numFmtId="4" fontId="1" fillId="0" borderId="0" xfId="0" applyNumberFormat="1" applyFont="1" applyFill="1" applyAlignment="1">
      <alignment horizontal="center"/>
    </xf>
    <xf numFmtId="0" fontId="0" fillId="0" borderId="3" xfId="0" applyBorder="1" applyAlignment="1">
      <alignment horizontal="center"/>
    </xf>
    <xf numFmtId="0" fontId="1" fillId="0" borderId="4" xfId="0" applyFont="1" applyFill="1" applyBorder="1" applyAlignment="1">
      <alignment horizontal="center" vertical="center" wrapText="1"/>
    </xf>
    <xf numFmtId="0" fontId="0" fillId="0" borderId="4" xfId="0" applyBorder="1" applyAlignment="1">
      <alignment horizontal="center"/>
    </xf>
    <xf numFmtId="0" fontId="0" fillId="0" borderId="0" xfId="0" applyFill="1" applyBorder="1" applyAlignment="1">
      <alignment horizontal="center"/>
    </xf>
    <xf numFmtId="0" fontId="0" fillId="0" borderId="3" xfId="0"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505752</xdr:colOff>
      <xdr:row>8</xdr:row>
      <xdr:rowOff>202301</xdr:rowOff>
    </xdr:from>
    <xdr:to>
      <xdr:col>12</xdr:col>
      <xdr:colOff>325930</xdr:colOff>
      <xdr:row>24</xdr:row>
      <xdr:rowOff>56195</xdr:rowOff>
    </xdr:to>
    <xdr:sp macro="" textlink="">
      <xdr:nvSpPr>
        <xdr:cNvPr id="2" name="TextBox 1">
          <a:extLst>
            <a:ext uri="{FF2B5EF4-FFF2-40B4-BE49-F238E27FC236}">
              <a16:creationId xmlns:a16="http://schemas.microsoft.com/office/drawing/2014/main" id="{560A35CD-238D-4C49-AC12-6A4259646C70}"/>
            </a:ext>
          </a:extLst>
        </xdr:cNvPr>
        <xdr:cNvSpPr txBox="1"/>
      </xdr:nvSpPr>
      <xdr:spPr>
        <a:xfrm>
          <a:off x="6192655" y="2146637"/>
          <a:ext cx="5282302" cy="31019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README:</a:t>
          </a:r>
        </a:p>
        <a:p>
          <a:endParaRPr lang="en-US" sz="1100"/>
        </a:p>
        <a:p>
          <a:r>
            <a:rPr lang="en-US" sz="1100"/>
            <a:t>Model fit sheet:</a:t>
          </a:r>
        </a:p>
        <a:p>
          <a:endParaRPr lang="en-US" sz="1100"/>
        </a:p>
        <a:p>
          <a:r>
            <a:rPr lang="en-US" sz="1100"/>
            <a:t>This spreadsheet</a:t>
          </a:r>
          <a:r>
            <a:rPr lang="en-US" sz="1100" baseline="0"/>
            <a:t> provides information about model fit for the relative solvent accessibility (RSA) vs secondary structure (SS) partitioning. The overall likelihood for the two partitioning schemes is presented in the "RSA vs SS lnL" column. The number of free parameters (including branch length parameters) is provided in the "K" column. The relative rates are simply the treelength, normalized to the shortest treelength. "alpha" is the gamma distribution shape parameter. ML estimates of equilibrium amino acid frequencies are presented to the left.</a:t>
          </a:r>
        </a:p>
        <a:p>
          <a:endParaRPr lang="en-US" sz="1100" baseline="0"/>
        </a:p>
        <a:p>
          <a:r>
            <a:rPr lang="en-US" sz="1100"/>
            <a:t>SD</a:t>
          </a:r>
          <a:r>
            <a:rPr lang="en-US" sz="1100" baseline="0"/>
            <a:t> site</a:t>
          </a:r>
          <a:r>
            <a:rPr lang="en-US" sz="1100"/>
            <a:t> symmetry test:</a:t>
          </a:r>
        </a:p>
        <a:p>
          <a:endParaRPr lang="en-US" sz="1100"/>
        </a:p>
        <a:p>
          <a:r>
            <a:rPr lang="en-US" sz="1100"/>
            <a:t>chi-square tests for the null hypothesis</a:t>
          </a:r>
          <a:r>
            <a:rPr lang="en-US" sz="1100" baseline="0"/>
            <a:t> that the numbers of strongly decisive (SD) for the two minority topologies are equal. P(Sym) is the probability for the chi-square test. </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342900</xdr:colOff>
      <xdr:row>9</xdr:row>
      <xdr:rowOff>0</xdr:rowOff>
    </xdr:from>
    <xdr:to>
      <xdr:col>6</xdr:col>
      <xdr:colOff>672202</xdr:colOff>
      <xdr:row>24</xdr:row>
      <xdr:rowOff>53947</xdr:rowOff>
    </xdr:to>
    <xdr:sp macro="" textlink="">
      <xdr:nvSpPr>
        <xdr:cNvPr id="2" name="TextBox 1">
          <a:extLst>
            <a:ext uri="{FF2B5EF4-FFF2-40B4-BE49-F238E27FC236}">
              <a16:creationId xmlns:a16="http://schemas.microsoft.com/office/drawing/2014/main" id="{A2FA4C86-3006-3E49-8E85-98AB513E82E1}"/>
            </a:ext>
          </a:extLst>
        </xdr:cNvPr>
        <xdr:cNvSpPr txBox="1"/>
      </xdr:nvSpPr>
      <xdr:spPr>
        <a:xfrm>
          <a:off x="342900" y="1943100"/>
          <a:ext cx="5282302" cy="31019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README:</a:t>
          </a:r>
        </a:p>
        <a:p>
          <a:endParaRPr lang="en-US" sz="1100"/>
        </a:p>
        <a:p>
          <a:r>
            <a:rPr lang="en-US" sz="1100"/>
            <a:t>Model fit sheet:</a:t>
          </a:r>
        </a:p>
        <a:p>
          <a:endParaRPr lang="en-US" sz="1100"/>
        </a:p>
        <a:p>
          <a:r>
            <a:rPr lang="en-US" sz="1100"/>
            <a:t>This spreadsheet</a:t>
          </a:r>
          <a:r>
            <a:rPr lang="en-US" sz="1100" baseline="0"/>
            <a:t> provides information about model fit for the relative solvent accessibility (RSA) vs secondary structure (SS) partitioning. The overall likelihood for the two partitioning schemes is presented in the "RSA vs SS lnL" column. The number of free parameters (including branch length parameters) is provided in the "K" column. The relative rates are simply the treelength, normalized to the shortest treelength. "alpha" is the gamma distribution shape parameter. ML estimates of equilibrium amino acid frequencies are presented to the left.</a:t>
          </a:r>
        </a:p>
        <a:p>
          <a:endParaRPr lang="en-US" sz="1100" baseline="0"/>
        </a:p>
        <a:p>
          <a:r>
            <a:rPr lang="en-US" sz="1100"/>
            <a:t>SD symmetry test:</a:t>
          </a:r>
        </a:p>
        <a:p>
          <a:endParaRPr lang="en-US" sz="1100"/>
        </a:p>
        <a:p>
          <a:r>
            <a:rPr lang="en-US" sz="1100"/>
            <a:t>chi-square tests for the null hypothesis</a:t>
          </a:r>
          <a:r>
            <a:rPr lang="en-US" sz="1100" baseline="0"/>
            <a:t> that the numbers of strongly decisive (SD) for the two minority topologies are equal. P(Sym) is the probability for the chi-square test. </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4"/>
  <sheetViews>
    <sheetView tabSelected="1" zoomScale="113" workbookViewId="0"/>
  </sheetViews>
  <sheetFormatPr baseColWidth="10" defaultRowHeight="16" x14ac:dyDescent="0.2"/>
  <cols>
    <col min="1" max="1" width="11.33203125" customWidth="1"/>
    <col min="2" max="2" width="12.5" bestFit="1" customWidth="1"/>
    <col min="3" max="3" width="16" customWidth="1"/>
    <col min="4" max="4" width="13.33203125" customWidth="1"/>
    <col min="8" max="8" width="15" customWidth="1"/>
    <col min="9" max="9" width="13.5" customWidth="1"/>
  </cols>
  <sheetData>
    <row r="1" spans="1:12" ht="17" thickBot="1" x14ac:dyDescent="0.25"/>
    <row r="2" spans="1:12" ht="35" thickBot="1" x14ac:dyDescent="0.25">
      <c r="A2" s="1" t="s">
        <v>0</v>
      </c>
      <c r="B2" s="1" t="s">
        <v>18</v>
      </c>
      <c r="C2" s="1" t="s">
        <v>19</v>
      </c>
      <c r="D2" s="1" t="s">
        <v>20</v>
      </c>
      <c r="E2" s="1" t="s">
        <v>21</v>
      </c>
      <c r="F2" s="1" t="s">
        <v>5</v>
      </c>
      <c r="G2" s="1" t="s">
        <v>22</v>
      </c>
      <c r="H2" s="1" t="s">
        <v>23</v>
      </c>
      <c r="I2" s="1" t="s">
        <v>24</v>
      </c>
      <c r="J2" s="1" t="s">
        <v>25</v>
      </c>
      <c r="K2" s="1" t="s">
        <v>27</v>
      </c>
      <c r="L2" s="1" t="s">
        <v>26</v>
      </c>
    </row>
    <row r="3" spans="1:12" ht="17" x14ac:dyDescent="0.2">
      <c r="A3" s="2" t="s">
        <v>6</v>
      </c>
      <c r="B3" s="9">
        <v>-9643110.4690000005</v>
      </c>
      <c r="C3" s="9">
        <f>B3+B4</f>
        <v>-17526928.987</v>
      </c>
      <c r="D3" s="9">
        <f>C$3-C3</f>
        <v>0</v>
      </c>
      <c r="E3" s="11">
        <f>(208*2)+2+(2*191)</f>
        <v>800</v>
      </c>
      <c r="F3" s="4">
        <v>161897</v>
      </c>
      <c r="G3" s="4">
        <f>F3+F4</f>
        <v>356014</v>
      </c>
      <c r="H3" s="9">
        <f>(2*E3)-(2*C3)+((2*(E3*E3)+2*E3)/(F3-E3-1))</f>
        <v>35055465.929504789</v>
      </c>
      <c r="I3" s="9">
        <f>H3-H$3</f>
        <v>0</v>
      </c>
      <c r="J3" s="13">
        <v>29.987034999999999</v>
      </c>
      <c r="K3" s="9">
        <f>J3/MIN(J$3,J$4)</f>
        <v>1.6652016736959303</v>
      </c>
      <c r="L3" s="9">
        <v>0.81554300000000002</v>
      </c>
    </row>
    <row r="4" spans="1:12" ht="17" x14ac:dyDescent="0.2">
      <c r="A4" s="2" t="s">
        <v>7</v>
      </c>
      <c r="B4" s="9">
        <v>-7883818.5180000002</v>
      </c>
      <c r="C4" s="9"/>
      <c r="D4" s="9"/>
      <c r="E4" s="11"/>
      <c r="F4" s="4">
        <v>194117</v>
      </c>
      <c r="G4" s="4"/>
      <c r="H4" s="9"/>
      <c r="I4" s="9"/>
      <c r="J4" s="9">
        <v>18.008050000000001</v>
      </c>
      <c r="K4" s="9">
        <f>J4/MIN(J$3,J$4)</f>
        <v>1</v>
      </c>
      <c r="L4" s="9">
        <v>0.713171</v>
      </c>
    </row>
    <row r="5" spans="1:12" ht="17" x14ac:dyDescent="0.2">
      <c r="A5" s="2" t="s">
        <v>8</v>
      </c>
      <c r="B5" s="9">
        <v>-8286002.8720000004</v>
      </c>
      <c r="C5" s="9">
        <f>B5+B6+B7</f>
        <v>-17611914.107000001</v>
      </c>
      <c r="D5" s="9">
        <f>C$3-C5</f>
        <v>84985.120000001043</v>
      </c>
      <c r="E5" s="11">
        <f>(3*208)+3+(3*191)</f>
        <v>1200</v>
      </c>
      <c r="F5" s="4">
        <v>161117</v>
      </c>
      <c r="G5" s="4">
        <f>F5+F6+F7</f>
        <v>356014</v>
      </c>
      <c r="H5" s="9">
        <f>(2*E5)-(2*C5)+((2*(E5*E5)+2*E5)/(F5-E5-1))</f>
        <v>35226246.238462843</v>
      </c>
      <c r="I5" s="9">
        <f>H5-H$3</f>
        <v>170780.30895805359</v>
      </c>
      <c r="J5" s="9">
        <v>26.646084999999999</v>
      </c>
      <c r="K5" s="9">
        <f>J5/MIN(J$5,J$6,J$7)</f>
        <v>1.2145085219292473</v>
      </c>
      <c r="L5" s="9">
        <v>0.74075000000000002</v>
      </c>
    </row>
    <row r="6" spans="1:12" ht="17" x14ac:dyDescent="0.2">
      <c r="A6" s="2" t="s">
        <v>9</v>
      </c>
      <c r="B6" s="9">
        <v>-2859887.608</v>
      </c>
      <c r="C6" s="9"/>
      <c r="D6" s="9"/>
      <c r="E6" s="11"/>
      <c r="F6" s="4">
        <v>60563</v>
      </c>
      <c r="G6" s="4"/>
      <c r="H6" s="9"/>
      <c r="I6" s="9"/>
      <c r="J6" s="9">
        <v>21.939809</v>
      </c>
      <c r="K6" s="9">
        <f>J6/MIN(J$5,J$6,J$7)</f>
        <v>1</v>
      </c>
      <c r="L6" s="9">
        <v>0.74950399999999995</v>
      </c>
    </row>
    <row r="7" spans="1:12" ht="18" thickBot="1" x14ac:dyDescent="0.25">
      <c r="A7" s="5" t="s">
        <v>10</v>
      </c>
      <c r="B7" s="10">
        <v>-6466023.6270000003</v>
      </c>
      <c r="C7" s="10"/>
      <c r="D7" s="10"/>
      <c r="E7" s="12"/>
      <c r="F7" s="7">
        <v>134334</v>
      </c>
      <c r="G7" s="7"/>
      <c r="H7" s="10"/>
      <c r="I7" s="10"/>
      <c r="J7" s="10">
        <v>23.201097000000001</v>
      </c>
      <c r="K7" s="10">
        <f>J7/MIN(J$5,J$6,J$7)</f>
        <v>1.0574885588110634</v>
      </c>
      <c r="L7" s="10">
        <v>0.67069699999999999</v>
      </c>
    </row>
    <row r="9" spans="1:12" ht="17" x14ac:dyDescent="0.2">
      <c r="A9" s="15" t="s">
        <v>29</v>
      </c>
      <c r="B9" s="16" t="s">
        <v>6</v>
      </c>
      <c r="C9" s="16" t="s">
        <v>7</v>
      </c>
      <c r="D9" s="16" t="s">
        <v>8</v>
      </c>
      <c r="E9" s="16" t="s">
        <v>9</v>
      </c>
      <c r="F9" s="16" t="s">
        <v>10</v>
      </c>
    </row>
    <row r="10" spans="1:12" x14ac:dyDescent="0.2">
      <c r="A10" s="8" t="s">
        <v>28</v>
      </c>
      <c r="B10" s="8">
        <v>7.152E-2</v>
      </c>
      <c r="C10" s="8">
        <v>9.4740000000000005E-2</v>
      </c>
      <c r="D10" s="8">
        <v>9.7337000000000007E-2</v>
      </c>
      <c r="E10" s="8">
        <v>6.0219000000000002E-2</v>
      </c>
      <c r="F10" s="8">
        <v>6.2865000000000004E-2</v>
      </c>
    </row>
    <row r="11" spans="1:12" x14ac:dyDescent="0.2">
      <c r="A11" s="8" t="s">
        <v>30</v>
      </c>
      <c r="B11" s="8">
        <v>8.1262000000000001E-2</v>
      </c>
      <c r="C11" s="8">
        <v>3.0138999999999999E-2</v>
      </c>
      <c r="D11" s="8">
        <v>5.9267E-2</v>
      </c>
      <c r="E11" s="8">
        <v>4.0464E-2</v>
      </c>
      <c r="F11" s="8">
        <v>4.9676999999999999E-2</v>
      </c>
    </row>
    <row r="12" spans="1:12" x14ac:dyDescent="0.2">
      <c r="A12" s="8" t="s">
        <v>31</v>
      </c>
      <c r="B12" s="8">
        <v>5.4906999999999997E-2</v>
      </c>
      <c r="C12" s="8">
        <v>1.9962000000000001E-2</v>
      </c>
      <c r="D12" s="8">
        <v>2.8302000000000001E-2</v>
      </c>
      <c r="E12" s="8">
        <v>1.8720000000000001E-2</v>
      </c>
      <c r="F12" s="8">
        <v>5.7031999999999999E-2</v>
      </c>
    </row>
    <row r="13" spans="1:12" x14ac:dyDescent="0.2">
      <c r="A13" s="8" t="s">
        <v>32</v>
      </c>
      <c r="B13" s="8">
        <v>8.7977E-2</v>
      </c>
      <c r="C13" s="8">
        <v>1.9848999999999999E-2</v>
      </c>
      <c r="D13" s="8">
        <v>4.0400999999999999E-2</v>
      </c>
      <c r="E13" s="8">
        <v>2.1694000000000001E-2</v>
      </c>
      <c r="F13" s="8">
        <v>7.1901000000000007E-2</v>
      </c>
    </row>
    <row r="14" spans="1:12" x14ac:dyDescent="0.2">
      <c r="A14" s="8" t="s">
        <v>33</v>
      </c>
      <c r="B14" s="8">
        <v>5.8690000000000001E-3</v>
      </c>
      <c r="C14" s="8">
        <v>3.3111000000000002E-2</v>
      </c>
      <c r="D14" s="8">
        <v>1.4085E-2</v>
      </c>
      <c r="E14" s="8">
        <v>2.9796E-2</v>
      </c>
      <c r="F14" s="8">
        <v>1.5337999999999999E-2</v>
      </c>
    </row>
    <row r="15" spans="1:12" x14ac:dyDescent="0.2">
      <c r="A15" s="8" t="s">
        <v>34</v>
      </c>
      <c r="B15" s="8">
        <v>6.6555000000000003E-2</v>
      </c>
      <c r="C15" s="8">
        <v>1.9845999999999999E-2</v>
      </c>
      <c r="D15" s="8">
        <v>5.0727000000000001E-2</v>
      </c>
      <c r="E15" s="8">
        <v>2.2700999999999999E-2</v>
      </c>
      <c r="F15" s="8">
        <v>3.8703000000000001E-2</v>
      </c>
    </row>
    <row r="16" spans="1:12" x14ac:dyDescent="0.2">
      <c r="A16" s="8" t="s">
        <v>35</v>
      </c>
      <c r="B16" s="8">
        <v>0.12779199999999999</v>
      </c>
      <c r="C16" s="8">
        <v>2.0194E-2</v>
      </c>
      <c r="D16" s="8">
        <v>8.2067000000000001E-2</v>
      </c>
      <c r="E16" s="8">
        <v>3.4605999999999998E-2</v>
      </c>
      <c r="F16" s="8">
        <v>6.3857999999999998E-2</v>
      </c>
    </row>
    <row r="17" spans="1:6" x14ac:dyDescent="0.2">
      <c r="A17" s="8" t="s">
        <v>36</v>
      </c>
      <c r="B17" s="8">
        <v>4.9916000000000002E-2</v>
      </c>
      <c r="C17" s="8">
        <v>4.7676999999999997E-2</v>
      </c>
      <c r="D17" s="8">
        <v>2.2579999999999999E-2</v>
      </c>
      <c r="E17" s="8">
        <v>2.8284E-2</v>
      </c>
      <c r="F17" s="8">
        <v>8.7573999999999999E-2</v>
      </c>
    </row>
    <row r="18" spans="1:6" x14ac:dyDescent="0.2">
      <c r="A18" s="8" t="s">
        <v>37</v>
      </c>
      <c r="B18" s="8">
        <v>2.6622E-2</v>
      </c>
      <c r="C18" s="8">
        <v>2.2155999999999999E-2</v>
      </c>
      <c r="D18" s="8">
        <v>2.2497E-2</v>
      </c>
      <c r="E18" s="8">
        <v>2.0677000000000001E-2</v>
      </c>
      <c r="F18" s="8">
        <v>2.7775000000000001E-2</v>
      </c>
    </row>
    <row r="19" spans="1:6" x14ac:dyDescent="0.2">
      <c r="A19" s="8" t="s">
        <v>38</v>
      </c>
      <c r="B19" s="8">
        <v>1.5949999999999999E-2</v>
      </c>
      <c r="C19" s="8">
        <v>8.9889999999999998E-2</v>
      </c>
      <c r="D19" s="8">
        <v>5.7181000000000003E-2</v>
      </c>
      <c r="E19" s="8">
        <v>0.106645</v>
      </c>
      <c r="F19" s="8">
        <v>3.1778000000000001E-2</v>
      </c>
    </row>
    <row r="20" spans="1:6" x14ac:dyDescent="0.2">
      <c r="A20" s="8" t="s">
        <v>39</v>
      </c>
      <c r="B20" s="8">
        <v>3.7324000000000003E-2</v>
      </c>
      <c r="C20" s="8">
        <v>0.17918899999999999</v>
      </c>
      <c r="D20" s="8">
        <v>0.149899</v>
      </c>
      <c r="E20" s="8">
        <v>0.132082</v>
      </c>
      <c r="F20" s="8">
        <v>7.5291999999999998E-2</v>
      </c>
    </row>
    <row r="21" spans="1:6" x14ac:dyDescent="0.2">
      <c r="A21" s="8" t="s">
        <v>40</v>
      </c>
      <c r="B21" s="8">
        <v>0.13298499999999999</v>
      </c>
      <c r="C21" s="8">
        <v>1.9210999999999999E-2</v>
      </c>
      <c r="D21" s="8">
        <v>7.6794000000000001E-2</v>
      </c>
      <c r="E21" s="8">
        <v>4.2072999999999999E-2</v>
      </c>
      <c r="F21" s="8">
        <v>7.5641E-2</v>
      </c>
    </row>
    <row r="22" spans="1:6" x14ac:dyDescent="0.2">
      <c r="A22" s="8" t="s">
        <v>41</v>
      </c>
      <c r="B22" s="8">
        <v>1.3039E-2</v>
      </c>
      <c r="C22" s="8">
        <v>3.4013000000000002E-2</v>
      </c>
      <c r="D22" s="8">
        <v>3.1139E-2</v>
      </c>
      <c r="E22" s="8">
        <v>2.5989000000000002E-2</v>
      </c>
      <c r="F22" s="8">
        <v>1.8856999999999999E-2</v>
      </c>
    </row>
    <row r="23" spans="1:6" x14ac:dyDescent="0.2">
      <c r="A23" s="8" t="s">
        <v>42</v>
      </c>
      <c r="B23" s="8">
        <v>1.125E-2</v>
      </c>
      <c r="C23" s="8">
        <v>6.9345000000000004E-2</v>
      </c>
      <c r="D23" s="8">
        <v>4.1450000000000001E-2</v>
      </c>
      <c r="E23" s="8">
        <v>6.7164000000000001E-2</v>
      </c>
      <c r="F23" s="8">
        <v>3.4865E-2</v>
      </c>
    </row>
    <row r="24" spans="1:6" x14ac:dyDescent="0.2">
      <c r="A24" s="8" t="s">
        <v>43</v>
      </c>
      <c r="B24" s="8">
        <v>3.1585000000000002E-2</v>
      </c>
      <c r="C24" s="8">
        <v>1.8380000000000001E-2</v>
      </c>
      <c r="D24" s="8">
        <v>1.1261999999999999E-2</v>
      </c>
      <c r="E24" s="8">
        <v>7.443E-3</v>
      </c>
      <c r="F24" s="8">
        <v>4.9005E-2</v>
      </c>
    </row>
    <row r="25" spans="1:6" x14ac:dyDescent="0.2">
      <c r="A25" s="8" t="s">
        <v>44</v>
      </c>
      <c r="B25" s="8">
        <v>8.0403000000000002E-2</v>
      </c>
      <c r="C25" s="8">
        <v>5.6590000000000001E-2</v>
      </c>
      <c r="D25" s="8">
        <v>5.9122000000000001E-2</v>
      </c>
      <c r="E25" s="8">
        <v>5.3529E-2</v>
      </c>
      <c r="F25" s="8">
        <v>9.0256000000000003E-2</v>
      </c>
    </row>
    <row r="26" spans="1:6" x14ac:dyDescent="0.2">
      <c r="A26" s="8" t="s">
        <v>45</v>
      </c>
      <c r="B26" s="8">
        <v>5.7393E-2</v>
      </c>
      <c r="C26" s="8">
        <v>4.7600000000000003E-2</v>
      </c>
      <c r="D26" s="8">
        <v>4.4833999999999999E-2</v>
      </c>
      <c r="E26" s="8">
        <v>5.9590999999999998E-2</v>
      </c>
      <c r="F26" s="8">
        <v>6.2348000000000001E-2</v>
      </c>
    </row>
    <row r="27" spans="1:6" x14ac:dyDescent="0.2">
      <c r="A27" s="8" t="s">
        <v>46</v>
      </c>
      <c r="B27" s="8">
        <v>3.7299999999999998E-3</v>
      </c>
      <c r="C27" s="8">
        <v>1.7638999999999998E-2</v>
      </c>
      <c r="D27" s="8">
        <v>1.1537E-2</v>
      </c>
      <c r="E27" s="8">
        <v>1.8253999999999999E-2</v>
      </c>
      <c r="F27" s="8">
        <v>8.9020000000000002E-3</v>
      </c>
    </row>
    <row r="28" spans="1:6" x14ac:dyDescent="0.2">
      <c r="A28" s="8" t="s">
        <v>47</v>
      </c>
      <c r="B28" s="8">
        <v>1.3167999999999999E-2</v>
      </c>
      <c r="C28" s="8">
        <v>4.5976999999999997E-2</v>
      </c>
      <c r="D28" s="8">
        <v>3.1349000000000002E-2</v>
      </c>
      <c r="E28" s="8">
        <v>4.1014000000000002E-2</v>
      </c>
      <c r="F28" s="8">
        <v>2.8754999999999999E-2</v>
      </c>
    </row>
    <row r="29" spans="1:6" x14ac:dyDescent="0.2">
      <c r="A29" s="14" t="s">
        <v>48</v>
      </c>
      <c r="B29" s="14">
        <v>3.0752999999999999E-2</v>
      </c>
      <c r="C29" s="14">
        <v>0.114491</v>
      </c>
      <c r="D29" s="14">
        <v>6.8170999999999995E-2</v>
      </c>
      <c r="E29" s="14">
        <v>0.16905500000000001</v>
      </c>
      <c r="F29" s="14">
        <v>4.9577999999999997E-2</v>
      </c>
    </row>
    <row r="30" spans="1:6" x14ac:dyDescent="0.2">
      <c r="A30" s="17" t="s">
        <v>49</v>
      </c>
      <c r="B30" s="8">
        <f>B14+B22+B23+B19+B20+B29+B27+B28</f>
        <v>0.13108300000000001</v>
      </c>
      <c r="C30" s="8">
        <f>C14+C22+C23+C19+C20+C29+C27+C28</f>
        <v>0.58365500000000003</v>
      </c>
      <c r="D30" s="8">
        <f>D14+D22+D23+D19+D20+D29+D27+D28</f>
        <v>0.40481100000000003</v>
      </c>
      <c r="E30" s="8">
        <f>E14+E22+E23+E19+E20+E29+E27+E28</f>
        <v>0.58999900000000005</v>
      </c>
      <c r="F30" s="8">
        <f>F14+F22+F23+F19+F20+F29+F27+F28</f>
        <v>0.26336500000000002</v>
      </c>
    </row>
    <row r="31" spans="1:6" x14ac:dyDescent="0.2">
      <c r="A31" s="17" t="s">
        <v>50</v>
      </c>
      <c r="B31" s="8">
        <f>B10+B26+B18+B17+B24+B13+B16+B25+B12+B15+B11+B21</f>
        <v>0.86891700000000005</v>
      </c>
      <c r="C31" s="8">
        <f>C10+C26+C18+C17+C24+C13+C16+C25+C12+C15+C11+C21</f>
        <v>0.41634399999999994</v>
      </c>
      <c r="D31" s="8">
        <f>D10+D26+D18+D17+D24+D13+D16+D25+D12+D15+D11+D21</f>
        <v>0.59519</v>
      </c>
      <c r="E31" s="8">
        <f>E10+E26+E18+E17+E24+E13+E16+E25+E12+E15+E11+E21</f>
        <v>0.41000099999999995</v>
      </c>
      <c r="F31" s="8">
        <f>F10+F26+F18+F17+F24+F13+F16+F25+F12+F15+F11+F21</f>
        <v>0.73663499999999993</v>
      </c>
    </row>
    <row r="32" spans="1:6" x14ac:dyDescent="0.2">
      <c r="A32" s="17" t="s">
        <v>51</v>
      </c>
      <c r="B32" s="8">
        <f>B10+B16+B21+B15+B11+B22+B20+B12+B13</f>
        <v>0.67336099999999999</v>
      </c>
      <c r="C32" s="8">
        <f>C10+C16+C21+C15+C11+C22+C20+C12+C13</f>
        <v>0.437143</v>
      </c>
      <c r="D32" s="8">
        <f>D10+D16+D21+D15+D11+D22+D20+D12+D13</f>
        <v>0.61593300000000017</v>
      </c>
      <c r="E32" s="8">
        <f>E10+E16+E21+E15+E11+E22+E20+E12+E13</f>
        <v>0.39854800000000001</v>
      </c>
      <c r="F32" s="8">
        <f>F10+F16+F21+F15+F11+F22+F20+F12+F13</f>
        <v>0.513826</v>
      </c>
    </row>
    <row r="33" spans="1:6" x14ac:dyDescent="0.2">
      <c r="A33" s="17" t="s">
        <v>52</v>
      </c>
      <c r="B33" s="8">
        <f>B25+B18+B14+B26+B28+B23+B27+B19+B29</f>
        <v>0.24513800000000005</v>
      </c>
      <c r="C33" s="8">
        <f>C25+C18+C14+C26+C28+C23+C27+C19+C29</f>
        <v>0.49679899999999999</v>
      </c>
      <c r="D33" s="8">
        <f>D25+D18+D14+D26+D28+D23+D27+D19+D29</f>
        <v>0.35022599999999998</v>
      </c>
      <c r="E33" s="8">
        <f>E25+E18+E14+E26+E28+E23+E27+E19+E29</f>
        <v>0.56572500000000003</v>
      </c>
      <c r="F33" s="8">
        <f>F25+F18+F14+F26+F28+F23+F27+F19+F29</f>
        <v>0.34959499999999999</v>
      </c>
    </row>
    <row r="34" spans="1:6" x14ac:dyDescent="0.2">
      <c r="A34" s="18" t="s">
        <v>53</v>
      </c>
      <c r="B34" s="14">
        <f>B17+B24</f>
        <v>8.1501000000000004E-2</v>
      </c>
      <c r="C34" s="14">
        <f>C17+C24</f>
        <v>6.6057000000000005E-2</v>
      </c>
      <c r="D34" s="14">
        <f>D17+D24</f>
        <v>3.3841999999999997E-2</v>
      </c>
      <c r="E34" s="14">
        <f>E17+E24</f>
        <v>3.5727000000000002E-2</v>
      </c>
      <c r="F34" s="14">
        <f>F17+F24</f>
        <v>0.13657900000000001</v>
      </c>
    </row>
  </sheetData>
  <pageMargins left="0.7" right="0.7" top="0.75" bottom="0.75" header="0.3" footer="0.3"/>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7"/>
  <sheetViews>
    <sheetView workbookViewId="0"/>
  </sheetViews>
  <sheetFormatPr baseColWidth="10" defaultRowHeight="16" x14ac:dyDescent="0.2"/>
  <cols>
    <col min="8" max="8" width="11.6640625" bestFit="1" customWidth="1"/>
    <col min="11" max="11" width="11.6640625" bestFit="1" customWidth="1"/>
    <col min="14" max="14" width="11.6640625" bestFit="1" customWidth="1"/>
    <col min="15" max="15" width="11.5" bestFit="1" customWidth="1"/>
  </cols>
  <sheetData>
    <row r="1" spans="1:15" ht="17" thickBot="1" x14ac:dyDescent="0.25"/>
    <row r="2" spans="1:15" ht="18" thickBot="1" x14ac:dyDescent="0.25">
      <c r="A2" s="1" t="s">
        <v>0</v>
      </c>
      <c r="B2" s="1" t="s">
        <v>1</v>
      </c>
      <c r="C2" s="1" t="s">
        <v>2</v>
      </c>
      <c r="D2" s="1" t="s">
        <v>3</v>
      </c>
      <c r="E2" s="1" t="s">
        <v>4</v>
      </c>
      <c r="F2" s="1" t="s">
        <v>5</v>
      </c>
      <c r="H2" s="1" t="s">
        <v>11</v>
      </c>
      <c r="I2" s="1" t="s">
        <v>12</v>
      </c>
      <c r="J2" s="1" t="s">
        <v>13</v>
      </c>
      <c r="K2" s="1" t="s">
        <v>14</v>
      </c>
      <c r="M2" s="1" t="s">
        <v>15</v>
      </c>
      <c r="N2" s="1" t="s">
        <v>16</v>
      </c>
      <c r="O2" s="1" t="s">
        <v>17</v>
      </c>
    </row>
    <row r="3" spans="1:15" ht="17" x14ac:dyDescent="0.2">
      <c r="A3" s="2" t="s">
        <v>6</v>
      </c>
      <c r="B3" s="3">
        <v>274</v>
      </c>
      <c r="C3" s="4">
        <v>1005</v>
      </c>
      <c r="D3" s="3">
        <v>141</v>
      </c>
      <c r="E3" s="4">
        <v>1420</v>
      </c>
      <c r="F3" s="4">
        <v>161897</v>
      </c>
      <c r="H3" s="3">
        <f>B3/$E3</f>
        <v>0.19295774647887323</v>
      </c>
      <c r="I3" s="3">
        <f t="shared" ref="I3:J3" si="0">C3/$E3</f>
        <v>0.70774647887323938</v>
      </c>
      <c r="J3" s="3">
        <f t="shared" si="0"/>
        <v>9.929577464788733E-2</v>
      </c>
      <c r="K3" s="3">
        <f>(B3+D3)/$E3</f>
        <v>0.29225352112676056</v>
      </c>
      <c r="M3" s="3">
        <f>(B3+D3)/2</f>
        <v>207.5</v>
      </c>
      <c r="N3" s="3">
        <f>(((B3-M3)*(B3-M3))/M3)+(((D3-M3)*(D3-M3))/M3)</f>
        <v>42.624096385542167</v>
      </c>
      <c r="O3" s="3">
        <f>CHIDIST(N3,1)</f>
        <v>6.6337124066225871E-11</v>
      </c>
    </row>
    <row r="4" spans="1:15" ht="17" x14ac:dyDescent="0.2">
      <c r="A4" s="2" t="s">
        <v>7</v>
      </c>
      <c r="B4" s="3">
        <v>269</v>
      </c>
      <c r="C4" s="4">
        <v>1075</v>
      </c>
      <c r="D4" s="3">
        <v>281</v>
      </c>
      <c r="E4" s="4">
        <v>1625</v>
      </c>
      <c r="F4" s="4">
        <v>194117</v>
      </c>
      <c r="H4" s="3">
        <f t="shared" ref="H4:H6" si="1">B4/$E4</f>
        <v>0.16553846153846155</v>
      </c>
      <c r="I4" s="3">
        <f t="shared" ref="I4:I7" si="2">C4/$E4</f>
        <v>0.66153846153846152</v>
      </c>
      <c r="J4" s="3">
        <f t="shared" ref="J4:J7" si="3">D4/$E4</f>
        <v>0.17292307692307693</v>
      </c>
      <c r="K4" s="3">
        <f t="shared" ref="K4:K6" si="4">(B4+D4)/$E4</f>
        <v>0.33846153846153848</v>
      </c>
      <c r="M4" s="3">
        <f>(B4+D4)/2</f>
        <v>275</v>
      </c>
      <c r="N4" s="3">
        <f>(((B4-M4)*(B4-M4))/M4)+(((D4-M4)*(D4-M4))/M4)</f>
        <v>0.26181818181818184</v>
      </c>
      <c r="O4" s="3">
        <f>CHIDIST(N4,1)</f>
        <v>0.60887378226356925</v>
      </c>
    </row>
    <row r="5" spans="1:15" ht="17" x14ac:dyDescent="0.2">
      <c r="A5" s="2" t="s">
        <v>8</v>
      </c>
      <c r="B5" s="3">
        <v>248</v>
      </c>
      <c r="C5" s="3">
        <v>894</v>
      </c>
      <c r="D5" s="3">
        <v>148</v>
      </c>
      <c r="E5" s="4">
        <v>1290</v>
      </c>
      <c r="F5" s="4">
        <v>161117</v>
      </c>
      <c r="H5" s="3">
        <f t="shared" si="1"/>
        <v>0.19224806201550387</v>
      </c>
      <c r="I5" s="3">
        <f t="shared" si="2"/>
        <v>0.69302325581395352</v>
      </c>
      <c r="J5" s="3">
        <f t="shared" si="3"/>
        <v>0.11472868217054263</v>
      </c>
      <c r="K5" s="3">
        <f t="shared" si="4"/>
        <v>0.30697674418604654</v>
      </c>
      <c r="M5" s="3">
        <f>(B5+D5)/2</f>
        <v>198</v>
      </c>
      <c r="N5" s="3">
        <f>(((B5-M5)*(B5-M5))/M5)+(((D5-M5)*(D5-M5))/M5)</f>
        <v>25.252525252525253</v>
      </c>
      <c r="O5" s="3">
        <f>CHIDIST(N5,1)</f>
        <v>5.0293678115847118E-7</v>
      </c>
    </row>
    <row r="6" spans="1:15" ht="17" x14ac:dyDescent="0.2">
      <c r="A6" s="2" t="s">
        <v>9</v>
      </c>
      <c r="B6" s="3">
        <v>64</v>
      </c>
      <c r="C6" s="3">
        <v>368</v>
      </c>
      <c r="D6" s="3">
        <v>82</v>
      </c>
      <c r="E6" s="3">
        <v>514</v>
      </c>
      <c r="F6" s="4">
        <v>60563</v>
      </c>
      <c r="H6" s="3">
        <f t="shared" si="1"/>
        <v>0.1245136186770428</v>
      </c>
      <c r="I6" s="3">
        <f t="shared" si="2"/>
        <v>0.71595330739299612</v>
      </c>
      <c r="J6" s="3">
        <f t="shared" si="3"/>
        <v>0.15953307392996108</v>
      </c>
      <c r="K6" s="3">
        <f t="shared" si="4"/>
        <v>0.28404669260700388</v>
      </c>
      <c r="M6" s="3">
        <f>(B6+D6)/2</f>
        <v>73</v>
      </c>
      <c r="N6" s="3">
        <f>(((B6-M6)*(B6-M6))/M6)+(((D6-M6)*(D6-M6))/M6)</f>
        <v>2.2191780821917808</v>
      </c>
      <c r="O6" s="3">
        <f>CHIDIST(N6,1)</f>
        <v>0.13630560748714154</v>
      </c>
    </row>
    <row r="7" spans="1:15" ht="18" thickBot="1" x14ac:dyDescent="0.25">
      <c r="A7" s="5" t="s">
        <v>10</v>
      </c>
      <c r="B7" s="6">
        <v>211</v>
      </c>
      <c r="C7" s="6">
        <v>812</v>
      </c>
      <c r="D7" s="6">
        <v>171</v>
      </c>
      <c r="E7" s="7">
        <v>1194</v>
      </c>
      <c r="F7" s="7">
        <v>134334</v>
      </c>
      <c r="H7" s="6">
        <f>B7/$E7</f>
        <v>0.17671691792294808</v>
      </c>
      <c r="I7" s="6">
        <f t="shared" si="2"/>
        <v>0.68006700167504186</v>
      </c>
      <c r="J7" s="6">
        <f t="shared" si="3"/>
        <v>0.14321608040201006</v>
      </c>
      <c r="K7" s="6">
        <f>(B7+D7)/$E7</f>
        <v>0.31993299832495814</v>
      </c>
      <c r="M7" s="6">
        <f>(B7+D7)/2</f>
        <v>191</v>
      </c>
      <c r="N7" s="6">
        <f>(((B7-M7)*(B7-M7))/M7)+(((D7-M7)*(D7-M7))/M7)</f>
        <v>4.1884816753926701</v>
      </c>
      <c r="O7" s="6">
        <f>CHIDIST(N7,1)</f>
        <v>4.0699532791497184E-2</v>
      </c>
    </row>
  </sheetData>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Model fit - RSA vs SS</vt:lpstr>
      <vt:lpstr>SD symmetry test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Braun,Edward Louis</dc:creator>
  <cp:lastModifiedBy>Braun,Edward Louis</cp:lastModifiedBy>
  <dcterms:created xsi:type="dcterms:W3CDTF">2019-01-17T19:38:09Z</dcterms:created>
  <dcterms:modified xsi:type="dcterms:W3CDTF">2021-01-17T03:58:42Z</dcterms:modified>
</cp:coreProperties>
</file>