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90" documentId="13_ncr:4000b_{8B521D15-6FA1-44FE-955F-C8D0B2274655}" xr6:coauthVersionLast="47" xr6:coauthVersionMax="47" xr10:uidLastSave="{2ED93B7B-85CE-411F-AF1E-3C56AE40090B}"/>
  <bookViews>
    <workbookView xWindow="-108" yWindow="-108" windowWidth="23256" windowHeight="12456" xr2:uid="{00000000-000D-0000-FFFF-FFFF00000000}"/>
  </bookViews>
  <sheets>
    <sheet name="savedrecs" sheetId="1" r:id="rId1"/>
  </sheets>
  <definedNames>
    <definedName name="_xlnm._FilterDatabase" localSheetId="0" hidden="1">savedrecs!$A$1:$BT$1301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1301" i="1" l="1"/>
  <c r="BF1301" i="1"/>
  <c r="BT1300" i="1"/>
  <c r="BT1299" i="1"/>
  <c r="BT1298" i="1"/>
  <c r="BF1298" i="1"/>
  <c r="BT1297" i="1"/>
  <c r="BT1296" i="1"/>
  <c r="BF1296" i="1"/>
  <c r="BT1295" i="1"/>
  <c r="BT1294" i="1"/>
  <c r="BT1293" i="1"/>
  <c r="BT1292" i="1"/>
  <c r="BT1291" i="1"/>
  <c r="BF1291" i="1"/>
  <c r="BT1290" i="1"/>
  <c r="BT1289" i="1"/>
  <c r="BT1288" i="1"/>
  <c r="BT1287" i="1"/>
  <c r="BT1286" i="1"/>
  <c r="BF1286" i="1"/>
  <c r="BT1285" i="1"/>
  <c r="BF1285" i="1"/>
  <c r="BT1284" i="1"/>
  <c r="BT1283" i="1"/>
  <c r="BT1282" i="1"/>
  <c r="BF1282" i="1"/>
  <c r="BT1281" i="1"/>
  <c r="BF1281" i="1"/>
  <c r="BT1280" i="1"/>
  <c r="BF1280" i="1"/>
  <c r="BT1279" i="1"/>
  <c r="BF1279" i="1"/>
  <c r="BT1278" i="1"/>
  <c r="BF1278" i="1"/>
  <c r="BT1277" i="1"/>
  <c r="BF1277" i="1"/>
  <c r="BT1276" i="1"/>
  <c r="BT1275" i="1"/>
  <c r="BF1275" i="1"/>
  <c r="BT1274" i="1"/>
  <c r="BF1274" i="1"/>
  <c r="BT1273" i="1"/>
  <c r="BF1273" i="1"/>
  <c r="BT1272" i="1"/>
  <c r="BF1272" i="1"/>
  <c r="BT1271" i="1"/>
  <c r="BF1271" i="1"/>
  <c r="BT1270" i="1"/>
  <c r="BF1270" i="1"/>
  <c r="BT1269" i="1"/>
  <c r="BF1269" i="1"/>
  <c r="BT1268" i="1"/>
  <c r="BF1268" i="1"/>
  <c r="BT1267" i="1"/>
  <c r="BF1267" i="1"/>
  <c r="BT1266" i="1"/>
  <c r="BF1266" i="1"/>
  <c r="BT1265" i="1"/>
  <c r="BF1265" i="1"/>
  <c r="BT1264" i="1"/>
  <c r="BF1264" i="1"/>
  <c r="BT1263" i="1"/>
  <c r="BF1263" i="1"/>
  <c r="BT1262" i="1"/>
  <c r="BF1262" i="1"/>
  <c r="BT1261" i="1"/>
  <c r="BF1261" i="1"/>
  <c r="BT1260" i="1"/>
  <c r="BF1260" i="1"/>
  <c r="BT1259" i="1"/>
  <c r="BF1259" i="1"/>
  <c r="BT1258" i="1"/>
  <c r="BF1258" i="1"/>
  <c r="BT1257" i="1"/>
  <c r="BF1257" i="1"/>
  <c r="BT1256" i="1"/>
  <c r="BF1256" i="1"/>
  <c r="BT1255" i="1"/>
  <c r="BF1255" i="1"/>
  <c r="BT1254" i="1"/>
  <c r="BF1254" i="1"/>
  <c r="BT1253" i="1"/>
  <c r="BF1253" i="1"/>
  <c r="BT1252" i="1"/>
  <c r="BF1252" i="1"/>
  <c r="BT1251" i="1"/>
  <c r="BF1251" i="1"/>
  <c r="BT1250" i="1"/>
  <c r="BF1250" i="1"/>
  <c r="BT1249" i="1"/>
  <c r="BF1249" i="1"/>
  <c r="BT1248" i="1"/>
  <c r="BF1248" i="1"/>
  <c r="BT1247" i="1"/>
  <c r="BF1247" i="1"/>
  <c r="BT1246" i="1"/>
  <c r="BF1246" i="1"/>
  <c r="BT1245" i="1"/>
  <c r="BF1245" i="1"/>
  <c r="BT1244" i="1"/>
  <c r="BF1244" i="1"/>
  <c r="BT1243" i="1"/>
  <c r="BF1243" i="1"/>
  <c r="BT1242" i="1"/>
  <c r="BF1242" i="1"/>
  <c r="BT1241" i="1"/>
  <c r="BF1241" i="1"/>
  <c r="BT1240" i="1"/>
  <c r="BF1240" i="1"/>
  <c r="BT1239" i="1"/>
  <c r="BF1239" i="1"/>
  <c r="BT1238" i="1"/>
  <c r="BF1238" i="1"/>
  <c r="BT1237" i="1"/>
  <c r="BF1237" i="1"/>
  <c r="BT1236" i="1"/>
  <c r="BF1236" i="1"/>
  <c r="BT1235" i="1"/>
  <c r="BF1235" i="1"/>
  <c r="BT1234" i="1"/>
  <c r="BF1234" i="1"/>
  <c r="BT1233" i="1"/>
  <c r="BF1233" i="1"/>
  <c r="BT1232" i="1"/>
  <c r="BF1232" i="1"/>
  <c r="BT1231" i="1"/>
  <c r="BF1231" i="1"/>
  <c r="BT1230" i="1"/>
  <c r="BF1230" i="1"/>
  <c r="BT1229" i="1"/>
  <c r="BF1229" i="1"/>
  <c r="BT1228" i="1"/>
  <c r="BF1228" i="1"/>
  <c r="BT1227" i="1"/>
  <c r="BF1227" i="1"/>
  <c r="BT1226" i="1"/>
  <c r="BF1226" i="1"/>
  <c r="BT1225" i="1"/>
  <c r="BF1225" i="1"/>
  <c r="BT1224" i="1"/>
  <c r="BF1224" i="1"/>
  <c r="BT1223" i="1"/>
  <c r="BF1223" i="1"/>
  <c r="BT1222" i="1"/>
  <c r="BF1222" i="1"/>
  <c r="BT1221" i="1"/>
  <c r="BF1221" i="1"/>
  <c r="BT1220" i="1"/>
  <c r="BF1220" i="1"/>
  <c r="BT1219" i="1"/>
  <c r="BF1219" i="1"/>
  <c r="BT1218" i="1"/>
  <c r="BF1218" i="1"/>
  <c r="BT1217" i="1"/>
  <c r="BF1217" i="1"/>
  <c r="BT1216" i="1"/>
  <c r="BF1216" i="1"/>
  <c r="BT1215" i="1"/>
  <c r="BF1215" i="1"/>
  <c r="BT1214" i="1"/>
  <c r="BF1214" i="1"/>
  <c r="BT1213" i="1"/>
  <c r="BF1213" i="1"/>
  <c r="BT1212" i="1"/>
  <c r="BF1212" i="1"/>
  <c r="BT1211" i="1"/>
  <c r="BF1211" i="1"/>
  <c r="BT1210" i="1"/>
  <c r="BF1210" i="1"/>
  <c r="BT1209" i="1"/>
  <c r="BF1209" i="1"/>
  <c r="BT1208" i="1"/>
  <c r="BF1208" i="1"/>
  <c r="BT1207" i="1"/>
  <c r="BF1207" i="1"/>
  <c r="BT1206" i="1"/>
  <c r="BF1206" i="1"/>
  <c r="BT1205" i="1"/>
  <c r="BF1205" i="1"/>
  <c r="BT1204" i="1"/>
  <c r="BF1204" i="1"/>
  <c r="BT1203" i="1"/>
  <c r="BF1203" i="1"/>
  <c r="BT1202" i="1"/>
  <c r="BF1202" i="1"/>
  <c r="BT1201" i="1"/>
  <c r="BF1201" i="1"/>
  <c r="BT1200" i="1"/>
  <c r="BF1200" i="1"/>
  <c r="BT1199" i="1"/>
  <c r="BF1199" i="1"/>
  <c r="BT1198" i="1"/>
  <c r="BF1198" i="1"/>
  <c r="BT1197" i="1"/>
  <c r="BF1197" i="1"/>
  <c r="BT1196" i="1"/>
  <c r="BF1196" i="1"/>
  <c r="BT523" i="1"/>
  <c r="BF523" i="1"/>
  <c r="BT1194" i="1"/>
  <c r="BF1194" i="1"/>
  <c r="BT1193" i="1"/>
  <c r="BF1193" i="1"/>
  <c r="BT1192" i="1"/>
  <c r="BF1192" i="1"/>
  <c r="BT1191" i="1"/>
  <c r="BF1191" i="1"/>
  <c r="BT1190" i="1"/>
  <c r="BF1190" i="1"/>
  <c r="BT1189" i="1"/>
  <c r="BF1189" i="1"/>
  <c r="BT1188" i="1"/>
  <c r="BF1188" i="1"/>
  <c r="BT1187" i="1"/>
  <c r="BF1187" i="1"/>
  <c r="BT1186" i="1"/>
  <c r="BF1186" i="1"/>
  <c r="BT1185" i="1"/>
  <c r="BF1185" i="1"/>
  <c r="BT1184" i="1"/>
  <c r="BF1184" i="1"/>
  <c r="BT1183" i="1"/>
  <c r="BF1183" i="1"/>
  <c r="BT1182" i="1"/>
  <c r="BF1182" i="1"/>
  <c r="BT1181" i="1"/>
  <c r="BF1181" i="1"/>
  <c r="BT1180" i="1"/>
  <c r="BF1180" i="1"/>
  <c r="BT1179" i="1"/>
  <c r="BF1179" i="1"/>
  <c r="BT1178" i="1"/>
  <c r="BF1178" i="1"/>
  <c r="BT1177" i="1"/>
  <c r="BF1177" i="1"/>
  <c r="BT1176" i="1"/>
  <c r="BF1176" i="1"/>
  <c r="BT1175" i="1"/>
  <c r="BF1175" i="1"/>
  <c r="BT1174" i="1"/>
  <c r="BF1174" i="1"/>
  <c r="BT1173" i="1"/>
  <c r="BF1173" i="1"/>
  <c r="BT1172" i="1"/>
  <c r="BF1172" i="1"/>
  <c r="BT1171" i="1"/>
  <c r="BF1171" i="1"/>
  <c r="BT1170" i="1"/>
  <c r="BF1170" i="1"/>
  <c r="BT1169" i="1"/>
  <c r="BF1169" i="1"/>
  <c r="BT1168" i="1"/>
  <c r="BF1168" i="1"/>
  <c r="BT1167" i="1"/>
  <c r="BF1167" i="1"/>
  <c r="BT1166" i="1"/>
  <c r="BF1166" i="1"/>
  <c r="BT1165" i="1"/>
  <c r="BF1165" i="1"/>
  <c r="BT1164" i="1"/>
  <c r="BF1164" i="1"/>
  <c r="BT1163" i="1"/>
  <c r="BF1163" i="1"/>
  <c r="BT1162" i="1"/>
  <c r="BF1162" i="1"/>
  <c r="BT1161" i="1"/>
  <c r="BF1161" i="1"/>
  <c r="BT1160" i="1"/>
  <c r="BF1160" i="1"/>
  <c r="BT1159" i="1"/>
  <c r="BF1159" i="1"/>
  <c r="BT1158" i="1"/>
  <c r="BF1158" i="1"/>
  <c r="BT1157" i="1"/>
  <c r="BF1157" i="1"/>
  <c r="BT1156" i="1"/>
  <c r="BF1156" i="1"/>
  <c r="BT1155" i="1"/>
  <c r="BF1155" i="1"/>
  <c r="BT1154" i="1"/>
  <c r="BF1154" i="1"/>
  <c r="BT1153" i="1"/>
  <c r="BF1153" i="1"/>
  <c r="BT1152" i="1"/>
  <c r="BF1152" i="1"/>
  <c r="BT1151" i="1"/>
  <c r="BF1151" i="1"/>
  <c r="BT1150" i="1"/>
  <c r="BF1150" i="1"/>
  <c r="BT1149" i="1"/>
  <c r="BF1149" i="1"/>
  <c r="BT1148" i="1"/>
  <c r="BF1148" i="1"/>
  <c r="BT1147" i="1"/>
  <c r="BF1147" i="1"/>
  <c r="BT1146" i="1"/>
  <c r="BF1146" i="1"/>
  <c r="BT1145" i="1"/>
  <c r="BF1145" i="1"/>
  <c r="BT1144" i="1"/>
  <c r="BF1144" i="1"/>
  <c r="BT1143" i="1"/>
  <c r="BF1143" i="1"/>
  <c r="BT1142" i="1"/>
  <c r="BF1142" i="1"/>
  <c r="BT1141" i="1"/>
  <c r="BF1141" i="1"/>
  <c r="BT1140" i="1"/>
  <c r="BF1140" i="1"/>
  <c r="BT1139" i="1"/>
  <c r="BF1139" i="1"/>
  <c r="BT1138" i="1"/>
  <c r="BF1138" i="1"/>
  <c r="BT1137" i="1"/>
  <c r="BF1137" i="1"/>
  <c r="BT1136" i="1"/>
  <c r="BF1136" i="1"/>
  <c r="BT1135" i="1"/>
  <c r="BF1135" i="1"/>
  <c r="BT1134" i="1"/>
  <c r="BF1134" i="1"/>
  <c r="BT1133" i="1"/>
  <c r="BF1133" i="1"/>
  <c r="BT1132" i="1"/>
  <c r="BF1132" i="1"/>
  <c r="BT1131" i="1"/>
  <c r="BF1131" i="1"/>
  <c r="BT1130" i="1"/>
  <c r="BF1130" i="1"/>
  <c r="BT1129" i="1"/>
  <c r="BF1129" i="1"/>
  <c r="BT1128" i="1"/>
  <c r="BF1128" i="1"/>
  <c r="BT1127" i="1"/>
  <c r="BF1127" i="1"/>
  <c r="BT1126" i="1"/>
  <c r="BF1126" i="1"/>
  <c r="BT1125" i="1"/>
  <c r="BF1125" i="1"/>
  <c r="BT1124" i="1"/>
  <c r="BF1124" i="1"/>
  <c r="BT1123" i="1"/>
  <c r="BF1123" i="1"/>
  <c r="BT1122" i="1"/>
  <c r="BF1122" i="1"/>
  <c r="BT1121" i="1"/>
  <c r="BF1121" i="1"/>
  <c r="BT1120" i="1"/>
  <c r="BF1120" i="1"/>
  <c r="BT1119" i="1"/>
  <c r="BF1119" i="1"/>
  <c r="BT1118" i="1"/>
  <c r="BF1118" i="1"/>
  <c r="BT1117" i="1"/>
  <c r="BF1117" i="1"/>
  <c r="BT1116" i="1"/>
  <c r="BF1116" i="1"/>
  <c r="BT1115" i="1"/>
  <c r="BF1115" i="1"/>
  <c r="BT1114" i="1"/>
  <c r="BF1114" i="1"/>
  <c r="BT1113" i="1"/>
  <c r="BT1112" i="1"/>
  <c r="BF1112" i="1"/>
  <c r="BT1111" i="1"/>
  <c r="BF1111" i="1"/>
  <c r="BT1110" i="1"/>
  <c r="BF1110" i="1"/>
  <c r="BT1109" i="1"/>
  <c r="BF1109" i="1"/>
  <c r="BT1108" i="1"/>
  <c r="BF1108" i="1"/>
  <c r="BT1107" i="1"/>
  <c r="BF1107" i="1"/>
  <c r="BT1106" i="1"/>
  <c r="BT1105" i="1"/>
  <c r="BF1105" i="1"/>
  <c r="BT1104" i="1"/>
  <c r="BF1104" i="1"/>
  <c r="BT1103" i="1"/>
  <c r="BF1103" i="1"/>
  <c r="BT1102" i="1"/>
  <c r="BF1102" i="1"/>
  <c r="BT1101" i="1"/>
  <c r="BT1100" i="1"/>
  <c r="BF1100" i="1"/>
  <c r="BT1099" i="1"/>
  <c r="BF1099" i="1"/>
  <c r="BT1098" i="1"/>
  <c r="BF1098" i="1"/>
  <c r="BT1097" i="1"/>
  <c r="BF1097" i="1"/>
  <c r="BT1096" i="1"/>
  <c r="BF1096" i="1"/>
  <c r="BT1095" i="1"/>
  <c r="BF1095" i="1"/>
  <c r="BT1094" i="1"/>
  <c r="BF1094" i="1"/>
  <c r="BT1093" i="1"/>
  <c r="BF1093" i="1"/>
  <c r="BT1092" i="1"/>
  <c r="BF1092" i="1"/>
  <c r="BT1091" i="1"/>
  <c r="BF1091" i="1"/>
  <c r="BT1090" i="1"/>
  <c r="BF1090" i="1"/>
  <c r="BT1089" i="1"/>
  <c r="BF1089" i="1"/>
  <c r="BT1088" i="1"/>
  <c r="BF1088" i="1"/>
  <c r="BT1087" i="1"/>
  <c r="BF1087" i="1"/>
  <c r="BT1086" i="1"/>
  <c r="BF1086" i="1"/>
  <c r="BT1085" i="1"/>
  <c r="BF1085" i="1"/>
  <c r="BT1084" i="1"/>
  <c r="BF1084" i="1"/>
  <c r="BT1083" i="1"/>
  <c r="BF1083" i="1"/>
  <c r="BT1082" i="1"/>
  <c r="BF1082" i="1"/>
  <c r="BT1081" i="1"/>
  <c r="BF1081" i="1"/>
  <c r="BT1080" i="1"/>
  <c r="BF1080" i="1"/>
  <c r="BT1079" i="1"/>
  <c r="BF1079" i="1"/>
  <c r="BT1078" i="1"/>
  <c r="BF1078" i="1"/>
  <c r="BT1077" i="1"/>
  <c r="BF1077" i="1"/>
  <c r="BT1076" i="1"/>
  <c r="BF1076" i="1"/>
  <c r="BT1075" i="1"/>
  <c r="BF1075" i="1"/>
  <c r="BT1074" i="1"/>
  <c r="BF1074" i="1"/>
  <c r="BT1073" i="1"/>
  <c r="BF1073" i="1"/>
  <c r="BT1072" i="1"/>
  <c r="BF1072" i="1"/>
  <c r="BT1071" i="1"/>
  <c r="BF1071" i="1"/>
  <c r="BT1070" i="1"/>
  <c r="BF1070" i="1"/>
  <c r="BT1069" i="1"/>
  <c r="BF1069" i="1"/>
  <c r="BT1068" i="1"/>
  <c r="BF1068" i="1"/>
  <c r="BT1067" i="1"/>
  <c r="BF1067" i="1"/>
  <c r="BT1066" i="1"/>
  <c r="BF1066" i="1"/>
  <c r="BT1065" i="1"/>
  <c r="BF1065" i="1"/>
  <c r="BT1064" i="1"/>
  <c r="BT1063" i="1"/>
  <c r="BF1063" i="1"/>
  <c r="BT1062" i="1"/>
  <c r="BF1062" i="1"/>
  <c r="BT1061" i="1"/>
  <c r="BF1061" i="1"/>
  <c r="BT1060" i="1"/>
  <c r="BF1060" i="1"/>
  <c r="BT1059" i="1"/>
  <c r="BF1059" i="1"/>
  <c r="BT1058" i="1"/>
  <c r="BF1058" i="1"/>
  <c r="BT1057" i="1"/>
  <c r="BF1057" i="1"/>
  <c r="BT1056" i="1"/>
  <c r="BF1056" i="1"/>
  <c r="BT1055" i="1"/>
  <c r="BF1055" i="1"/>
  <c r="BT1054" i="1"/>
  <c r="BF1054" i="1"/>
  <c r="BT1053" i="1"/>
  <c r="BF1053" i="1"/>
  <c r="BT1052" i="1"/>
  <c r="BF1052" i="1"/>
  <c r="BT1051" i="1"/>
  <c r="BF1051" i="1"/>
  <c r="BT1050" i="1"/>
  <c r="BF1050" i="1"/>
  <c r="BT1049" i="1"/>
  <c r="BF1049" i="1"/>
  <c r="BT1048" i="1"/>
  <c r="BF1048" i="1"/>
  <c r="BT1047" i="1"/>
  <c r="BF1047" i="1"/>
  <c r="BT1046" i="1"/>
  <c r="BF1046" i="1"/>
  <c r="BT1045" i="1"/>
  <c r="BF1045" i="1"/>
  <c r="BT1044" i="1"/>
  <c r="BF1044" i="1"/>
  <c r="BT1043" i="1"/>
  <c r="BF1043" i="1"/>
  <c r="BT1042" i="1"/>
  <c r="BF1042" i="1"/>
  <c r="BT1041" i="1"/>
  <c r="BF1041" i="1"/>
  <c r="BT1040" i="1"/>
  <c r="BF1040" i="1"/>
  <c r="BT1039" i="1"/>
  <c r="BF1039" i="1"/>
  <c r="BT1038" i="1"/>
  <c r="BF1038" i="1"/>
  <c r="BT1037" i="1"/>
  <c r="BF1037" i="1"/>
  <c r="BT1036" i="1"/>
  <c r="BF1036" i="1"/>
  <c r="BT1035" i="1"/>
  <c r="BF1035" i="1"/>
  <c r="BT1034" i="1"/>
  <c r="BF1034" i="1"/>
  <c r="BT1033" i="1"/>
  <c r="BF1033" i="1"/>
  <c r="BT1032" i="1"/>
  <c r="BF1032" i="1"/>
  <c r="BT1031" i="1"/>
  <c r="BF1031" i="1"/>
  <c r="BT1030" i="1"/>
  <c r="BF1030" i="1"/>
  <c r="BT1029" i="1"/>
  <c r="BF1029" i="1"/>
  <c r="BT1028" i="1"/>
  <c r="BF1028" i="1"/>
  <c r="BT1027" i="1"/>
  <c r="BF1027" i="1"/>
  <c r="BT1026" i="1"/>
  <c r="BF1026" i="1"/>
  <c r="BT1025" i="1"/>
  <c r="BF1025" i="1"/>
  <c r="BT1024" i="1"/>
  <c r="BF1024" i="1"/>
  <c r="BT1023" i="1"/>
  <c r="BF1023" i="1"/>
  <c r="BT1022" i="1"/>
  <c r="BF1022" i="1"/>
  <c r="BT1021" i="1"/>
  <c r="BF1021" i="1"/>
  <c r="BT1020" i="1"/>
  <c r="BF1020" i="1"/>
  <c r="BT1019" i="1"/>
  <c r="BF1019" i="1"/>
  <c r="BT1018" i="1"/>
  <c r="BF1018" i="1"/>
  <c r="BT1017" i="1"/>
  <c r="BF1017" i="1"/>
  <c r="BT1016" i="1"/>
  <c r="BF1016" i="1"/>
  <c r="BT1015" i="1"/>
  <c r="BF1015" i="1"/>
  <c r="BT1014" i="1"/>
  <c r="BF1014" i="1"/>
  <c r="BT1013" i="1"/>
  <c r="BF1013" i="1"/>
  <c r="BT1012" i="1"/>
  <c r="BF1012" i="1"/>
  <c r="BT1011" i="1"/>
  <c r="BF1011" i="1"/>
  <c r="BT1010" i="1"/>
  <c r="BF1010" i="1"/>
  <c r="BT1009" i="1"/>
  <c r="BF1009" i="1"/>
  <c r="BT1008" i="1"/>
  <c r="BF1008" i="1"/>
  <c r="BT1007" i="1"/>
  <c r="BF1007" i="1"/>
  <c r="BT1006" i="1"/>
  <c r="BT1005" i="1"/>
  <c r="BT1004" i="1"/>
  <c r="BF1004" i="1"/>
  <c r="BT1003" i="1"/>
  <c r="BF1003" i="1"/>
  <c r="BT1002" i="1"/>
  <c r="BF2" i="1"/>
  <c r="BT2" i="1"/>
  <c r="BF3" i="1"/>
  <c r="BT3" i="1"/>
  <c r="BF4" i="1"/>
  <c r="BT4" i="1"/>
  <c r="BF5" i="1"/>
  <c r="BT5" i="1"/>
  <c r="BF6" i="1"/>
  <c r="BT6" i="1"/>
  <c r="BF7" i="1"/>
  <c r="BT7" i="1"/>
  <c r="BF8" i="1"/>
  <c r="BT8" i="1"/>
  <c r="BF9" i="1"/>
  <c r="BT9" i="1"/>
  <c r="BF10" i="1"/>
  <c r="BT10" i="1"/>
  <c r="BF11" i="1"/>
  <c r="BT11" i="1"/>
  <c r="BF12" i="1"/>
  <c r="BT12" i="1"/>
  <c r="BF13" i="1"/>
  <c r="BT13" i="1"/>
  <c r="BF14" i="1"/>
  <c r="BT14" i="1"/>
  <c r="BF15" i="1"/>
  <c r="BT15" i="1"/>
  <c r="BF16" i="1"/>
  <c r="BT16" i="1"/>
  <c r="BF17" i="1"/>
  <c r="BT17" i="1"/>
  <c r="BF18" i="1"/>
  <c r="BT18" i="1"/>
  <c r="BF19" i="1"/>
  <c r="BT19" i="1"/>
  <c r="BF20" i="1"/>
  <c r="BT20" i="1"/>
  <c r="BF21" i="1"/>
  <c r="BT21" i="1"/>
  <c r="BF22" i="1"/>
  <c r="BT22" i="1"/>
  <c r="BF23" i="1"/>
  <c r="BT23" i="1"/>
  <c r="BF24" i="1"/>
  <c r="BT24" i="1"/>
  <c r="BT25" i="1"/>
  <c r="BF26" i="1"/>
  <c r="BT26" i="1"/>
  <c r="BF27" i="1"/>
  <c r="BT27" i="1"/>
  <c r="BF28" i="1"/>
  <c r="BT28" i="1"/>
  <c r="BF29" i="1"/>
  <c r="BT29" i="1"/>
  <c r="BF30" i="1"/>
  <c r="BT30" i="1"/>
  <c r="BF31" i="1"/>
  <c r="BT31" i="1"/>
  <c r="BF32" i="1"/>
  <c r="BT32" i="1"/>
  <c r="BF33" i="1"/>
  <c r="BT33" i="1"/>
  <c r="BF34" i="1"/>
  <c r="BT34" i="1"/>
  <c r="BF35" i="1"/>
  <c r="BT35" i="1"/>
  <c r="BF36" i="1"/>
  <c r="BT36" i="1"/>
  <c r="BF37" i="1"/>
  <c r="BT37" i="1"/>
  <c r="BF38" i="1"/>
  <c r="BT38" i="1"/>
  <c r="BF39" i="1"/>
  <c r="BT39" i="1"/>
  <c r="BF40" i="1"/>
  <c r="BT40" i="1"/>
  <c r="BF41" i="1"/>
  <c r="BT41" i="1"/>
  <c r="BF42" i="1"/>
  <c r="BT42" i="1"/>
  <c r="BF43" i="1"/>
  <c r="BT43" i="1"/>
  <c r="BF44" i="1"/>
  <c r="BT44" i="1"/>
  <c r="BF45" i="1"/>
  <c r="BT45" i="1"/>
  <c r="BF46" i="1"/>
  <c r="BT46" i="1"/>
  <c r="BF47" i="1"/>
  <c r="BT47" i="1"/>
  <c r="BT48" i="1"/>
  <c r="BF49" i="1"/>
  <c r="BT49" i="1"/>
  <c r="BF50" i="1"/>
  <c r="BT50" i="1"/>
  <c r="BF51" i="1"/>
  <c r="BT51" i="1"/>
  <c r="BF52" i="1"/>
  <c r="BT52" i="1"/>
  <c r="BF53" i="1"/>
  <c r="BT53" i="1"/>
  <c r="BF54" i="1"/>
  <c r="BT54" i="1"/>
  <c r="BF55" i="1"/>
  <c r="BT55" i="1"/>
  <c r="BF56" i="1"/>
  <c r="BT56" i="1"/>
  <c r="BF57" i="1"/>
  <c r="BT57" i="1"/>
  <c r="BT58" i="1"/>
  <c r="BF59" i="1"/>
  <c r="BT59" i="1"/>
  <c r="BF60" i="1"/>
  <c r="BT60" i="1"/>
  <c r="BF61" i="1"/>
  <c r="BT61" i="1"/>
  <c r="BF62" i="1"/>
  <c r="BT62" i="1"/>
  <c r="BF63" i="1"/>
  <c r="BT63" i="1"/>
  <c r="BF64" i="1"/>
  <c r="BT64" i="1"/>
  <c r="BF65" i="1"/>
  <c r="BT65" i="1"/>
  <c r="BF66" i="1"/>
  <c r="BT66" i="1"/>
  <c r="BF67" i="1"/>
  <c r="BT67" i="1"/>
  <c r="BF68" i="1"/>
  <c r="BT68" i="1"/>
  <c r="BF69" i="1"/>
  <c r="BT69" i="1"/>
  <c r="BF70" i="1"/>
  <c r="BT70" i="1"/>
  <c r="BF71" i="1"/>
  <c r="BT71" i="1"/>
  <c r="BF72" i="1"/>
  <c r="BT72" i="1"/>
  <c r="BF73" i="1"/>
  <c r="BT73" i="1"/>
  <c r="BF74" i="1"/>
  <c r="BT74" i="1"/>
  <c r="BF75" i="1"/>
  <c r="BT75" i="1"/>
  <c r="BF76" i="1"/>
  <c r="BT76" i="1"/>
  <c r="BF77" i="1"/>
  <c r="BT77" i="1"/>
  <c r="BF78" i="1"/>
  <c r="BT78" i="1"/>
  <c r="BF79" i="1"/>
  <c r="BT79" i="1"/>
  <c r="BF80" i="1"/>
  <c r="BT80" i="1"/>
  <c r="BF81" i="1"/>
  <c r="BT81" i="1"/>
  <c r="BF82" i="1"/>
  <c r="BT82" i="1"/>
  <c r="BF83" i="1"/>
  <c r="BT83" i="1"/>
  <c r="BF84" i="1"/>
  <c r="BT84" i="1"/>
  <c r="BF85" i="1"/>
  <c r="BT85" i="1"/>
  <c r="BF86" i="1"/>
  <c r="BT86" i="1"/>
  <c r="BF87" i="1"/>
  <c r="BT87" i="1"/>
  <c r="BF88" i="1"/>
  <c r="BT88" i="1"/>
  <c r="BF89" i="1"/>
  <c r="BT89" i="1"/>
  <c r="BF90" i="1"/>
  <c r="BT90" i="1"/>
  <c r="BF91" i="1"/>
  <c r="BT91" i="1"/>
  <c r="BF92" i="1"/>
  <c r="BT92" i="1"/>
  <c r="BF93" i="1"/>
  <c r="BT93" i="1"/>
  <c r="BF94" i="1"/>
  <c r="BT94" i="1"/>
  <c r="BF95" i="1"/>
  <c r="BT95" i="1"/>
  <c r="BT96" i="1"/>
  <c r="BF97" i="1"/>
  <c r="BT97" i="1"/>
  <c r="BF98" i="1"/>
  <c r="BT98" i="1"/>
  <c r="BF99" i="1"/>
  <c r="BT99" i="1"/>
  <c r="BF100" i="1"/>
  <c r="BT100" i="1"/>
  <c r="BF101" i="1"/>
  <c r="BT101" i="1"/>
  <c r="BF102" i="1"/>
  <c r="BT102" i="1"/>
  <c r="BF103" i="1"/>
  <c r="BT103" i="1"/>
  <c r="BF104" i="1"/>
  <c r="BT104" i="1"/>
  <c r="BF105" i="1"/>
  <c r="BT105" i="1"/>
  <c r="BF106" i="1"/>
  <c r="BT106" i="1"/>
  <c r="BF107" i="1"/>
  <c r="BT107" i="1"/>
  <c r="BF108" i="1"/>
  <c r="BT108" i="1"/>
  <c r="BF109" i="1"/>
  <c r="BT109" i="1"/>
  <c r="BF110" i="1"/>
  <c r="BT110" i="1"/>
  <c r="BF111" i="1"/>
  <c r="BT111" i="1"/>
  <c r="BF112" i="1"/>
  <c r="BT112" i="1"/>
  <c r="BF113" i="1"/>
  <c r="BT113" i="1"/>
  <c r="BF114" i="1"/>
  <c r="BT114" i="1"/>
  <c r="BF115" i="1"/>
  <c r="BT115" i="1"/>
  <c r="BF116" i="1"/>
  <c r="BT116" i="1"/>
  <c r="BF117" i="1"/>
  <c r="BT117" i="1"/>
  <c r="BF118" i="1"/>
  <c r="BT118" i="1"/>
  <c r="BF119" i="1"/>
  <c r="BT119" i="1"/>
  <c r="BF120" i="1"/>
  <c r="BT120" i="1"/>
  <c r="BF121" i="1"/>
  <c r="BT121" i="1"/>
  <c r="BF122" i="1"/>
  <c r="BT122" i="1"/>
  <c r="BF123" i="1"/>
  <c r="BT123" i="1"/>
  <c r="BF124" i="1"/>
  <c r="BT124" i="1"/>
  <c r="BF125" i="1"/>
  <c r="BT125" i="1"/>
  <c r="BF126" i="1"/>
  <c r="BT126" i="1"/>
  <c r="BF127" i="1"/>
  <c r="BT127" i="1"/>
  <c r="BF128" i="1"/>
  <c r="BT128" i="1"/>
  <c r="BF129" i="1"/>
  <c r="BT129" i="1"/>
  <c r="BF130" i="1"/>
  <c r="BT130" i="1"/>
  <c r="BF131" i="1"/>
  <c r="BT131" i="1"/>
  <c r="BF132" i="1"/>
  <c r="BT132" i="1"/>
  <c r="BF133" i="1"/>
  <c r="BT133" i="1"/>
  <c r="BF134" i="1"/>
  <c r="BT134" i="1"/>
  <c r="BF135" i="1"/>
  <c r="BT135" i="1"/>
  <c r="BF136" i="1"/>
  <c r="BT136" i="1"/>
  <c r="BF137" i="1"/>
  <c r="BT137" i="1"/>
  <c r="BF138" i="1"/>
  <c r="BT138" i="1"/>
  <c r="BF139" i="1"/>
  <c r="BT139" i="1"/>
  <c r="BF140" i="1"/>
  <c r="BT140" i="1"/>
  <c r="BF141" i="1"/>
  <c r="BT141" i="1"/>
  <c r="BF142" i="1"/>
  <c r="BT142" i="1"/>
  <c r="BF143" i="1"/>
  <c r="BT143" i="1"/>
  <c r="BF144" i="1"/>
  <c r="BT144" i="1"/>
  <c r="BF145" i="1"/>
  <c r="BT145" i="1"/>
  <c r="BF146" i="1"/>
  <c r="BT146" i="1"/>
  <c r="BF147" i="1"/>
  <c r="BT147" i="1"/>
  <c r="BF148" i="1"/>
  <c r="BT148" i="1"/>
  <c r="BF149" i="1"/>
  <c r="BT149" i="1"/>
  <c r="BF150" i="1"/>
  <c r="BT150" i="1"/>
  <c r="BF151" i="1"/>
  <c r="BT151" i="1"/>
  <c r="BF152" i="1"/>
  <c r="BT152" i="1"/>
  <c r="BF153" i="1"/>
  <c r="BT153" i="1"/>
  <c r="BF154" i="1"/>
  <c r="BT154" i="1"/>
  <c r="BF155" i="1"/>
  <c r="BT155" i="1"/>
  <c r="BF156" i="1"/>
  <c r="BT156" i="1"/>
  <c r="BF157" i="1"/>
  <c r="BT157" i="1"/>
  <c r="BF158" i="1"/>
  <c r="BT158" i="1"/>
  <c r="BF159" i="1"/>
  <c r="BT159" i="1"/>
  <c r="BF160" i="1"/>
  <c r="BT160" i="1"/>
  <c r="BF161" i="1"/>
  <c r="BT161" i="1"/>
  <c r="BF162" i="1"/>
  <c r="BT162" i="1"/>
  <c r="BF163" i="1"/>
  <c r="BT163" i="1"/>
  <c r="BF164" i="1"/>
  <c r="BT164" i="1"/>
  <c r="BF165" i="1"/>
  <c r="BT165" i="1"/>
  <c r="BF166" i="1"/>
  <c r="BT166" i="1"/>
  <c r="BF167" i="1"/>
  <c r="BT167" i="1"/>
  <c r="BF168" i="1"/>
  <c r="BT168" i="1"/>
  <c r="BF169" i="1"/>
  <c r="BT169" i="1"/>
  <c r="BF170" i="1"/>
  <c r="BT170" i="1"/>
  <c r="BF171" i="1"/>
  <c r="BT171" i="1"/>
  <c r="BF172" i="1"/>
  <c r="BT172" i="1"/>
  <c r="BF173" i="1"/>
  <c r="BT173" i="1"/>
  <c r="BF174" i="1"/>
  <c r="BT174" i="1"/>
  <c r="BF175" i="1"/>
  <c r="BT175" i="1"/>
  <c r="BF176" i="1"/>
  <c r="BT176" i="1"/>
  <c r="BF177" i="1"/>
  <c r="BT177" i="1"/>
  <c r="BF178" i="1"/>
  <c r="BT178" i="1"/>
  <c r="BF179" i="1"/>
  <c r="BT179" i="1"/>
  <c r="BF180" i="1"/>
  <c r="BT180" i="1"/>
  <c r="BF181" i="1"/>
  <c r="BT181" i="1"/>
  <c r="BF182" i="1"/>
  <c r="BT182" i="1"/>
  <c r="BF183" i="1"/>
  <c r="BT183" i="1"/>
  <c r="BF184" i="1"/>
  <c r="BT184" i="1"/>
  <c r="BF185" i="1"/>
  <c r="BT185" i="1"/>
  <c r="BF186" i="1"/>
  <c r="BT186" i="1"/>
  <c r="BF187" i="1"/>
  <c r="BT187" i="1"/>
  <c r="BF188" i="1"/>
  <c r="BT188" i="1"/>
  <c r="BF189" i="1"/>
  <c r="BT189" i="1"/>
  <c r="BF190" i="1"/>
  <c r="BT190" i="1"/>
  <c r="BF191" i="1"/>
  <c r="BT191" i="1"/>
  <c r="BF192" i="1"/>
  <c r="BT192" i="1"/>
  <c r="BF193" i="1"/>
  <c r="BT193" i="1"/>
  <c r="BF194" i="1"/>
  <c r="BT194" i="1"/>
  <c r="BF195" i="1"/>
  <c r="BT195" i="1"/>
  <c r="BF196" i="1"/>
  <c r="BT196" i="1"/>
  <c r="BF197" i="1"/>
  <c r="BT197" i="1"/>
  <c r="BF198" i="1"/>
  <c r="BT198" i="1"/>
  <c r="BF199" i="1"/>
  <c r="BT199" i="1"/>
  <c r="BF200" i="1"/>
  <c r="BT200" i="1"/>
  <c r="BF201" i="1"/>
  <c r="BT201" i="1"/>
  <c r="BF202" i="1"/>
  <c r="BT202" i="1"/>
  <c r="BF203" i="1"/>
  <c r="BT203" i="1"/>
  <c r="BF204" i="1"/>
  <c r="BT204" i="1"/>
  <c r="BF205" i="1"/>
  <c r="BT205" i="1"/>
  <c r="BF206" i="1"/>
  <c r="BT206" i="1"/>
  <c r="BF207" i="1"/>
  <c r="BT207" i="1"/>
  <c r="BF208" i="1"/>
  <c r="BT208" i="1"/>
  <c r="BF209" i="1"/>
  <c r="BT209" i="1"/>
  <c r="BF210" i="1"/>
  <c r="BT210" i="1"/>
  <c r="BF211" i="1"/>
  <c r="BT211" i="1"/>
  <c r="BF212" i="1"/>
  <c r="BT212" i="1"/>
  <c r="BF213" i="1"/>
  <c r="BT213" i="1"/>
  <c r="BF214" i="1"/>
  <c r="BT214" i="1"/>
  <c r="BF215" i="1"/>
  <c r="BT215" i="1"/>
  <c r="BF216" i="1"/>
  <c r="BT216" i="1"/>
  <c r="BF217" i="1"/>
  <c r="BT217" i="1"/>
  <c r="BF218" i="1"/>
  <c r="BT218" i="1"/>
  <c r="BF219" i="1"/>
  <c r="BT219" i="1"/>
  <c r="BF220" i="1"/>
  <c r="BT220" i="1"/>
  <c r="BF702" i="1"/>
  <c r="BT702" i="1"/>
  <c r="BF222" i="1"/>
  <c r="BT222" i="1"/>
  <c r="BF223" i="1"/>
  <c r="BT223" i="1"/>
  <c r="BF224" i="1"/>
  <c r="BT224" i="1"/>
  <c r="BF225" i="1"/>
  <c r="BT225" i="1"/>
  <c r="BF226" i="1"/>
  <c r="BT226" i="1"/>
  <c r="BF227" i="1"/>
  <c r="BT227" i="1"/>
  <c r="BF228" i="1"/>
  <c r="BT228" i="1"/>
  <c r="BF229" i="1"/>
  <c r="BT229" i="1"/>
  <c r="BF230" i="1"/>
  <c r="BT230" i="1"/>
  <c r="BF231" i="1"/>
  <c r="BT231" i="1"/>
  <c r="BF232" i="1"/>
  <c r="BT232" i="1"/>
  <c r="BF233" i="1"/>
  <c r="BT233" i="1"/>
  <c r="BF234" i="1"/>
  <c r="BT234" i="1"/>
  <c r="BF235" i="1"/>
  <c r="BT235" i="1"/>
  <c r="BF236" i="1"/>
  <c r="BT236" i="1"/>
  <c r="BF237" i="1"/>
  <c r="BT237" i="1"/>
  <c r="BF238" i="1"/>
  <c r="BT238" i="1"/>
  <c r="BF239" i="1"/>
  <c r="BT239" i="1"/>
  <c r="BF240" i="1"/>
  <c r="BT240" i="1"/>
  <c r="BF241" i="1"/>
  <c r="BT241" i="1"/>
  <c r="BF242" i="1"/>
  <c r="BT242" i="1"/>
  <c r="BF243" i="1"/>
  <c r="BT243" i="1"/>
  <c r="BF244" i="1"/>
  <c r="BT244" i="1"/>
  <c r="BF245" i="1"/>
  <c r="BT245" i="1"/>
  <c r="BF246" i="1"/>
  <c r="BT246" i="1"/>
  <c r="BF247" i="1"/>
  <c r="BT247" i="1"/>
  <c r="BF248" i="1"/>
  <c r="BT248" i="1"/>
  <c r="BF249" i="1"/>
  <c r="BT249" i="1"/>
  <c r="BF250" i="1"/>
  <c r="BT250" i="1"/>
  <c r="BF251" i="1"/>
  <c r="BT251" i="1"/>
  <c r="BF252" i="1"/>
  <c r="BT252" i="1"/>
  <c r="BF253" i="1"/>
  <c r="BT253" i="1"/>
  <c r="BF254" i="1"/>
  <c r="BT254" i="1"/>
  <c r="BF255" i="1"/>
  <c r="BT255" i="1"/>
  <c r="BF256" i="1"/>
  <c r="BT256" i="1"/>
  <c r="BF257" i="1"/>
  <c r="BT257" i="1"/>
  <c r="BF258" i="1"/>
  <c r="BT258" i="1"/>
  <c r="BF259" i="1"/>
  <c r="BT259" i="1"/>
  <c r="BF260" i="1"/>
  <c r="BT260" i="1"/>
  <c r="BF261" i="1"/>
  <c r="BT261" i="1"/>
  <c r="BF262" i="1"/>
  <c r="BT262" i="1"/>
  <c r="BF263" i="1"/>
  <c r="BT263" i="1"/>
  <c r="BF264" i="1"/>
  <c r="BT264" i="1"/>
  <c r="BF265" i="1"/>
  <c r="BT265" i="1"/>
  <c r="BF266" i="1"/>
  <c r="BT266" i="1"/>
  <c r="BF267" i="1"/>
  <c r="BT267" i="1"/>
  <c r="BF268" i="1"/>
  <c r="BT268" i="1"/>
  <c r="BF269" i="1"/>
  <c r="BT269" i="1"/>
  <c r="BF270" i="1"/>
  <c r="BT270" i="1"/>
  <c r="BF271" i="1"/>
  <c r="BT271" i="1"/>
  <c r="BF272" i="1"/>
  <c r="BT272" i="1"/>
  <c r="BF273" i="1"/>
  <c r="BT273" i="1"/>
  <c r="BF274" i="1"/>
  <c r="BT274" i="1"/>
  <c r="BF275" i="1"/>
  <c r="BT275" i="1"/>
  <c r="BF276" i="1"/>
  <c r="BT276" i="1"/>
  <c r="BF277" i="1"/>
  <c r="BT277" i="1"/>
  <c r="BF683" i="1"/>
  <c r="BT683" i="1"/>
  <c r="BF279" i="1"/>
  <c r="BT279" i="1"/>
  <c r="BF280" i="1"/>
  <c r="BT280" i="1"/>
  <c r="BF281" i="1"/>
  <c r="BT281" i="1"/>
  <c r="BF282" i="1"/>
  <c r="BT282" i="1"/>
  <c r="BF283" i="1"/>
  <c r="BT283" i="1"/>
  <c r="BF284" i="1"/>
  <c r="BT284" i="1"/>
  <c r="BF285" i="1"/>
  <c r="BT285" i="1"/>
  <c r="BF286" i="1"/>
  <c r="BT286" i="1"/>
  <c r="BF287" i="1"/>
  <c r="BT287" i="1"/>
  <c r="BF288" i="1"/>
  <c r="BT288" i="1"/>
  <c r="BF289" i="1"/>
  <c r="BT289" i="1"/>
  <c r="BF290" i="1"/>
  <c r="BT290" i="1"/>
  <c r="BF291" i="1"/>
  <c r="BT291" i="1"/>
  <c r="BF292" i="1"/>
  <c r="BT292" i="1"/>
  <c r="BF293" i="1"/>
  <c r="BT293" i="1"/>
  <c r="BF294" i="1"/>
  <c r="BT294" i="1"/>
  <c r="BF295" i="1"/>
  <c r="BT295" i="1"/>
  <c r="BF296" i="1"/>
  <c r="BT296" i="1"/>
  <c r="BF297" i="1"/>
  <c r="BT297" i="1"/>
  <c r="BF298" i="1"/>
  <c r="BT298" i="1"/>
  <c r="BF299" i="1"/>
  <c r="BT299" i="1"/>
  <c r="BF300" i="1"/>
  <c r="BT300" i="1"/>
  <c r="BF301" i="1"/>
  <c r="BT301" i="1"/>
  <c r="BF302" i="1"/>
  <c r="BT302" i="1"/>
  <c r="BF303" i="1"/>
  <c r="BT303" i="1"/>
  <c r="BF304" i="1"/>
  <c r="BT304" i="1"/>
  <c r="BF305" i="1"/>
  <c r="BT305" i="1"/>
  <c r="BF306" i="1"/>
  <c r="BT306" i="1"/>
  <c r="BF307" i="1"/>
  <c r="BT307" i="1"/>
  <c r="BF308" i="1"/>
  <c r="BT308" i="1"/>
  <c r="BF309" i="1"/>
  <c r="BT309" i="1"/>
  <c r="BF310" i="1"/>
  <c r="BT310" i="1"/>
  <c r="BF311" i="1"/>
  <c r="BT311" i="1"/>
  <c r="BF312" i="1"/>
  <c r="BT312" i="1"/>
  <c r="BF313" i="1"/>
  <c r="BT313" i="1"/>
  <c r="BF314" i="1"/>
  <c r="BT314" i="1"/>
  <c r="BF315" i="1"/>
  <c r="BT315" i="1"/>
  <c r="BF316" i="1"/>
  <c r="BT316" i="1"/>
  <c r="BF317" i="1"/>
  <c r="BT317" i="1"/>
  <c r="BF318" i="1"/>
  <c r="BT318" i="1"/>
  <c r="BF319" i="1"/>
  <c r="BT319" i="1"/>
  <c r="BF320" i="1"/>
  <c r="BT320" i="1"/>
  <c r="BF321" i="1"/>
  <c r="BT321" i="1"/>
  <c r="BF322" i="1"/>
  <c r="BT322" i="1"/>
  <c r="BF323" i="1"/>
  <c r="BT323" i="1"/>
  <c r="BF324" i="1"/>
  <c r="BT324" i="1"/>
  <c r="BF325" i="1"/>
  <c r="BT325" i="1"/>
  <c r="BF326" i="1"/>
  <c r="BT326" i="1"/>
  <c r="BF327" i="1"/>
  <c r="BT327" i="1"/>
  <c r="BF328" i="1"/>
  <c r="BT328" i="1"/>
  <c r="BF329" i="1"/>
  <c r="BT329" i="1"/>
  <c r="BF330" i="1"/>
  <c r="BT330" i="1"/>
  <c r="BF331" i="1"/>
  <c r="BT331" i="1"/>
  <c r="BF332" i="1"/>
  <c r="BT332" i="1"/>
  <c r="BT333" i="1"/>
  <c r="BF334" i="1"/>
  <c r="BT334" i="1"/>
  <c r="BF335" i="1"/>
  <c r="BT335" i="1"/>
  <c r="BF336" i="1"/>
  <c r="BT336" i="1"/>
  <c r="BF337" i="1"/>
  <c r="BT337" i="1"/>
  <c r="BF338" i="1"/>
  <c r="BT338" i="1"/>
  <c r="BF339" i="1"/>
  <c r="BT339" i="1"/>
  <c r="BF340" i="1"/>
  <c r="BT340" i="1"/>
  <c r="BT341" i="1"/>
  <c r="BF342" i="1"/>
  <c r="BT342" i="1"/>
  <c r="BF343" i="1"/>
  <c r="BT343" i="1"/>
  <c r="BF344" i="1"/>
  <c r="BT344" i="1"/>
  <c r="BF345" i="1"/>
  <c r="BT345" i="1"/>
  <c r="BF346" i="1"/>
  <c r="BT346" i="1"/>
  <c r="BF347" i="1"/>
  <c r="BT347" i="1"/>
  <c r="BF348" i="1"/>
  <c r="BT348" i="1"/>
  <c r="BF349" i="1"/>
  <c r="BT349" i="1"/>
  <c r="BF350" i="1"/>
  <c r="BT350" i="1"/>
  <c r="BF351" i="1"/>
  <c r="BT351" i="1"/>
  <c r="BF352" i="1"/>
  <c r="BT352" i="1"/>
  <c r="BF353" i="1"/>
  <c r="BT353" i="1"/>
  <c r="BF354" i="1"/>
  <c r="BT354" i="1"/>
  <c r="BF355" i="1"/>
  <c r="BT355" i="1"/>
  <c r="BF356" i="1"/>
  <c r="BT356" i="1"/>
  <c r="BF357" i="1"/>
  <c r="BT357" i="1"/>
  <c r="BF358" i="1"/>
  <c r="BT358" i="1"/>
  <c r="BF359" i="1"/>
  <c r="BT359" i="1"/>
  <c r="BF360" i="1"/>
  <c r="BT360" i="1"/>
  <c r="BF361" i="1"/>
  <c r="BT361" i="1"/>
  <c r="BF362" i="1"/>
  <c r="BT362" i="1"/>
  <c r="BF363" i="1"/>
  <c r="BT363" i="1"/>
  <c r="BF364" i="1"/>
  <c r="BT364" i="1"/>
  <c r="BF365" i="1"/>
  <c r="BT365" i="1"/>
  <c r="BF366" i="1"/>
  <c r="BT366" i="1"/>
  <c r="BF367" i="1"/>
  <c r="BT367" i="1"/>
  <c r="BF368" i="1"/>
  <c r="BT368" i="1"/>
  <c r="BF369" i="1"/>
  <c r="BT369" i="1"/>
  <c r="BF370" i="1"/>
  <c r="BT370" i="1"/>
  <c r="BF371" i="1"/>
  <c r="BT371" i="1"/>
  <c r="BF372" i="1"/>
  <c r="BT372" i="1"/>
  <c r="BF373" i="1"/>
  <c r="BT373" i="1"/>
  <c r="BF374" i="1"/>
  <c r="BT374" i="1"/>
  <c r="BF375" i="1"/>
  <c r="BT375" i="1"/>
  <c r="BF376" i="1"/>
  <c r="BT376" i="1"/>
  <c r="BF377" i="1"/>
  <c r="BT377" i="1"/>
  <c r="BF378" i="1"/>
  <c r="BT378" i="1"/>
  <c r="BF379" i="1"/>
  <c r="BT379" i="1"/>
  <c r="BF380" i="1"/>
  <c r="BT380" i="1"/>
  <c r="BF381" i="1"/>
  <c r="BT381" i="1"/>
  <c r="BF382" i="1"/>
  <c r="BT382" i="1"/>
  <c r="BF383" i="1"/>
  <c r="BT383" i="1"/>
  <c r="BF384" i="1"/>
  <c r="BT384" i="1"/>
  <c r="BF385" i="1"/>
  <c r="BT385" i="1"/>
  <c r="BF386" i="1"/>
  <c r="BT386" i="1"/>
  <c r="BF387" i="1"/>
  <c r="BT387" i="1"/>
  <c r="BF388" i="1"/>
  <c r="BT388" i="1"/>
  <c r="BF389" i="1"/>
  <c r="BT389" i="1"/>
  <c r="BF390" i="1"/>
  <c r="BT390" i="1"/>
  <c r="BF391" i="1"/>
  <c r="BT391" i="1"/>
  <c r="BF392" i="1"/>
  <c r="BT392" i="1"/>
  <c r="BF393" i="1"/>
  <c r="BT393" i="1"/>
  <c r="BF394" i="1"/>
  <c r="BT394" i="1"/>
  <c r="BF395" i="1"/>
  <c r="BT395" i="1"/>
  <c r="BF396" i="1"/>
  <c r="BT396" i="1"/>
  <c r="BF397" i="1"/>
  <c r="BT397" i="1"/>
  <c r="BF398" i="1"/>
  <c r="BT398" i="1"/>
  <c r="BF399" i="1"/>
  <c r="BT399" i="1"/>
  <c r="BF400" i="1"/>
  <c r="BT400" i="1"/>
  <c r="BF401" i="1"/>
  <c r="BT401" i="1"/>
  <c r="BF402" i="1"/>
  <c r="BT402" i="1"/>
  <c r="BF403" i="1"/>
  <c r="BT403" i="1"/>
  <c r="BF404" i="1"/>
  <c r="BT404" i="1"/>
  <c r="BT405" i="1"/>
  <c r="BF406" i="1"/>
  <c r="BT406" i="1"/>
  <c r="BF407" i="1"/>
  <c r="BT407" i="1"/>
  <c r="BF408" i="1"/>
  <c r="BT408" i="1"/>
  <c r="BF409" i="1"/>
  <c r="BT409" i="1"/>
  <c r="BF410" i="1"/>
  <c r="BT410" i="1"/>
  <c r="BF411" i="1"/>
  <c r="BT411" i="1"/>
  <c r="BF412" i="1"/>
  <c r="BT412" i="1"/>
  <c r="BF413" i="1"/>
  <c r="BT413" i="1"/>
  <c r="BF414" i="1"/>
  <c r="BT414" i="1"/>
  <c r="BF415" i="1"/>
  <c r="BT415" i="1"/>
  <c r="BF416" i="1"/>
  <c r="BT416" i="1"/>
  <c r="BT417" i="1"/>
  <c r="BF418" i="1"/>
  <c r="BT418" i="1"/>
  <c r="BF419" i="1"/>
  <c r="BT419" i="1"/>
  <c r="BF420" i="1"/>
  <c r="BT420" i="1"/>
  <c r="BF421" i="1"/>
  <c r="BT421" i="1"/>
  <c r="BF422" i="1"/>
  <c r="BT422" i="1"/>
  <c r="BF423" i="1"/>
  <c r="BT423" i="1"/>
  <c r="BF424" i="1"/>
  <c r="BT424" i="1"/>
  <c r="BF425" i="1"/>
  <c r="BT425" i="1"/>
  <c r="BF426" i="1"/>
  <c r="BT426" i="1"/>
  <c r="BF427" i="1"/>
  <c r="BT427" i="1"/>
  <c r="BF428" i="1"/>
  <c r="BT428" i="1"/>
  <c r="BF429" i="1"/>
  <c r="BT429" i="1"/>
  <c r="BF430" i="1"/>
  <c r="BT430" i="1"/>
  <c r="BF431" i="1"/>
  <c r="BT431" i="1"/>
  <c r="BF432" i="1"/>
  <c r="BT432" i="1"/>
  <c r="BT433" i="1"/>
  <c r="BF434" i="1"/>
  <c r="BT434" i="1"/>
  <c r="BF435" i="1"/>
  <c r="BT435" i="1"/>
  <c r="BF436" i="1"/>
  <c r="BT436" i="1"/>
  <c r="BF437" i="1"/>
  <c r="BT437" i="1"/>
  <c r="BF438" i="1"/>
  <c r="BT438" i="1"/>
  <c r="BF439" i="1"/>
  <c r="BT439" i="1"/>
  <c r="BF440" i="1"/>
  <c r="BT440" i="1"/>
  <c r="BF441" i="1"/>
  <c r="BT441" i="1"/>
  <c r="BF442" i="1"/>
  <c r="BT442" i="1"/>
  <c r="BF443" i="1"/>
  <c r="BT443" i="1"/>
  <c r="BF444" i="1"/>
  <c r="BT444" i="1"/>
  <c r="BF445" i="1"/>
  <c r="BT445" i="1"/>
  <c r="BF446" i="1"/>
  <c r="BT446" i="1"/>
  <c r="BF447" i="1"/>
  <c r="BT447" i="1"/>
  <c r="BF448" i="1"/>
  <c r="BT448" i="1"/>
  <c r="BF449" i="1"/>
  <c r="BT449" i="1"/>
  <c r="BF450" i="1"/>
  <c r="BT450" i="1"/>
  <c r="BF451" i="1"/>
  <c r="BT451" i="1"/>
  <c r="BF452" i="1"/>
  <c r="BT452" i="1"/>
  <c r="BF453" i="1"/>
  <c r="BT453" i="1"/>
  <c r="BF454" i="1"/>
  <c r="BT454" i="1"/>
  <c r="BF455" i="1"/>
  <c r="BT455" i="1"/>
  <c r="BF456" i="1"/>
  <c r="BT456" i="1"/>
  <c r="BF457" i="1"/>
  <c r="BT457" i="1"/>
  <c r="BF458" i="1"/>
  <c r="BT458" i="1"/>
  <c r="BF459" i="1"/>
  <c r="BT459" i="1"/>
  <c r="BF460" i="1"/>
  <c r="BT460" i="1"/>
  <c r="BF461" i="1"/>
  <c r="BT461" i="1"/>
  <c r="BF462" i="1"/>
  <c r="BT462" i="1"/>
  <c r="BF463" i="1"/>
  <c r="BT463" i="1"/>
  <c r="BF464" i="1"/>
  <c r="BT464" i="1"/>
  <c r="BF465" i="1"/>
  <c r="BT465" i="1"/>
  <c r="BF466" i="1"/>
  <c r="BT466" i="1"/>
  <c r="BF467" i="1"/>
  <c r="BT467" i="1"/>
  <c r="BF468" i="1"/>
  <c r="BT468" i="1"/>
  <c r="BF469" i="1"/>
  <c r="BT469" i="1"/>
  <c r="BF470" i="1"/>
  <c r="BT470" i="1"/>
  <c r="BF471" i="1"/>
  <c r="BT471" i="1"/>
  <c r="BF472" i="1"/>
  <c r="BT472" i="1"/>
  <c r="BF473" i="1"/>
  <c r="BT473" i="1"/>
  <c r="BF474" i="1"/>
  <c r="BT474" i="1"/>
  <c r="BF475" i="1"/>
  <c r="BT475" i="1"/>
  <c r="BF476" i="1"/>
  <c r="BT476" i="1"/>
  <c r="BF477" i="1"/>
  <c r="BT477" i="1"/>
  <c r="BF478" i="1"/>
  <c r="BT478" i="1"/>
  <c r="BF479" i="1"/>
  <c r="BT479" i="1"/>
  <c r="BF480" i="1"/>
  <c r="BT480" i="1"/>
  <c r="BF481" i="1"/>
  <c r="BT481" i="1"/>
  <c r="BF482" i="1"/>
  <c r="BT482" i="1"/>
  <c r="BF483" i="1"/>
  <c r="BT483" i="1"/>
  <c r="BF484" i="1"/>
  <c r="BT484" i="1"/>
  <c r="BF485" i="1"/>
  <c r="BT485" i="1"/>
  <c r="BF486" i="1"/>
  <c r="BT486" i="1"/>
  <c r="BF487" i="1"/>
  <c r="BT487" i="1"/>
  <c r="BF488" i="1"/>
  <c r="BT488" i="1"/>
  <c r="BF489" i="1"/>
  <c r="BT489" i="1"/>
  <c r="BF490" i="1"/>
  <c r="BT490" i="1"/>
  <c r="BF491" i="1"/>
  <c r="BT491" i="1"/>
  <c r="BF492" i="1"/>
  <c r="BT492" i="1"/>
  <c r="BF493" i="1"/>
  <c r="BT493" i="1"/>
  <c r="BF494" i="1"/>
  <c r="BT494" i="1"/>
  <c r="BF495" i="1"/>
  <c r="BT495" i="1"/>
  <c r="BF496" i="1"/>
  <c r="BT496" i="1"/>
  <c r="BF497" i="1"/>
  <c r="BT497" i="1"/>
  <c r="BF498" i="1"/>
  <c r="BT498" i="1"/>
  <c r="BF499" i="1"/>
  <c r="BT499" i="1"/>
  <c r="BF500" i="1"/>
  <c r="BT500" i="1"/>
  <c r="BF501" i="1"/>
  <c r="BT501" i="1"/>
  <c r="BF502" i="1"/>
  <c r="BT502" i="1"/>
  <c r="BF503" i="1"/>
  <c r="BT503" i="1"/>
  <c r="BF504" i="1"/>
  <c r="BT504" i="1"/>
  <c r="BF505" i="1"/>
  <c r="BT505" i="1"/>
  <c r="BF506" i="1"/>
  <c r="BT506" i="1"/>
  <c r="BF507" i="1"/>
  <c r="BT507" i="1"/>
  <c r="BF508" i="1"/>
  <c r="BT508" i="1"/>
  <c r="BF509" i="1"/>
  <c r="BT509" i="1"/>
  <c r="BF510" i="1"/>
  <c r="BT510" i="1"/>
  <c r="BF511" i="1"/>
  <c r="BT511" i="1"/>
  <c r="BF512" i="1"/>
  <c r="BT512" i="1"/>
  <c r="BF513" i="1"/>
  <c r="BT513" i="1"/>
  <c r="BF514" i="1"/>
  <c r="BT514" i="1"/>
  <c r="BF515" i="1"/>
  <c r="BT515" i="1"/>
  <c r="BF516" i="1"/>
  <c r="BT516" i="1"/>
  <c r="BF517" i="1"/>
  <c r="BT517" i="1"/>
  <c r="BF518" i="1"/>
  <c r="BT518" i="1"/>
  <c r="BF519" i="1"/>
  <c r="BT519" i="1"/>
  <c r="BF520" i="1"/>
  <c r="BT520" i="1"/>
  <c r="BF521" i="1"/>
  <c r="BT521" i="1"/>
  <c r="BF522" i="1"/>
  <c r="BT522" i="1"/>
  <c r="BF1195" i="1"/>
  <c r="BT1195" i="1"/>
  <c r="BF524" i="1"/>
  <c r="BT524" i="1"/>
  <c r="BF525" i="1"/>
  <c r="BT525" i="1"/>
  <c r="BF526" i="1"/>
  <c r="BT526" i="1"/>
  <c r="BF527" i="1"/>
  <c r="BT527" i="1"/>
  <c r="BF528" i="1"/>
  <c r="BT528" i="1"/>
  <c r="BF529" i="1"/>
  <c r="BT529" i="1"/>
  <c r="BF530" i="1"/>
  <c r="BT530" i="1"/>
  <c r="BF531" i="1"/>
  <c r="BT531" i="1"/>
  <c r="BF532" i="1"/>
  <c r="BT532" i="1"/>
  <c r="BF533" i="1"/>
  <c r="BT533" i="1"/>
  <c r="BF534" i="1"/>
  <c r="BT534" i="1"/>
  <c r="BF535" i="1"/>
  <c r="BT535" i="1"/>
  <c r="BF536" i="1"/>
  <c r="BT536" i="1"/>
  <c r="BF537" i="1"/>
  <c r="BT537" i="1"/>
  <c r="BF538" i="1"/>
  <c r="BT538" i="1"/>
  <c r="BF539" i="1"/>
  <c r="BT539" i="1"/>
  <c r="BF540" i="1"/>
  <c r="BT540" i="1"/>
  <c r="BF541" i="1"/>
  <c r="BT541" i="1"/>
  <c r="BF542" i="1"/>
  <c r="BT542" i="1"/>
  <c r="BF543" i="1"/>
  <c r="BT543" i="1"/>
  <c r="BF544" i="1"/>
  <c r="BT544" i="1"/>
  <c r="BF545" i="1"/>
  <c r="BT545" i="1"/>
  <c r="BF546" i="1"/>
  <c r="BT546" i="1"/>
  <c r="BF547" i="1"/>
  <c r="BT547" i="1"/>
  <c r="BF548" i="1"/>
  <c r="BT548" i="1"/>
  <c r="BF549" i="1"/>
  <c r="BT549" i="1"/>
  <c r="BF550" i="1"/>
  <c r="BT550" i="1"/>
  <c r="BF551" i="1"/>
  <c r="BT551" i="1"/>
  <c r="BT552" i="1"/>
  <c r="BF553" i="1"/>
  <c r="BT553" i="1"/>
  <c r="BF554" i="1"/>
  <c r="BT554" i="1"/>
  <c r="BF555" i="1"/>
  <c r="BT555" i="1"/>
  <c r="BF556" i="1"/>
  <c r="BT556" i="1"/>
  <c r="BF557" i="1"/>
  <c r="BT557" i="1"/>
  <c r="BF558" i="1"/>
  <c r="BT558" i="1"/>
  <c r="BF559" i="1"/>
  <c r="BT559" i="1"/>
  <c r="BF560" i="1"/>
  <c r="BT560" i="1"/>
  <c r="BF561" i="1"/>
  <c r="BT561" i="1"/>
  <c r="BF562" i="1"/>
  <c r="BT562" i="1"/>
  <c r="BF563" i="1"/>
  <c r="BT563" i="1"/>
  <c r="BF564" i="1"/>
  <c r="BT564" i="1"/>
  <c r="BF565" i="1"/>
  <c r="BT565" i="1"/>
  <c r="BF566" i="1"/>
  <c r="BT566" i="1"/>
  <c r="BF567" i="1"/>
  <c r="BT567" i="1"/>
  <c r="BT568" i="1"/>
  <c r="BF569" i="1"/>
  <c r="BT569" i="1"/>
  <c r="BF570" i="1"/>
  <c r="BT570" i="1"/>
  <c r="BF571" i="1"/>
  <c r="BT571" i="1"/>
  <c r="BF572" i="1"/>
  <c r="BT572" i="1"/>
  <c r="BF573" i="1"/>
  <c r="BT573" i="1"/>
  <c r="BF574" i="1"/>
  <c r="BT574" i="1"/>
  <c r="BF575" i="1"/>
  <c r="BT575" i="1"/>
  <c r="BF576" i="1"/>
  <c r="BT576" i="1"/>
  <c r="BT577" i="1"/>
  <c r="BF578" i="1"/>
  <c r="BT578" i="1"/>
  <c r="BT579" i="1"/>
  <c r="BF580" i="1"/>
  <c r="BT580" i="1"/>
  <c r="BF581" i="1"/>
  <c r="BT581" i="1"/>
  <c r="BF582" i="1"/>
  <c r="BT582" i="1"/>
  <c r="BF583" i="1"/>
  <c r="BT583" i="1"/>
  <c r="BF584" i="1"/>
  <c r="BT584" i="1"/>
  <c r="BF585" i="1"/>
  <c r="BT585" i="1"/>
  <c r="BF586" i="1"/>
  <c r="BT586" i="1"/>
  <c r="BF587" i="1"/>
  <c r="BT587" i="1"/>
  <c r="BF588" i="1"/>
  <c r="BT588" i="1"/>
  <c r="BF589" i="1"/>
  <c r="BT589" i="1"/>
  <c r="BF590" i="1"/>
  <c r="BT590" i="1"/>
  <c r="BF591" i="1"/>
  <c r="BT591" i="1"/>
  <c r="BF592" i="1"/>
  <c r="BT592" i="1"/>
  <c r="BF593" i="1"/>
  <c r="BT593" i="1"/>
  <c r="BF594" i="1"/>
  <c r="BT594" i="1"/>
  <c r="BF595" i="1"/>
  <c r="BT595" i="1"/>
  <c r="BF596" i="1"/>
  <c r="BT596" i="1"/>
  <c r="BF597" i="1"/>
  <c r="BT597" i="1"/>
  <c r="BF598" i="1"/>
  <c r="BT598" i="1"/>
  <c r="BF599" i="1"/>
  <c r="BT599" i="1"/>
  <c r="BF600" i="1"/>
  <c r="BT600" i="1"/>
  <c r="BF601" i="1"/>
  <c r="BT601" i="1"/>
  <c r="BF602" i="1"/>
  <c r="BT602" i="1"/>
  <c r="BF603" i="1"/>
  <c r="BT603" i="1"/>
  <c r="BT604" i="1"/>
  <c r="BF605" i="1"/>
  <c r="BT605" i="1"/>
  <c r="BF606" i="1"/>
  <c r="BT606" i="1"/>
  <c r="BF607" i="1"/>
  <c r="BT607" i="1"/>
  <c r="BF608" i="1"/>
  <c r="BT608" i="1"/>
  <c r="BF609" i="1"/>
  <c r="BT609" i="1"/>
  <c r="BF610" i="1"/>
  <c r="BT610" i="1"/>
  <c r="BF611" i="1"/>
  <c r="BT611" i="1"/>
  <c r="BF612" i="1"/>
  <c r="BT612" i="1"/>
  <c r="BF613" i="1"/>
  <c r="BT613" i="1"/>
  <c r="BF614" i="1"/>
  <c r="BT614" i="1"/>
  <c r="BF615" i="1"/>
  <c r="BT615" i="1"/>
  <c r="BF616" i="1"/>
  <c r="BT616" i="1"/>
  <c r="BF617" i="1"/>
  <c r="BT617" i="1"/>
  <c r="BF618" i="1"/>
  <c r="BT618" i="1"/>
  <c r="BF619" i="1"/>
  <c r="BT619" i="1"/>
  <c r="BF620" i="1"/>
  <c r="BT620" i="1"/>
  <c r="BF621" i="1"/>
  <c r="BT621" i="1"/>
  <c r="BF622" i="1"/>
  <c r="BT622" i="1"/>
  <c r="BT623" i="1"/>
  <c r="BF624" i="1"/>
  <c r="BT624" i="1"/>
  <c r="BF625" i="1"/>
  <c r="BT625" i="1"/>
  <c r="BF626" i="1"/>
  <c r="BT626" i="1"/>
  <c r="BF627" i="1"/>
  <c r="BT627" i="1"/>
  <c r="BF628" i="1"/>
  <c r="BT628" i="1"/>
  <c r="BF629" i="1"/>
  <c r="BT629" i="1"/>
  <c r="BF630" i="1"/>
  <c r="BT630" i="1"/>
  <c r="BF631" i="1"/>
  <c r="BT631" i="1"/>
  <c r="BF632" i="1"/>
  <c r="BT632" i="1"/>
  <c r="BF633" i="1"/>
  <c r="BT633" i="1"/>
  <c r="BF634" i="1"/>
  <c r="BT634" i="1"/>
  <c r="BF635" i="1"/>
  <c r="BT635" i="1"/>
  <c r="BF636" i="1"/>
  <c r="BT636" i="1"/>
  <c r="BF637" i="1"/>
  <c r="BT637" i="1"/>
  <c r="BF638" i="1"/>
  <c r="BT638" i="1"/>
  <c r="BF639" i="1"/>
  <c r="BT639" i="1"/>
  <c r="BF640" i="1"/>
  <c r="BT640" i="1"/>
  <c r="BF641" i="1"/>
  <c r="BT641" i="1"/>
  <c r="BF642" i="1"/>
  <c r="BT642" i="1"/>
  <c r="BF643" i="1"/>
  <c r="BT643" i="1"/>
  <c r="BF644" i="1"/>
  <c r="BT644" i="1"/>
  <c r="BF645" i="1"/>
  <c r="BT645" i="1"/>
  <c r="BF646" i="1"/>
  <c r="BT646" i="1"/>
  <c r="BF647" i="1"/>
  <c r="BT647" i="1"/>
  <c r="BF648" i="1"/>
  <c r="BT648" i="1"/>
  <c r="BF649" i="1"/>
  <c r="BT649" i="1"/>
  <c r="BF650" i="1"/>
  <c r="BT650" i="1"/>
  <c r="BF651" i="1"/>
  <c r="BT651" i="1"/>
  <c r="BF652" i="1"/>
  <c r="BT652" i="1"/>
  <c r="BF653" i="1"/>
  <c r="BT653" i="1"/>
  <c r="BF654" i="1"/>
  <c r="BT654" i="1"/>
  <c r="BF655" i="1"/>
  <c r="BT655" i="1"/>
  <c r="BF656" i="1"/>
  <c r="BT656" i="1"/>
  <c r="BF657" i="1"/>
  <c r="BT657" i="1"/>
  <c r="BF658" i="1"/>
  <c r="BT658" i="1"/>
  <c r="BF659" i="1"/>
  <c r="BT659" i="1"/>
  <c r="BF660" i="1"/>
  <c r="BT660" i="1"/>
  <c r="BF661" i="1"/>
  <c r="BT661" i="1"/>
  <c r="BF662" i="1"/>
  <c r="BT662" i="1"/>
  <c r="BT663" i="1"/>
  <c r="BF664" i="1"/>
  <c r="BT664" i="1"/>
  <c r="BF665" i="1"/>
  <c r="BT665" i="1"/>
  <c r="BF666" i="1"/>
  <c r="BT666" i="1"/>
  <c r="BF667" i="1"/>
  <c r="BT667" i="1"/>
  <c r="BF668" i="1"/>
  <c r="BT668" i="1"/>
  <c r="BF669" i="1"/>
  <c r="BT669" i="1"/>
  <c r="BF670" i="1"/>
  <c r="BT670" i="1"/>
  <c r="BF671" i="1"/>
  <c r="BT671" i="1"/>
  <c r="BF672" i="1"/>
  <c r="BT672" i="1"/>
  <c r="BF673" i="1"/>
  <c r="BT673" i="1"/>
  <c r="BF674" i="1"/>
  <c r="BT674" i="1"/>
  <c r="BF675" i="1"/>
  <c r="BT675" i="1"/>
  <c r="BF676" i="1"/>
  <c r="BT676" i="1"/>
  <c r="BF677" i="1"/>
  <c r="BT677" i="1"/>
  <c r="BF678" i="1"/>
  <c r="BT678" i="1"/>
  <c r="BF679" i="1"/>
  <c r="BT679" i="1"/>
  <c r="BF680" i="1"/>
  <c r="BT680" i="1"/>
  <c r="BF681" i="1"/>
  <c r="BT681" i="1"/>
  <c r="BF278" i="1"/>
  <c r="BT278" i="1"/>
  <c r="BF682" i="1"/>
  <c r="BT682" i="1"/>
  <c r="BF684" i="1"/>
  <c r="BT684" i="1"/>
  <c r="BF685" i="1"/>
  <c r="BT685" i="1"/>
  <c r="BF686" i="1"/>
  <c r="BT686" i="1"/>
  <c r="BF687" i="1"/>
  <c r="BT687" i="1"/>
  <c r="BF688" i="1"/>
  <c r="BT688" i="1"/>
  <c r="BF689" i="1"/>
  <c r="BT689" i="1"/>
  <c r="BT690" i="1"/>
  <c r="BF691" i="1"/>
  <c r="BT691" i="1"/>
  <c r="BF692" i="1"/>
  <c r="BT692" i="1"/>
  <c r="BF693" i="1"/>
  <c r="BT693" i="1"/>
  <c r="BF694" i="1"/>
  <c r="BT694" i="1"/>
  <c r="BF695" i="1"/>
  <c r="BT695" i="1"/>
  <c r="BF696" i="1"/>
  <c r="BT696" i="1"/>
  <c r="BF697" i="1"/>
  <c r="BT697" i="1"/>
  <c r="BF698" i="1"/>
  <c r="BT698" i="1"/>
  <c r="BF699" i="1"/>
  <c r="BT699" i="1"/>
  <c r="BF700" i="1"/>
  <c r="BT700" i="1"/>
  <c r="BF701" i="1"/>
  <c r="BT701" i="1"/>
  <c r="BF221" i="1"/>
  <c r="BT221" i="1"/>
  <c r="BF703" i="1"/>
  <c r="BT703" i="1"/>
  <c r="BF704" i="1"/>
  <c r="BT704" i="1"/>
  <c r="BF705" i="1"/>
  <c r="BT705" i="1"/>
  <c r="BF706" i="1"/>
  <c r="BT706" i="1"/>
  <c r="BF707" i="1"/>
  <c r="BT707" i="1"/>
  <c r="BF708" i="1"/>
  <c r="BT708" i="1"/>
  <c r="BF709" i="1"/>
  <c r="BT709" i="1"/>
  <c r="BF710" i="1"/>
  <c r="BT710" i="1"/>
  <c r="BF711" i="1"/>
  <c r="BT711" i="1"/>
  <c r="BF712" i="1"/>
  <c r="BT712" i="1"/>
  <c r="BF713" i="1"/>
  <c r="BT713" i="1"/>
  <c r="BF714" i="1"/>
  <c r="BT714" i="1"/>
  <c r="BF715" i="1"/>
  <c r="BT715" i="1"/>
  <c r="BF716" i="1"/>
  <c r="BT716" i="1"/>
  <c r="BF717" i="1"/>
  <c r="BT717" i="1"/>
  <c r="BF718" i="1"/>
  <c r="BT718" i="1"/>
  <c r="BF719" i="1"/>
  <c r="BT719" i="1"/>
  <c r="BF720" i="1"/>
  <c r="BT720" i="1"/>
  <c r="BF721" i="1"/>
  <c r="BT721" i="1"/>
  <c r="BF722" i="1"/>
  <c r="BT722" i="1"/>
  <c r="BF723" i="1"/>
  <c r="BT723" i="1"/>
  <c r="BF724" i="1"/>
  <c r="BT724" i="1"/>
  <c r="BF725" i="1"/>
  <c r="BT725" i="1"/>
  <c r="BF726" i="1"/>
  <c r="BT726" i="1"/>
  <c r="BF727" i="1"/>
  <c r="BT727" i="1"/>
  <c r="BF728" i="1"/>
  <c r="BT728" i="1"/>
  <c r="BF729" i="1"/>
  <c r="BT729" i="1"/>
  <c r="BF730" i="1"/>
  <c r="BT730" i="1"/>
  <c r="BF731" i="1"/>
  <c r="BT731" i="1"/>
  <c r="BF732" i="1"/>
  <c r="BT732" i="1"/>
  <c r="BF733" i="1"/>
  <c r="BT733" i="1"/>
  <c r="BF734" i="1"/>
  <c r="BT734" i="1"/>
  <c r="BF735" i="1"/>
  <c r="BT735" i="1"/>
  <c r="BF736" i="1"/>
  <c r="BT736" i="1"/>
  <c r="BF737" i="1"/>
  <c r="BT737" i="1"/>
  <c r="BF738" i="1"/>
  <c r="BT738" i="1"/>
  <c r="BF739" i="1"/>
  <c r="BT739" i="1"/>
  <c r="BF740" i="1"/>
  <c r="BT740" i="1"/>
  <c r="BF741" i="1"/>
  <c r="BT741" i="1"/>
  <c r="BF742" i="1"/>
  <c r="BT742" i="1"/>
  <c r="BF743" i="1"/>
  <c r="BT743" i="1"/>
  <c r="BF744" i="1"/>
  <c r="BT744" i="1"/>
  <c r="BF745" i="1"/>
  <c r="BT745" i="1"/>
  <c r="BF746" i="1"/>
  <c r="BT746" i="1"/>
  <c r="BF747" i="1"/>
  <c r="BT747" i="1"/>
  <c r="BF748" i="1"/>
  <c r="BT748" i="1"/>
  <c r="BF749" i="1"/>
  <c r="BT749" i="1"/>
  <c r="BF750" i="1"/>
  <c r="BT750" i="1"/>
  <c r="BF751" i="1"/>
  <c r="BT751" i="1"/>
  <c r="BF752" i="1"/>
  <c r="BT752" i="1"/>
  <c r="BF753" i="1"/>
  <c r="BT753" i="1"/>
  <c r="BF754" i="1"/>
  <c r="BT754" i="1"/>
  <c r="BF755" i="1"/>
  <c r="BT755" i="1"/>
  <c r="BF756" i="1"/>
  <c r="BT756" i="1"/>
  <c r="BF757" i="1"/>
  <c r="BT757" i="1"/>
  <c r="BF758" i="1"/>
  <c r="BT758" i="1"/>
  <c r="BF759" i="1"/>
  <c r="BT759" i="1"/>
  <c r="BF760" i="1"/>
  <c r="BT760" i="1"/>
  <c r="BF761" i="1"/>
  <c r="BT761" i="1"/>
  <c r="BF762" i="1"/>
  <c r="BT762" i="1"/>
  <c r="BF763" i="1"/>
  <c r="BT763" i="1"/>
  <c r="BF764" i="1"/>
  <c r="BT764" i="1"/>
  <c r="BT765" i="1"/>
  <c r="BF766" i="1"/>
  <c r="BT766" i="1"/>
  <c r="BF767" i="1"/>
  <c r="BT767" i="1"/>
  <c r="BF768" i="1"/>
  <c r="BT768" i="1"/>
  <c r="BF769" i="1"/>
  <c r="BT769" i="1"/>
  <c r="BF770" i="1"/>
  <c r="BT770" i="1"/>
  <c r="BF771" i="1"/>
  <c r="BT771" i="1"/>
  <c r="BF772" i="1"/>
  <c r="BT772" i="1"/>
  <c r="BF773" i="1"/>
  <c r="BT773" i="1"/>
  <c r="BF774" i="1"/>
  <c r="BT774" i="1"/>
  <c r="BF775" i="1"/>
  <c r="BT775" i="1"/>
  <c r="BF776" i="1"/>
  <c r="BT776" i="1"/>
  <c r="BF777" i="1"/>
  <c r="BT777" i="1"/>
  <c r="BF778" i="1"/>
  <c r="BT778" i="1"/>
  <c r="BF779" i="1"/>
  <c r="BT779" i="1"/>
  <c r="BF780" i="1"/>
  <c r="BT780" i="1"/>
  <c r="BF781" i="1"/>
  <c r="BT781" i="1"/>
  <c r="BF782" i="1"/>
  <c r="BT782" i="1"/>
  <c r="BF783" i="1"/>
  <c r="BT783" i="1"/>
  <c r="BF784" i="1"/>
  <c r="BT784" i="1"/>
  <c r="BF785" i="1"/>
  <c r="BT785" i="1"/>
  <c r="BF786" i="1"/>
  <c r="BT786" i="1"/>
  <c r="BF787" i="1"/>
  <c r="BT787" i="1"/>
  <c r="BF788" i="1"/>
  <c r="BT788" i="1"/>
  <c r="BF789" i="1"/>
  <c r="BT789" i="1"/>
  <c r="BF790" i="1"/>
  <c r="BT790" i="1"/>
  <c r="BF791" i="1"/>
  <c r="BT791" i="1"/>
  <c r="BF792" i="1"/>
  <c r="BT792" i="1"/>
  <c r="BF793" i="1"/>
  <c r="BT793" i="1"/>
  <c r="BT794" i="1"/>
  <c r="BF795" i="1"/>
  <c r="BT795" i="1"/>
  <c r="BF796" i="1"/>
  <c r="BT796" i="1"/>
  <c r="BF797" i="1"/>
  <c r="BT797" i="1"/>
  <c r="BF798" i="1"/>
  <c r="BT798" i="1"/>
  <c r="BF799" i="1"/>
  <c r="BT799" i="1"/>
  <c r="BF800" i="1"/>
  <c r="BT800" i="1"/>
  <c r="BF801" i="1"/>
  <c r="BT801" i="1"/>
  <c r="BF802" i="1"/>
  <c r="BT802" i="1"/>
  <c r="BT803" i="1"/>
  <c r="BF804" i="1"/>
  <c r="BT804" i="1"/>
  <c r="BF805" i="1"/>
  <c r="BT805" i="1"/>
  <c r="BF806" i="1"/>
  <c r="BT806" i="1"/>
  <c r="BF807" i="1"/>
  <c r="BT807" i="1"/>
  <c r="BT808" i="1"/>
  <c r="BF809" i="1"/>
  <c r="BT809" i="1"/>
  <c r="BT810" i="1"/>
  <c r="BF811" i="1"/>
  <c r="BT811" i="1"/>
  <c r="BF812" i="1"/>
  <c r="BT812" i="1"/>
  <c r="BF813" i="1"/>
  <c r="BT813" i="1"/>
  <c r="BF814" i="1"/>
  <c r="BT814" i="1"/>
  <c r="BF815" i="1"/>
  <c r="BT815" i="1"/>
  <c r="BF816" i="1"/>
  <c r="BT816" i="1"/>
  <c r="BF817" i="1"/>
  <c r="BT817" i="1"/>
  <c r="BF818" i="1"/>
  <c r="BT818" i="1"/>
  <c r="BF819" i="1"/>
  <c r="BT819" i="1"/>
  <c r="BF820" i="1"/>
  <c r="BT820" i="1"/>
  <c r="BF821" i="1"/>
  <c r="BT821" i="1"/>
  <c r="BF822" i="1"/>
  <c r="BT822" i="1"/>
  <c r="BF823" i="1"/>
  <c r="BT823" i="1"/>
  <c r="BF824" i="1"/>
  <c r="BT824" i="1"/>
  <c r="BF825" i="1"/>
  <c r="BT825" i="1"/>
  <c r="BF826" i="1"/>
  <c r="BT826" i="1"/>
  <c r="BF827" i="1"/>
  <c r="BT827" i="1"/>
  <c r="BF828" i="1"/>
  <c r="BT828" i="1"/>
  <c r="BF829" i="1"/>
  <c r="BT829" i="1"/>
  <c r="BF830" i="1"/>
  <c r="BT830" i="1"/>
  <c r="BF831" i="1"/>
  <c r="BT831" i="1"/>
  <c r="BF832" i="1"/>
  <c r="BT832" i="1"/>
  <c r="BF833" i="1"/>
  <c r="BT833" i="1"/>
  <c r="BF834" i="1"/>
  <c r="BT834" i="1"/>
  <c r="BF835" i="1"/>
  <c r="BT835" i="1"/>
  <c r="BF836" i="1"/>
  <c r="BT836" i="1"/>
  <c r="BF837" i="1"/>
  <c r="BT837" i="1"/>
  <c r="BF838" i="1"/>
  <c r="BT838" i="1"/>
  <c r="BF839" i="1"/>
  <c r="BT839" i="1"/>
  <c r="BF840" i="1"/>
  <c r="BT840" i="1"/>
  <c r="BF841" i="1"/>
  <c r="BT841" i="1"/>
  <c r="BF842" i="1"/>
  <c r="BT842" i="1"/>
  <c r="BF843" i="1"/>
  <c r="BT843" i="1"/>
  <c r="BF844" i="1"/>
  <c r="BT844" i="1"/>
  <c r="BF845" i="1"/>
  <c r="BT845" i="1"/>
  <c r="BF846" i="1"/>
  <c r="BT846" i="1"/>
  <c r="BF847" i="1"/>
  <c r="BT847" i="1"/>
  <c r="BT848" i="1"/>
  <c r="BF849" i="1"/>
  <c r="BT849" i="1"/>
  <c r="BF850" i="1"/>
  <c r="BT850" i="1"/>
  <c r="BT851" i="1"/>
  <c r="BF852" i="1"/>
  <c r="BT852" i="1"/>
  <c r="BF853" i="1"/>
  <c r="BT853" i="1"/>
  <c r="BF854" i="1"/>
  <c r="BT854" i="1"/>
  <c r="BF855" i="1"/>
  <c r="BT855" i="1"/>
  <c r="BF856" i="1"/>
  <c r="BT856" i="1"/>
  <c r="BF857" i="1"/>
  <c r="BT857" i="1"/>
  <c r="BF858" i="1"/>
  <c r="BT858" i="1"/>
  <c r="BF859" i="1"/>
  <c r="BT859" i="1"/>
  <c r="BF860" i="1"/>
  <c r="BT860" i="1"/>
  <c r="BF861" i="1"/>
  <c r="BT861" i="1"/>
  <c r="BF862" i="1"/>
  <c r="BT862" i="1"/>
  <c r="BF863" i="1"/>
  <c r="BT863" i="1"/>
  <c r="BF864" i="1"/>
  <c r="BT864" i="1"/>
  <c r="BF865" i="1"/>
  <c r="BT865" i="1"/>
  <c r="BF866" i="1"/>
  <c r="BT866" i="1"/>
  <c r="BF867" i="1"/>
  <c r="BT867" i="1"/>
  <c r="BF868" i="1"/>
  <c r="BT868" i="1"/>
  <c r="BF869" i="1"/>
  <c r="BT869" i="1"/>
  <c r="BF870" i="1"/>
  <c r="BT870" i="1"/>
  <c r="BF871" i="1"/>
  <c r="BT871" i="1"/>
  <c r="BF872" i="1"/>
  <c r="BT872" i="1"/>
  <c r="BF873" i="1"/>
  <c r="BT873" i="1"/>
  <c r="BF874" i="1"/>
  <c r="BT874" i="1"/>
  <c r="BF875" i="1"/>
  <c r="BT875" i="1"/>
  <c r="BF876" i="1"/>
  <c r="BT876" i="1"/>
  <c r="BF877" i="1"/>
  <c r="BT877" i="1"/>
  <c r="BF878" i="1"/>
  <c r="BT878" i="1"/>
  <c r="BF879" i="1"/>
  <c r="BT879" i="1"/>
  <c r="BF880" i="1"/>
  <c r="BT880" i="1"/>
  <c r="BF881" i="1"/>
  <c r="BT881" i="1"/>
  <c r="BF882" i="1"/>
  <c r="BT882" i="1"/>
  <c r="BF883" i="1"/>
  <c r="BT883" i="1"/>
  <c r="BF884" i="1"/>
  <c r="BT884" i="1"/>
  <c r="BF885" i="1"/>
  <c r="BT885" i="1"/>
  <c r="BF886" i="1"/>
  <c r="BT886" i="1"/>
  <c r="BF887" i="1"/>
  <c r="BT887" i="1"/>
  <c r="BF888" i="1"/>
  <c r="BT888" i="1"/>
  <c r="BF889" i="1"/>
  <c r="BT889" i="1"/>
  <c r="BF890" i="1"/>
  <c r="BT890" i="1"/>
  <c r="BF891" i="1"/>
  <c r="BT891" i="1"/>
  <c r="BF892" i="1"/>
  <c r="BT892" i="1"/>
  <c r="BF893" i="1"/>
  <c r="BT893" i="1"/>
  <c r="BF894" i="1"/>
  <c r="BT894" i="1"/>
  <c r="BF895" i="1"/>
  <c r="BT895" i="1"/>
  <c r="BF896" i="1"/>
  <c r="BT896" i="1"/>
  <c r="BF897" i="1"/>
  <c r="BT897" i="1"/>
  <c r="BF898" i="1"/>
  <c r="BT898" i="1"/>
  <c r="BF899" i="1"/>
  <c r="BT899" i="1"/>
  <c r="BF900" i="1"/>
  <c r="BT900" i="1"/>
  <c r="BF901" i="1"/>
  <c r="BT901" i="1"/>
  <c r="BF902" i="1"/>
  <c r="BT902" i="1"/>
  <c r="BF903" i="1"/>
  <c r="BT903" i="1"/>
  <c r="BF904" i="1"/>
  <c r="BT904" i="1"/>
  <c r="BF905" i="1"/>
  <c r="BT905" i="1"/>
  <c r="BF906" i="1"/>
  <c r="BT906" i="1"/>
  <c r="BF907" i="1"/>
  <c r="BT907" i="1"/>
  <c r="BF908" i="1"/>
  <c r="BT908" i="1"/>
  <c r="BF909" i="1"/>
  <c r="BT909" i="1"/>
  <c r="BF910" i="1"/>
  <c r="BT910" i="1"/>
  <c r="BF911" i="1"/>
  <c r="BT911" i="1"/>
  <c r="BF912" i="1"/>
  <c r="BT912" i="1"/>
  <c r="BF913" i="1"/>
  <c r="BT913" i="1"/>
  <c r="BF914" i="1"/>
  <c r="BT914" i="1"/>
  <c r="BF915" i="1"/>
  <c r="BT915" i="1"/>
  <c r="BF916" i="1"/>
  <c r="BT916" i="1"/>
  <c r="BT917" i="1"/>
  <c r="BT918" i="1"/>
  <c r="BF919" i="1"/>
  <c r="BT919" i="1"/>
  <c r="BF920" i="1"/>
  <c r="BT920" i="1"/>
  <c r="BF921" i="1"/>
  <c r="BT921" i="1"/>
  <c r="BT922" i="1"/>
  <c r="BT923" i="1"/>
  <c r="BT924" i="1"/>
  <c r="BF925" i="1"/>
  <c r="BT925" i="1"/>
  <c r="BT926" i="1"/>
  <c r="BT927" i="1"/>
  <c r="BF928" i="1"/>
  <c r="BT928" i="1"/>
  <c r="BF929" i="1"/>
  <c r="BT929" i="1"/>
  <c r="BF930" i="1"/>
  <c r="BT930" i="1"/>
  <c r="BF931" i="1"/>
  <c r="BT931" i="1"/>
  <c r="BF932" i="1"/>
  <c r="BT932" i="1"/>
  <c r="BF933" i="1"/>
  <c r="BT933" i="1"/>
  <c r="BF934" i="1"/>
  <c r="BT934" i="1"/>
  <c r="BF935" i="1"/>
  <c r="BT935" i="1"/>
  <c r="BF936" i="1"/>
  <c r="BT936" i="1"/>
  <c r="BF937" i="1"/>
  <c r="BT937" i="1"/>
  <c r="BF938" i="1"/>
  <c r="BT938" i="1"/>
  <c r="BF939" i="1"/>
  <c r="BT939" i="1"/>
  <c r="BF940" i="1"/>
  <c r="BT940" i="1"/>
  <c r="BF941" i="1"/>
  <c r="BT941" i="1"/>
  <c r="BF942" i="1"/>
  <c r="BT942" i="1"/>
  <c r="BF943" i="1"/>
  <c r="BT943" i="1"/>
  <c r="BF944" i="1"/>
  <c r="BT944" i="1"/>
  <c r="BF945" i="1"/>
  <c r="BT945" i="1"/>
  <c r="BF946" i="1"/>
  <c r="BT946" i="1"/>
  <c r="BF947" i="1"/>
  <c r="BT947" i="1"/>
  <c r="BF948" i="1"/>
  <c r="BT948" i="1"/>
  <c r="BF949" i="1"/>
  <c r="BT949" i="1"/>
  <c r="BF950" i="1"/>
  <c r="BT950" i="1"/>
  <c r="BF951" i="1"/>
  <c r="BT951" i="1"/>
  <c r="BF952" i="1"/>
  <c r="BT952" i="1"/>
  <c r="BF953" i="1"/>
  <c r="BT953" i="1"/>
  <c r="BF954" i="1"/>
  <c r="BT954" i="1"/>
  <c r="BF955" i="1"/>
  <c r="BT955" i="1"/>
  <c r="BF956" i="1"/>
  <c r="BT956" i="1"/>
  <c r="BF957" i="1"/>
  <c r="BT957" i="1"/>
  <c r="BF958" i="1"/>
  <c r="BT958" i="1"/>
  <c r="BF959" i="1"/>
  <c r="BT959" i="1"/>
  <c r="BF960" i="1"/>
  <c r="BT960" i="1"/>
  <c r="BF961" i="1"/>
  <c r="BT961" i="1"/>
  <c r="BF962" i="1"/>
  <c r="BT962" i="1"/>
  <c r="BF963" i="1"/>
  <c r="BT963" i="1"/>
  <c r="BF964" i="1"/>
  <c r="BT964" i="1"/>
  <c r="BF965" i="1"/>
  <c r="BT965" i="1"/>
  <c r="BF966" i="1"/>
  <c r="BT966" i="1"/>
  <c r="BF967" i="1"/>
  <c r="BT967" i="1"/>
  <c r="BF968" i="1"/>
  <c r="BT968" i="1"/>
  <c r="BF969" i="1"/>
  <c r="BT969" i="1"/>
  <c r="BF970" i="1"/>
  <c r="BT970" i="1"/>
  <c r="BF971" i="1"/>
  <c r="BT971" i="1"/>
  <c r="BF972" i="1"/>
  <c r="BT972" i="1"/>
  <c r="BF973" i="1"/>
  <c r="BT973" i="1"/>
  <c r="BF974" i="1"/>
  <c r="BT974" i="1"/>
  <c r="BF975" i="1"/>
  <c r="BT975" i="1"/>
  <c r="BF976" i="1"/>
  <c r="BT976" i="1"/>
  <c r="BF977" i="1"/>
  <c r="BT977" i="1"/>
  <c r="BF978" i="1"/>
  <c r="BT978" i="1"/>
  <c r="BF979" i="1"/>
  <c r="BT979" i="1"/>
  <c r="BF980" i="1"/>
  <c r="BT980" i="1"/>
  <c r="BF981" i="1"/>
  <c r="BT981" i="1"/>
  <c r="BF982" i="1"/>
  <c r="BT982" i="1"/>
  <c r="BF983" i="1"/>
  <c r="BT983" i="1"/>
  <c r="BF984" i="1"/>
  <c r="BT984" i="1"/>
  <c r="BF985" i="1"/>
  <c r="BT985" i="1"/>
  <c r="BF986" i="1"/>
  <c r="BT986" i="1"/>
  <c r="BF987" i="1"/>
  <c r="BT987" i="1"/>
  <c r="BF988" i="1"/>
  <c r="BT988" i="1"/>
  <c r="BF989" i="1"/>
  <c r="BT989" i="1"/>
  <c r="BF990" i="1"/>
  <c r="BT990" i="1"/>
  <c r="BF991" i="1"/>
  <c r="BT991" i="1"/>
  <c r="BF992" i="1"/>
  <c r="BT992" i="1"/>
  <c r="BF993" i="1"/>
  <c r="BT993" i="1"/>
  <c r="BF994" i="1"/>
  <c r="BT994" i="1"/>
  <c r="BF995" i="1"/>
  <c r="BT995" i="1"/>
  <c r="BF996" i="1"/>
  <c r="BT996" i="1"/>
  <c r="BT997" i="1"/>
  <c r="BF998" i="1"/>
  <c r="BT998" i="1"/>
  <c r="BT999" i="1"/>
  <c r="BF1000" i="1"/>
  <c r="BT1000" i="1"/>
  <c r="BF1001" i="1"/>
  <c r="BT1001" i="1"/>
</calcChain>
</file>

<file path=xl/sharedStrings.xml><?xml version="1.0" encoding="utf-8"?>
<sst xmlns="http://schemas.openxmlformats.org/spreadsheetml/2006/main" count="77555" uniqueCount="21808">
  <si>
    <t>Publication Type</t>
  </si>
  <si>
    <t>Authors</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</si>
  <si>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</si>
  <si>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</si>
  <si>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</si>
  <si>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</si>
  <si>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</si>
  <si>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</si>
  <si>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</si>
  <si>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</si>
  <si>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</si>
  <si>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</si>
  <si>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</si>
  <si>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</si>
  <si>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</si>
  <si>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</si>
  <si>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</si>
  <si>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</si>
  <si>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</si>
  <si>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</si>
  <si>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</si>
  <si>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</si>
  <si>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</si>
  <si>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Affiliations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</si>
  <si>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</si>
  <si>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</si>
  <si>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</si>
  <si>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</si>
  <si>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</si>
  <si>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</si>
  <si>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</si>
  <si>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</si>
  <si>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</si>
  <si>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</si>
  <si>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</si>
  <si>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</si>
  <si>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</si>
  <si>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</si>
  <si>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</si>
  <si>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</si>
  <si>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</si>
  <si>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</si>
  <si>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</si>
  <si>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</si>
  <si>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</si>
  <si>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</si>
  <si>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</si>
  <si>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</si>
  <si>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</si>
  <si>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</si>
  <si>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</si>
  <si>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</si>
  <si>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</si>
  <si>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</si>
  <si>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</si>
  <si>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</si>
  <si>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</si>
  <si>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</si>
  <si>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</si>
  <si>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</si>
  <si>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</si>
  <si>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</si>
  <si>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</si>
  <si>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</si>
  <si>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</si>
  <si>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</si>
  <si>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</si>
  <si>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</si>
  <si>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</si>
  <si>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</si>
  <si>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</si>
  <si>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</si>
  <si>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</si>
  <si>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SCOTT, SG; BRUCE, RA</t>
  </si>
  <si>
    <t/>
  </si>
  <si>
    <t>DETERMINANTS OF INNOVATIVE BEHAVIOR - A PATH MODEL OF INDIVIDUAL INNOVATION IN THE WORKPLACE</t>
  </si>
  <si>
    <t>ACADEMY OF MANAGEMENT JOURNAL</t>
  </si>
  <si>
    <t>English</t>
  </si>
  <si>
    <t>Article</t>
  </si>
  <si>
    <t>PSYCHOLOGICAL CLIMATE; MEMBER EXCHANGE; CREATIVITY; ORGANIZATIONS; SATISFACTION; WORK; PERCEPTIONS; INTEGRATION; LEADERSHIP; ISSUES</t>
  </si>
  <si>
    <t>The present study integrated a number of streams of research on the antecedents of innovation to develop and test a model of individual innovative behavior. Hypothesizing that leadership, individual problem-solving style, and work group relations affect innovative behavior directly and indirectly through their influence on perceptions of the climate for innovation, we used structural equation analysis to test the parameters of the proposed model simultaneously and also explored the moderating effect of task characteristics. The model explained approximately 37 percent of the variance in innovative behavior. Task type moderated the relationship between leader role expectations and innovative behavior.</t>
  </si>
  <si>
    <t>UNIV LOUISVILLE, COLL BUSINESS &amp; PUBL ADM, LOUISVILLE, KY 40292 USA</t>
  </si>
  <si>
    <t>University of Louisville</t>
  </si>
  <si>
    <t>SCOTT, SG (corresponding author), UNIV COLORADO, COLORADO SPRINGS, CO 80907 USA.</t>
  </si>
  <si>
    <t>ACAD MANAGEMENT</t>
  </si>
  <si>
    <t>BRIARCLIFF MANOR</t>
  </si>
  <si>
    <t>PACE UNIV, PO BOX 3020, 235 ELM RD, BRIARCLIFF MANOR, NY 10510-8020 USA</t>
  </si>
  <si>
    <t>0001-4273</t>
  </si>
  <si>
    <t>1948-0989</t>
  </si>
  <si>
    <t>ACAD MANAGE J</t>
  </si>
  <si>
    <t>Acad. Manage. J.</t>
  </si>
  <si>
    <t>JUN</t>
  </si>
  <si>
    <t>10.2307/256701</t>
  </si>
  <si>
    <t>Business; Management</t>
  </si>
  <si>
    <t>Social Science Citation Index (SSCI)</t>
  </si>
  <si>
    <t>Business &amp; Economics</t>
  </si>
  <si>
    <t>NN576</t>
  </si>
  <si>
    <t>2023-05-17</t>
  </si>
  <si>
    <t>WOS:A1994NN57600006</t>
  </si>
  <si>
    <t>Janssen, O; Van Yperen, NW</t>
  </si>
  <si>
    <t>Employees' goal orientations, the quality of leader-member exchange, and the outcomes of job performance and job satisfaction</t>
  </si>
  <si>
    <t>ACHIEVEMENT GOALS; INNOVATIVE BEHAVIOR; MOTIVATION; WORK; DEMANDS; TASK; MODEL; PERCEPTIONS; PERSPECTIVE; CREATIVITY</t>
  </si>
  <si>
    <t>As hypothesized, data from 170 employees of a Dutch firm showed that the quality of leader-member exchange mediated positive relationships between a mastery orientation and leader-rated in-role job performance, leader-rated innovative job performance, and job satisfaction. In contrast, a performance orientation was negatively related or unrelated to those outcomes. These findings suggest that employees with stronger mastery orientations are more effective on the job because they tend to establish higher-quality exchanges with their supervisors.</t>
  </si>
  <si>
    <t>Univ Groningen, NL-9700 AB Groningen, Netherlands</t>
  </si>
  <si>
    <t>University of Groningen</t>
  </si>
  <si>
    <t>Janssen, O (corresponding author), Univ Groningen, NL-9700 AB Groningen, Netherlands.</t>
  </si>
  <si>
    <t>o.janssen@ppsw.rug.nl</t>
  </si>
  <si>
    <t>Van Yperen, Nico W./C-2341-2012</t>
  </si>
  <si>
    <t>Van Yperen, Nico W./0000-0003-2116-8841</t>
  </si>
  <si>
    <t>10.2307/20159587</t>
  </si>
  <si>
    <t>832MU</t>
  </si>
  <si>
    <t>Green Submitted</t>
  </si>
  <si>
    <t>WOS:000222272400005</t>
  </si>
  <si>
    <t>Yuan, FR; Woodman, RW</t>
  </si>
  <si>
    <t>Yuan, Feirong; Woodman, Richard W.</t>
  </si>
  <si>
    <t>INNOVATIVE BEHAVIOR IN THE WORKPLACE: THE ROLE OF PERFORMANCE AND IMAGE OUTCOME EXPECTATIONS</t>
  </si>
  <si>
    <t>LEADER-MEMBER EXCHANGE; IMPRESSION-MANAGEMENT; ORGANIZATIONAL INNOVATION; INDIVIDUAL INNOVATION; EMPLOYEE CREATIVITY; CONTEXTUAL FACTORS; FEEDBACK-SEEKING; MODEL; WORK; SATISFACTION</t>
  </si>
  <si>
    <t>Why do employees engage in innovative behavior at their workplaces? We examine how employees' innovative behavior is explained by expectations for such behavior to affect job performance (expected positive performance outcomes) and image inside their organizations (expected image risks and expected image gains). We found significant effects of all three outcome expectations on innovative behavior. These outcome expectations, as intermediate psychological processes, were shaped by contextual and individual difference factors, including perceived organization support for innovation, supervisor relationship quality, job requirement for innovativeness, employee reputation as innovative, and individual dissatisfaction with the status quo.</t>
  </si>
  <si>
    <t>[Yuan, Feirong] Univ Kansas, Sch Business, Lawrence, KS 66045 USA; [Woodman, Richard W.] Texas A&amp;M Univ, College Stn, TX 77843 USA</t>
  </si>
  <si>
    <t>University of Kansas; Texas A&amp;M University System; Texas A&amp;M University College Station</t>
  </si>
  <si>
    <t>Yuan, FR (corresponding author), Univ Kansas, Sch Business, Lawrence, KS 66045 USA.</t>
  </si>
  <si>
    <t>fyuan@ku.edu; dwoodman@mays.tamu.edu</t>
  </si>
  <si>
    <t>APR</t>
  </si>
  <si>
    <t>10.5465/AMJ.2010.49388995</t>
  </si>
  <si>
    <t>596BC</t>
  </si>
  <si>
    <t>WOS:000277657300006</t>
  </si>
  <si>
    <t>Kelly, AS; Barlow, SE; Rao, G; Inge, TH; Hayman, LL; Steinberger, J; Urbina, EM; Ewing, LJ; Daniels, SR</t>
  </si>
  <si>
    <t>Kelly, Aaron S.; Barlow, Sarah E.; Rao, Goutham; Inge, Thomas H.; Hayman, Laura L.; Steinberger, Julia; Urbina, Elaine M.; Ewing, Linda J.; Daniels, Stephen R.</t>
  </si>
  <si>
    <t>Council Cardiovasc Dis Young; Council Nutr Phys Activity Metab; Council Clinical Cardiology</t>
  </si>
  <si>
    <t>Severe Obesity in Children and Adolescents: Identification, Associated Health Risks, and Treatment Approaches A Scientific Statement From the American Heart Association</t>
  </si>
  <si>
    <t>CIRCULATION</t>
  </si>
  <si>
    <t>AHA Scientific Statements; adolescents; children; obesity; risk factors</t>
  </si>
  <si>
    <t>BODY-MASS INDEX; FATTY LIVER-DISEASE; OBSTRUCTIVE SLEEP-APNEA; RANDOMIZED CONTROLLED-TRIAL; TYPE-2 DIABETES-MELLITUS; INTIMA-MEDIA THICKNESS; FAMILY-BASED TREATMENT; C-REACTIVE PROTEIN; Y GASTRIC BYPASS; QUALITY-OF-LIFE</t>
  </si>
  <si>
    <t>Severe obesity afflicts between 4% and 6% of all youth in the United States, and the prevalence is increasing. Despite the serious immediate and long-term cardiovascular, metabolic, and other health consequences of severe pediatric obesity, current treatments are limited in effectiveness and lack widespread availability. Lifestyle modification/behavior-based treatment interventions in youth with severe obesity have demonstrated modest improvement in body mass index status, but participants have generally remained severely obese and often regained weight after the conclusion of the treatment programs. The role of medical management is minimal, because only 1 medication is currently approved for the treatment of obesity in adolescents. Bariatric surgery has generally been effective in reducing body mass index and improving cardiovascular and metabolic risk factors; however, reports of long-term outcomes are few, many youth with severe obesity do not qualify for surgery, and access is limited by lack of insurance coverage. To begin to address these challenges, the purposes of this scientific statement are to (1) provide justification for and recommend a standardized definition of severe obesity in children and adolescents; (2) raise awareness of this serious and growing problem by summarizing the current literature in this area in terms of the epidemiology and trends, associated health risks (immediate and long-term), and challenges and shortcomings of currently available treatment options; and (3) highlight areas in need of future research. Innovative behavior-based treatment, minimally invasive procedures, and medications currently under development all need to be evaluated for their efficacy and safety in this group of patients with high medical and psychosocial risks.</t>
  </si>
  <si>
    <t>Inge, Thomas Harris/AAG-3372-2020</t>
  </si>
  <si>
    <t>Inge, Thomas Harris/0000-0001-7782-1112; Steinberger, Julia/0000-0002-2892-8594</t>
  </si>
  <si>
    <t>NCATS NIH HHS [UL1 TR000077] Funding Source: Medline</t>
  </si>
  <si>
    <t>NCATS NIH HHS(United States Department of Health &amp; Human ServicesNational Institutes of Health (NIH) - USANIH National Center for Advancing Translational Sciences (NCATS))</t>
  </si>
  <si>
    <t>LIPPINCOTT WILLIAMS &amp; WILKINS</t>
  </si>
  <si>
    <t>PHILADELPHIA</t>
  </si>
  <si>
    <t>TWO COMMERCE SQ, 2001 MARKET ST, PHILADELPHIA, PA 19103 USA</t>
  </si>
  <si>
    <t>0009-7322</t>
  </si>
  <si>
    <t>1524-4539</t>
  </si>
  <si>
    <t>Circulation</t>
  </si>
  <si>
    <t>OCT 8</t>
  </si>
  <si>
    <t>10.1161/CIR.0b013e3182a5cfb3</t>
  </si>
  <si>
    <t>Cardiac &amp; Cardiovascular Systems; Peripheral Vascular Disease</t>
  </si>
  <si>
    <t>Science Citation Index Expanded (SCI-EXPANDED); Social Science Citation Index (SSCI)</t>
  </si>
  <si>
    <t>Cardiovascular System &amp; Cardiology</t>
  </si>
  <si>
    <t>230MU</t>
  </si>
  <si>
    <t>Y</t>
  </si>
  <si>
    <t>N</t>
  </si>
  <si>
    <t>WOS:000325345700022</t>
  </si>
  <si>
    <t>WOLFE, RA</t>
  </si>
  <si>
    <t>ORGANIZATIONAL INNOVATION - REVIEW, CRITIQUE AND SUGGESTED RESEARCH DIRECTIONS</t>
  </si>
  <si>
    <t>JOURNAL OF MANAGEMENT STUDIES</t>
  </si>
  <si>
    <t>ADMINISTRATIVE INNOVATIONS; DIFFUSION; ADOPTION; TECHNOLOGY; MODEL; IMPLEMENTATION; INFORMATION; MANAGEMENT; VALUES</t>
  </si>
  <si>
    <t>Despite broad interest and a vast literature, understanding of innovative behaviour in organizations remains relatively undeveloped. To contribute to the development of a more cumulative knowledge base, the author presents a conceptual review of the innovation literature by summarizing and organizing prior research into three related, though often confounded, research streams and identifies major reasons for the inconsistent and inconclusive nature of the research. Strategies for conducting more generalizable innovation research are suggested.</t>
  </si>
  <si>
    <t>WOLFE, RA (corresponding author), UNIV ALBERTA,FAC BUSINESS,EDMONTON T6G 2R6,AB,CANADA.</t>
  </si>
  <si>
    <t>BLACKWELL PUBL LTD</t>
  </si>
  <si>
    <t>OXFORD</t>
  </si>
  <si>
    <t>108 COWLEY RD, OXFORD, OXON, ENGLAND OX4 1JF</t>
  </si>
  <si>
    <t>0022-2380</t>
  </si>
  <si>
    <t>J MANAGE STUD</t>
  </si>
  <si>
    <t>J. Manage. Stud.</t>
  </si>
  <si>
    <t>MAY</t>
  </si>
  <si>
    <t>10.1111/j.1467-6486.1994.tb00624.x</t>
  </si>
  <si>
    <t>NQ741</t>
  </si>
  <si>
    <t>WOS:A1994NQ74100005</t>
  </si>
  <si>
    <t>Shalley, CE; Gilson, LL; Blum, TC</t>
  </si>
  <si>
    <t>Shalley, Christina E.; Gilson, Lucy L.; Blum, Terry C.</t>
  </si>
  <si>
    <t>INTERACTIVE EFFECTS OF GROWTH NEED STRENGTH, WORK CONTEXT, AND JOB COMPLEXITY ON SELF-REPORTED CREATIVE PERFORMANCE</t>
  </si>
  <si>
    <t>EMPLOYEE CREATIVITY; INNOVATIVE BEHAVIOR; METHOD VARIANCE; EXPERIENCE; OPENNESS; MODEL; SATISFACTION; PERCEPTIONS; STRATEGIES; LEADERSHIP</t>
  </si>
  <si>
    <t>We propose that growth need strength is an important individual factor for employees' creative performance. Using an interactionist perspective, we examine the relationship between growth need strength and a supportive work context on self-reported creativity across a wide range of jobs that vary in complexity. Controlling for the effects of individual factors that have been previously linked to creativity (i.e., creative personality, intrinsic motivation, and cognitive style), we find that growth need strength has both a positive main effect on creativity and an interactive effect with context. Furthermore, job complexity moderates this association. Implications for managers are discussed.</t>
  </si>
  <si>
    <t>[Shalley, Christina E.; Blum, Terry C.] Georgia Inst Technol, Coll Management, Atlanta, GA 30332 USA; [Blum, Terry C.] Georgia Inst Technol, Inst Leadership &amp; Entrepreneurship, Atlanta, GA 30332 USA; [Gilson, Lucy L.] Univ Connecticut, Storrs, CT 06269 USA</t>
  </si>
  <si>
    <t>University System of Georgia; Georgia Institute of Technology; University System of Georgia; Georgia Institute of Technology; University of Connecticut</t>
  </si>
  <si>
    <t>Shalley, CE (corresponding author), Georgia Inst Technol, Coll Management, Atlanta, GA 30332 USA.</t>
  </si>
  <si>
    <t>christina.shalley@mgt.gatech.edu; lgilson@business.uconn.edu; terry.blum@mgt.gatech.edu</t>
  </si>
  <si>
    <t>Gilson, Lucy L./AAE-9294-2019</t>
  </si>
  <si>
    <t>Gilson, Lucy/0000-0003-0512-3889</t>
  </si>
  <si>
    <t>10.5465/AMJ.2009.41330806</t>
  </si>
  <si>
    <t>462LT</t>
  </si>
  <si>
    <t>WOS:000267355100004</t>
  </si>
  <si>
    <t>Tierney, P; Farmer, SM</t>
  </si>
  <si>
    <t>Tierney, Pamela; Farmer, Steven M.</t>
  </si>
  <si>
    <t>Creative Self-Efficacy Development and Creative Performance Over Time</t>
  </si>
  <si>
    <t>JOURNAL OF APPLIED PSYCHOLOGY</t>
  </si>
  <si>
    <t>creative self-efficacy; creativity; role identity; leader expectations; job required creativity</t>
  </si>
  <si>
    <t>EMPLOYEE CREATIVITY; INNOVATIVE BEHAVIOR; TRANSFORMATIONAL LEADERSHIP; PSYCHOLOGICAL EMPOWERMENT; INDIVIDUAL CREATIVITY; LONGITUDINAL RESEARCH; SECONDARY STUDENTS; GOAL ORIENTATION; WORK-ENVIRONMENT; ETHNIC-IDENTITY</t>
  </si>
  <si>
    <t>Building from an established framework of self-efficacy development, this study provides a longitudinal examination of the development of creative self-efficacy in an ongoing work context. Results show that increases in employee creative role identity and perceived creative expectation from supervisors over a 6-month time period were associated with enhanced sense of employee capacity for creative work. Contrary to what was expected, employees who experienced increased requirements for creativity in their jobs actually reported a decreased sense of efficaciousness for creative work. Results show that increases in creative self-efficacy corresponded with increases in creative performance as well.</t>
  </si>
  <si>
    <t>[Tierney, Pamela] Portland State Univ, Sch Business Adm, Portland, OR 97207 USA; [Farmer, Steven M.] Wichita State Univ, W Frank Barton Sch Business, Wichita, KS 67260 USA</t>
  </si>
  <si>
    <t>Portland State University; Wichita State University</t>
  </si>
  <si>
    <t>Tierney, P (corresponding author), Portland State Univ, Sch Business Adm, Portland, OR 97207 USA.</t>
  </si>
  <si>
    <t>tierneyp@pdx.edu</t>
  </si>
  <si>
    <t>AMER PSYCHOLOGICAL ASSOC</t>
  </si>
  <si>
    <t>WASHINGTON</t>
  </si>
  <si>
    <t>750 FIRST ST NE, WASHINGTON, DC 20002-4242 USA</t>
  </si>
  <si>
    <t>0021-9010</t>
  </si>
  <si>
    <t>J APPL PSYCHOL</t>
  </si>
  <si>
    <t>J. Appl. Psychol.</t>
  </si>
  <si>
    <t>MAR</t>
  </si>
  <si>
    <t>10.1037/a0020952</t>
  </si>
  <si>
    <t>Psychology, Applied; Management</t>
  </si>
  <si>
    <t>Psychology; Business &amp; Economics</t>
  </si>
  <si>
    <t>737QX</t>
  </si>
  <si>
    <t>WOS:000288584400005</t>
  </si>
  <si>
    <t>Pieterse, AN; van Knippenberg, D; Schippers, M; Stam, D</t>
  </si>
  <si>
    <t>Pieterse, Anne Nederveen; van Knippenberg, Daan; Schippers, Michaela; Stam, Daan</t>
  </si>
  <si>
    <t>Transformational and transactional leadership and innovative behavior: The moderating role of psychological empowerment</t>
  </si>
  <si>
    <t>JOURNAL OF ORGANIZATIONAL BEHAVIOR</t>
  </si>
  <si>
    <t>SOCIAL IDENTITY; MEDIATING ROLE; CREATIVITY; PERFORMANCE; MODEL; JOB; STYLE; ORIENTATION; DIMENSIONS; ANONYMITY</t>
  </si>
  <si>
    <t>Innovative behavior is increasingly important for organizations' survival. Transformational leadership, in contrast to transactional leadership, has been argued to be particularly effective in engendering follower innovative behavior. However, empirical evidence for this relationship is scarce and inconsistent. Addressing this issue, we propose that follower psychological empowerment moderates the relationship of transformational and transactional leadership with follower innovative behavior. In a field study with 230 employees of a government agency in the Netherlands combining multisource ratings, we show that transformational leadership is positively related to innovative behavior only when psychological empowerment is high, whereas transactional leadership has a negative relationship with innovative behavior only under these conditions. Copyright (C) 2009 John Wiley &amp; Sons, Ltd.</t>
  </si>
  <si>
    <t>[Pieterse, Anne Nederveen; van Knippenberg, Daan; Schippers, Michaela; Stam, Daan] Erasmus Univ, Rotterdam Sch Management, Rotterdam, Netherlands</t>
  </si>
  <si>
    <t>Erasmus University Rotterdam; Erasmus University Rotterdam - Excl Erasmus MC</t>
  </si>
  <si>
    <t>Pieterse, AN (corresponding author), Univ Groningen, Fac Econ &amp; Business, Dept Human Resource Management &amp; Org Behav, Nettelbosje 2, NL-9747 AE Groningen, Netherlands.</t>
  </si>
  <si>
    <t>a.nederveen.pieterse@rug.nl</t>
  </si>
  <si>
    <t>Stam, Daan/G-8720-2011; Schippers, Michaela/G-6912-2012</t>
  </si>
  <si>
    <t>Schippers, Michaela/0000-0002-0795-5454</t>
  </si>
  <si>
    <t>WILEY</t>
  </si>
  <si>
    <t>HOBOKEN</t>
  </si>
  <si>
    <t>111 RIVER ST, HOBOKEN 07030-5774, NJ USA</t>
  </si>
  <si>
    <t>0894-3796</t>
  </si>
  <si>
    <t>1099-1379</t>
  </si>
  <si>
    <t>J ORGAN BEHAV</t>
  </si>
  <si>
    <t>J. Organ. Behav.</t>
  </si>
  <si>
    <t>10.1002/job.650</t>
  </si>
  <si>
    <t>Business; Psychology, Applied; Management</t>
  </si>
  <si>
    <t>Business &amp; Economics; Psychology</t>
  </si>
  <si>
    <t>586MC</t>
  </si>
  <si>
    <t>Bronze</t>
  </si>
  <si>
    <t>WOS:000276912600007</t>
  </si>
  <si>
    <t>George, JM</t>
  </si>
  <si>
    <t>George, Jennifer M.</t>
  </si>
  <si>
    <t>Creativity in Organizations</t>
  </si>
  <si>
    <t>ACADEMY OF MANAGEMENT ANNALS</t>
  </si>
  <si>
    <t>SELF-DETERMINATION THEORY; EMPLOYEE CREATIVITY; ACTIVATION THEORY; POSITIVE AFFECT; INNOVATIVE BEHAVIOR; JOB-PERFORMANCE; NEGATIVE MOOD; WORK; MODEL; PERSONALITY</t>
  </si>
  <si>
    <t>In this chapter, I review contemporary theories and research on creativity in organizations. After discussing key definitional issues in this domain, I review the contemporary scholarly literature proceeding from the most molecular of perspectives focusing on within-individual processes to the more molar perspective of the collective creativity that can take place in work groups. While the within-individual process featured most prominently in the extant literature is intrinsic motivation, after a treatment of some fundamental issues surrounding the intrinsic motivation construct, I review research on conscious and unconscious thinking and positive and negative affect as key internal processes relevant to understanding creativity. Next, I focus on contextual influences on creativity including safety signals, creativity prompts, supervisors, leadership, and networks. Lastly, I focus on creativity in groups (from both an input and a process perspective). In closing, I reiterate a recurrent theme throughout the review. This is an exciting era for research on creativity in organizations with many intriguing questions awaiting future scholarly inquiry.</t>
  </si>
  <si>
    <t>Rice Univ, Jesse H Jones Grad Sch Management, Houston, TX 77251 USA</t>
  </si>
  <si>
    <t>Rice University</t>
  </si>
  <si>
    <t>George, JM (corresponding author), Rice Univ, Jesse H Jones Grad Sch Management, Houston, TX 77251 USA.</t>
  </si>
  <si>
    <t>1941-6520</t>
  </si>
  <si>
    <t>1941-6067</t>
  </si>
  <si>
    <t>ACAD MANAG ANN</t>
  </si>
  <si>
    <t>Acad. Manag. Ann.</t>
  </si>
  <si>
    <t>10.1080/078559814</t>
  </si>
  <si>
    <t>V10ZH</t>
  </si>
  <si>
    <t>WOS:000207501400009</t>
  </si>
  <si>
    <t>Baer, M</t>
  </si>
  <si>
    <t>Baer, Markus</t>
  </si>
  <si>
    <t>PUTTING CREATIVITY TO WORK: THE IMPLEMENTATION OF CREATIVE IDEAS IN ORGANIZATIONS</t>
  </si>
  <si>
    <t>INNOVATIVE BEHAVIOR; JOB-SATISFACTION; TECHNOLOGICAL-INNOVATION; INDIVIDUAL INNOVATION; EMPLOYEE CREATIVITY; EXPECTANCY MODELS; POLITICAL SKILL; SOCIAL NETWORKS; SELLING ISSUES; WEAK-TIES</t>
  </si>
  <si>
    <t>The production of creative ideas does not necessarily imply their implementation. This study examines the possibility that the relation between creativity and implementation is regulated by individuals' motivation to put their ideas into practice and their ability to network, or, alternatively, the number of strong relationships they maintain. Using data from 216 employees and their supervisors, results indicated that individuals were able to improve the otherwise negative odds of their creative ideas being realized when they expected positive outcomes to be associated with their implementation efforts and when they were skilled networkers or had developed a set of strong buy-in relationships.</t>
  </si>
  <si>
    <t>Washington Univ, John M Olin Sch Business, St Louis, MO 63130 USA</t>
  </si>
  <si>
    <t>Washington University (WUSTL)</t>
  </si>
  <si>
    <t>Baer, M (corresponding author), Washington Univ, John M Olin Sch Business, St Louis, MO 63130 USA.</t>
  </si>
  <si>
    <t>baer@wustl.edu</t>
  </si>
  <si>
    <t>OCT</t>
  </si>
  <si>
    <t>10.5465/amj.2009.0470</t>
  </si>
  <si>
    <t>032KD</t>
  </si>
  <si>
    <t>WOS:000310716300005</t>
  </si>
  <si>
    <t>Jacobs, Z; Roberts, RG; Galbraith, RF; Deacon, HJ; Grun, R; Mackay, A; Mitchell, P; Vogelsang, R; Wadley, L</t>
  </si>
  <si>
    <t>Jacobs, Zenobia; Roberts, Richard G.; Galbraith, Rex F.; Deacon, Hilary J.; Gruen, Rainer; Mackay, Alex; Mitchell, Peter; Vogelsang, Ralf; Wadley, Lyn</t>
  </si>
  <si>
    <t>Ages for the Middle Stone Age of Southern Africa: Implications for Human Behavior and Dispersal</t>
  </si>
  <si>
    <t>SCIENCE</t>
  </si>
  <si>
    <t>POST-HOWIESONS POORT; SIBUDU CAVE; SHELL BEADS; BLOMBOS CAVE; ORIGINS; POPULATIONS; ANTARCTICA; SETTLEMENT; GREENLAND; INDUSTRY</t>
  </si>
  <si>
    <t>The expansion of modern human populations in Africa 80,000 to 60,000 years ago and their initial exodus out of Africa have been tentatively linked to two phases of technological and behavioral innovation within the Middle Stone Age of southern Africa- the Still Bay and Howieson's Poort industries- that are associated with early evidence for symbols and personal ornaments. Establishing the correct sequence of events, however, has been hampered by inadequate chronologies. We report ages for nine sites from varied climatic and ecological zones across southern Africa that show that both industries were short- lived ( 5000 years or less), separated by about 7000 years, and coeval with genetic estimates of population expansion and exit times. Comparison with climatic records shows that these bursts of innovative behavior cannot be explained by environmental factors alone.</t>
  </si>
  <si>
    <t>[Jacobs, Zenobia; Roberts, Richard G.] Univ Wollongong, GeoQuEST Res Ctr, Sch Earth &amp; Environm Sci, Wollongong, NSW 2522, Australia; [Galbraith, Rex F.] UCL, Dept Stat Sci, London WC1E 6BT, England; [Deacon, Hilary J.] Iziko Museums Cape Town, ZA-8000 Cape Town, South Africa; [Gruen, Rainer] Australian Natl Univ, Res Sch Earth Sci, Canberra, ACT 0200, Australia; [Mackay, Alex] Australian Natl Univ, Sch Archaeol &amp; Anthropol, Canberra, ACT 0200, Australia; [Mitchell, Peter] Univ Oxford, Sch Archaeol, Oxford OX1 2PG, England; [Vogelsang, Ralf] Univ Cologne, Inst Prehist Archaeol, African Archaeol Unit, D-50823 Cologne, Germany; [Wadley, Lyn] Univ Witwatersrand, Sch Geog Archaeol &amp; Environm Sci, ZA-2050 Johannesburg, South Africa; [Wadley, Lyn] Univ Witwatersrand, Inst Human Evolut, ZA-2050 Johannesburg, South Africa</t>
  </si>
  <si>
    <t>University of Wollongong; RLUK- Research Libraries UK; University of London; University College London; Australian National University; Australian National University; RLUK- Research Libraries UK; University of Oxford; University of Cologne; University of Witwatersrand; University of Witwatersrand</t>
  </si>
  <si>
    <t>Jacobs, Z (corresponding author), Univ Wollongong, GeoQuEST Res Ctr, Sch Earth &amp; Environm Sci, Wollongong, NSW 2522, Australia.</t>
  </si>
  <si>
    <t>zenobia@uow.edu.au</t>
  </si>
  <si>
    <t>Wadley, Lyn/AAC-6577-2022; Grun, Rainer/A-1437-2012; Roberts, Richard Graham/B-8245-2013; Mackay, Alex/F-1811-2014; Jacobs, Zenobia/B-2721-2012</t>
  </si>
  <si>
    <t>Grun, Rainer/0000-0003-1366-3674; Roberts, Richard Graham/0000-0002-0128-4119; Mackay, Alex/0000-0002-6396-0821; Jacobs, Zenobia/0000-0001-5424-5837</t>
  </si>
  <si>
    <t>Australian Research Council; Deutsche Forschungsgemeinschaft; National Museum of Namibia; The South African Heritage Resource Agency; Amafa; Namibian Heritage Council of Namibia; Protection and Preservation Commission of Lesotho</t>
  </si>
  <si>
    <t>Australian Research Council(Australian Research Council); Deutsche Forschungsgemeinschaft(German Research Foundation (DFG)); National Museum of Namibia; The South African Heritage Resource Agency; Amafa; Namibian Heritage Council of Namibia; Protection and Preservation Commission of Lesotho</t>
  </si>
  <si>
    <t>We acknowledge support from the Australian Research Council (R.G.R., R.G., and Z.J.), Deutsche Forschungsgemeinschaft, and National Museum of Namibia (R.V.). The South African Heritage Resource Agency, Amafa, the Namibian Heritage Council of Namibia, and the Protection and Preservation Commission of Lesotho (N. Khitsane) issued permits.</t>
  </si>
  <si>
    <t>AMER ASSOC ADVANCEMENT SCIENCE</t>
  </si>
  <si>
    <t>1200 NEW YORK AVE, NW, WASHINGTON, DC 20005 USA</t>
  </si>
  <si>
    <t>0036-8075</t>
  </si>
  <si>
    <t>1095-9203</t>
  </si>
  <si>
    <t>Science</t>
  </si>
  <si>
    <t>OCT 31</t>
  </si>
  <si>
    <t>10.1126/science.1162219</t>
  </si>
  <si>
    <t>Multidisciplinary Sciences</t>
  </si>
  <si>
    <t>Science Citation Index Expanded (SCI-EXPANDED)</t>
  </si>
  <si>
    <t>Science &amp; Technology - Other Topics</t>
  </si>
  <si>
    <t>368EW</t>
  </si>
  <si>
    <t>Green Published, Green Submitted</t>
  </si>
  <si>
    <t>WOS:000260605200046</t>
  </si>
  <si>
    <t>Rhodes, RE; Janssen, I; Bredin, SSD; Warburton, DER; Bauman, A</t>
  </si>
  <si>
    <t>Rhodes, Ryan E.; Janssen, Ian; Bredin, Shannon S. D.; Warburton, Darren E. R.; Bauman, Adrian</t>
  </si>
  <si>
    <t>Physical activity: Health impact, prevalence, correlates and interventions</t>
  </si>
  <si>
    <t>PSYCHOLOGY &amp; HEALTH</t>
  </si>
  <si>
    <t>exercise; health; intervention</t>
  </si>
  <si>
    <t>ALL-CAUSE MORTALITY; CORONARY-HEART-DISEASE; MUSCULOSKELETAL FITNESS; DOSE-RESPONSE; AMERICAN-ASSOCIATION; SEDENTARY BEHAVIOR; CARDIOVASCULAR MORTALITY; CARDIAC REHABILITATION; POSITION STATEMENT; EXERCISE</t>
  </si>
  <si>
    <t>Objective: To provide a broad overview of the state of physical activity (PA) research in the form of (1) definitions of PA, (2) health benefits, (3) prevalence, (4) correlates and (5) interventions.Design: A high-level overview of published reviews of the literature.Results: Regular PA is an effective primary and secondary preventative strategy against at least 25 chronic medical conditions with risk reduction typically in the 20-30% range. While approximately 75% of adults meet recommended PA guidelines, the prevalence is slightly lower for women compared to men, and considerably lower for youth, older adults and those in higher income countries. Motivation, self-efficacy and self-regulation remain consistent correlates of PA. Interventions show PA changes in the small effect size range for adults and youth but the heterogeneity is considerable across studies. Only a few (aggregate of behavioural regulation strategies, supervision, high frequency of contact) reliable moderators of intervention success were identified across study quality, sample characteristics, theory/behaviour change techniques and delivery modes/settings.Conclusion: PA research should continue to examine the mechanisms causing health outcomes, the dose that can lead to clinically relevant changes in health status, the scope and validity of PA surveillance and innovative behaviour change techniques, while improving the reach and duration of PA interventions.</t>
  </si>
  <si>
    <t>[Rhodes, Ryan E.] Univ Victoria, Sch Exercise Sci Phys &amp; Hlth Educ, Behav Med Lab, Victoria, BC, Canada; [Janssen, Ian] Queens Univ, Sch Kinesiol &amp; Hlth Studies, Kingston, ON, Canada; [Bredin, Shannon S. D.; Warburton, Darren E. R.] Univ British Columbia, Sch Kinesiol, Vancouver, BC, Canada; [Bauman, Adrian] Univ Sydney, Sch Publ Hlth, Sydney, NSW, Australia</t>
  </si>
  <si>
    <t>University of Victoria; Queens University - Canada; University of British Columbia; University of Sydney</t>
  </si>
  <si>
    <t>Rhodes, RE (corresponding author), Univ Victoria, Sch Exercise Sci Phys &amp; Hlth Educ, Behav Med Lab, Victoria, BC, Canada.</t>
  </si>
  <si>
    <t>rhodes@uvic.ca</t>
  </si>
  <si>
    <t>Janssen, Ian/B-7700-2009; Bredin, Shannon/AFN-8643-2022; Rhodes, Ryan E./ABB-4896-2020; WARBURTON, DARREN E R/AFN-7109-2022; WARBURTON, DARREN E R/A-2668-2019</t>
  </si>
  <si>
    <t>Janssen, Ian/0000-0003-2159-3012; Bredin, Shannon/0000-0003-0651-3950; Rhodes, Ryan E./0000-0003-0940-9040; WARBURTON, DARREN E R/0000-0002-2842-9170</t>
  </si>
  <si>
    <t>Canadian Institutes for Health Research; Social Sciences and Humanities Research Council of Canada; Canadian Cancer Society Research Institute; Heart and Stroke Foundation of Canada</t>
  </si>
  <si>
    <t>Canadian Institutes for Health Research(Canadian Institutes of Health Research (CIHR)); Social Sciences and Humanities Research Council of Canada(Social Sciences and Humanities Research Council of Canada (SSHRC)); Canadian Cancer Society Research Institute(Canadian Cancer Society (CCS)); Heart and Stroke Foundation of Canada(Heart &amp; Stroke Foundation of Canada)</t>
  </si>
  <si>
    <t>RER is supported by funds from the Canadian Institutes for Health Research, the Social Sciences and Humanities Research Council of Canada, the Canadian Cancer Society Research Institute, and the Heart and Stroke Foundation of Canada.</t>
  </si>
  <si>
    <t>TAYLOR &amp; FRANCIS LTD</t>
  </si>
  <si>
    <t>ABINGDON</t>
  </si>
  <si>
    <t>2-4 PARK SQUARE, MILTON PARK, ABINGDON OR14 4RN, OXON, ENGLAND</t>
  </si>
  <si>
    <t>0887-0446</t>
  </si>
  <si>
    <t>1476-8321</t>
  </si>
  <si>
    <t>PSYCHOL HEALTH</t>
  </si>
  <si>
    <t>Psychol. Health</t>
  </si>
  <si>
    <t>10.1080/08870446.2017.1325486</t>
  </si>
  <si>
    <t>Public, Environmental &amp; Occupational Health; Psychology, Multidisciplinary</t>
  </si>
  <si>
    <t>Public, Environmental &amp; Occupational Health; Psychology</t>
  </si>
  <si>
    <t>EX7HS</t>
  </si>
  <si>
    <t>WOS:000403419600003</t>
  </si>
  <si>
    <t>Roehrich, G</t>
  </si>
  <si>
    <t>Consumer innovativeness - Concepts and measurements</t>
  </si>
  <si>
    <t>JOURNAL OF BUSINESS RESEARCH</t>
  </si>
  <si>
    <t>Article; Proceedings Paper</t>
  </si>
  <si>
    <t>International Research Seminar on Marketing Communications and Consumer Behavior</t>
  </si>
  <si>
    <t>La Londe, FRANCE</t>
  </si>
  <si>
    <t>Inst Adm Entreprises Aix Provence</t>
  </si>
  <si>
    <t>innovativeness; measurement scales; innovative behavior; new product; innovation</t>
  </si>
  <si>
    <t>OPTIMAL STIMULATION LEVEL</t>
  </si>
  <si>
    <t>Consumer innovativeness, as a force that leads to innovative behavior, has often been cited and studied in research on the diffusion of innovation. Surprisingly, it appears that there is still room for discussion about this concept. This article attempts to take stock of this issue. In the first part, the different theoretical definitions of the notion are introduced critically. The second part is devoted to displaying major measurement scales that have been designed with a view to measuring this construct. This review helps in understanding the diversity of approaches to innovativeness. It raises two main questions: (1) Are the different theoretical conceptualizations of innovativeness equally valid and compatible? (2) Do the scales really express each theoretical standpoint? This suggests that the present scales may be imperfect, and construction of a new one may well be of interest. (C) 2002 Elsevier Inc. All rights reserved.</t>
  </si>
  <si>
    <t>Ecole Super Affaires, F-38040 Grenoble 9, France</t>
  </si>
  <si>
    <t>Roehrich, G (corresponding author), Ecole Super Affaires, BP 47X, F-38040 Grenoble 9, France.</t>
  </si>
  <si>
    <t>giroeh@aol.com</t>
  </si>
  <si>
    <t>ELSEVIER SCIENCE INC</t>
  </si>
  <si>
    <t>NEW YORK</t>
  </si>
  <si>
    <t>STE 800, 230 PARK AVE, NEW YORK, NY 10169 USA</t>
  </si>
  <si>
    <t>0148-2963</t>
  </si>
  <si>
    <t>1873-7978</t>
  </si>
  <si>
    <t>J BUS RES</t>
  </si>
  <si>
    <t>J. Bus. Res.</t>
  </si>
  <si>
    <t>10.1016/S0148-2963(02)00311-9</t>
  </si>
  <si>
    <t>Business</t>
  </si>
  <si>
    <t>Social Science Citation Index (SSCI); Conference Proceedings Citation Index - Social Science &amp;amp; Humanities (CPCI-SSH)</t>
  </si>
  <si>
    <t>815TN</t>
  </si>
  <si>
    <t>WOS:000221064700014</t>
  </si>
  <si>
    <t>Van der Vegt, GS; Janssen, O</t>
  </si>
  <si>
    <t>Joint impact of interdependence and group diversity on innovation</t>
  </si>
  <si>
    <t>JOURNAL OF MANAGEMENT</t>
  </si>
  <si>
    <t>STRATEGIC DECISION-MAKING; TOP MANAGEMENT; DIALECTICAL INQUIRY; WORK TEAMS; TASK INTERDEPENDENCE; DEVILS ADVOCACY; JOB DEMANDS; GROUP GOALS; PERFORMANCE; CONFLICT</t>
  </si>
  <si>
    <t>This questionnaire study among 343 members of 41 work teams in a financial set-vices organization examined the effects of individual team members' perceived task interdependence and perceived goal interdependence on innovative behavior in teams characterized by different levels of group diversity. Multilevel analyses revealed that individual's perceived task and goal interdependence were not related to innovative behavior in homogeneous teams. In heterogeneous teams, however, task interdependence was strongly and positively related to innovative behavior for individuals who perceived high levels of goal interdependence, and unrelated to innovative behavior for those who perceived low levels of goal interdependence. (C) 2003 Elsevier Inc. All rights reserved.</t>
  </si>
  <si>
    <t>Univ Groningen, Dept Social &amp; Org Psychol, NL-9712 TS Groningen, Netherlands</t>
  </si>
  <si>
    <t>Van der Vegt, GS (corresponding author), Univ Groningen, Dept Social &amp; Org Psychol, Grote Kruisstr 2-1, NL-9712 TS Groningen, Netherlands.</t>
  </si>
  <si>
    <t>G.van.der.vegt@ppsw.rug.nl</t>
  </si>
  <si>
    <t>van der Vegt, Geert/0000-0002-1108-9309</t>
  </si>
  <si>
    <t>SAGE PUBLICATIONS INC</t>
  </si>
  <si>
    <t>THOUSAND OAKS</t>
  </si>
  <si>
    <t>2455 TELLER RD, THOUSAND OAKS, CA 91320 USA</t>
  </si>
  <si>
    <t>0149-2063</t>
  </si>
  <si>
    <t>1557-1211</t>
  </si>
  <si>
    <t>J MANAGE</t>
  </si>
  <si>
    <t>J. Manag.</t>
  </si>
  <si>
    <t>10.1016/S0149-2063(03)00033-3</t>
  </si>
  <si>
    <t>720KK</t>
  </si>
  <si>
    <t>WOS:000185259800006</t>
  </si>
  <si>
    <t>STEENKAMP, JBEM; BAUMGARTNER, H</t>
  </si>
  <si>
    <t>THE ROLE OF OPTIMUM STIMULATION LEVEL IN EXPLORATORY CONSUMER-BEHAVIOR</t>
  </si>
  <si>
    <t>JOURNAL OF CONSUMER RESEARCH</t>
  </si>
  <si>
    <t>This study examines the role of optimum stimulation level (OSL) in exploratory consumer behavior. The concept of OSL and its measurement are discussed, and the literature on exploratory consumer tendencies and their relationship with OSL is reviewed. Hypotheses are developed concerning the relationship between OSL and cognitive responses to ads, ad repetition, information search. variety seeking, decision making under risk, gambling, and innovative behavior, and these hypotheses are investigated in a series of experiments. Four well-known instruments are used to measure people's characteristic preference for stimulation, and OSL is operationalized as a weighted composite of a person's score on these scales. The results of the study indicate that consumers' OSL is systematically related to curiosity-motivated consumer behaviors, variety seeking, and risk taking.</t>
  </si>
  <si>
    <t>CATHOLIC UNIV LEUVEN, B-3000 LOUVAIN, BELGIUM; PENN STATE UNIV, MARY JEAN &amp; FRANK P SMEAL COLL BUSINESS ADM, University Pk, PA 16802 USA</t>
  </si>
  <si>
    <t>KU Leuven; Pennsylvania Commonwealth System of Higher Education (PCSHE); Pennsylvania State University; Pennsylvania State University - University Park</t>
  </si>
  <si>
    <t>STEENKAMP, JBEM (corresponding author), WAGENINGEN UNIV, HOLLANDSEWEG 1, 6706 KN WAGENINGEN, NETHERLANDS.</t>
  </si>
  <si>
    <t>Baumgartner, Hans/A-4198-2008</t>
  </si>
  <si>
    <t>OXFORD UNIV PRESS INC</t>
  </si>
  <si>
    <t>CARY</t>
  </si>
  <si>
    <t>JOURNALS DEPT, 2001 EVANS RD, CARY, NC 27513 USA</t>
  </si>
  <si>
    <t>0093-5301</t>
  </si>
  <si>
    <t>1537-5277</t>
  </si>
  <si>
    <t>J CONSUM RES</t>
  </si>
  <si>
    <t>J. Consum. Res.</t>
  </si>
  <si>
    <t>DEC</t>
  </si>
  <si>
    <t>10.1086/209313</t>
  </si>
  <si>
    <t>KC518</t>
  </si>
  <si>
    <t>Green Accepted</t>
  </si>
  <si>
    <t>WOS:A1992KC51800010</t>
  </si>
  <si>
    <t>Hogan, SJ; Coote, LV</t>
  </si>
  <si>
    <t>Hogan, Suellen J.; Coote, Leonard V.</t>
  </si>
  <si>
    <t>Organizational culture, innovation, and performance: A test of Schein's model</t>
  </si>
  <si>
    <t>Organizational culture; Innovation; Professional service firms; Survey research; Structural equations modeling</t>
  </si>
  <si>
    <t>MARKET ORIENTATION; CUSTOMER SATISFACTION; CREATIVITY; SERVICE; WORK; KNOWLEDGE; BEHAVIOR; VALUES; DETERMINANTS; INTEGRATION</t>
  </si>
  <si>
    <t>Innovation is the key to organizational survival and therefore the study of processes that support innovation should be of interest to researchers and practitioners alike. Schein's multi-layered model of organizational culture offers a useful framework for thinking about processes that foster innovation. A defining characteristic of the model is the subtle but important distinctions between the varied layers of organizational culture (i.e., values and norms, artifacts and behaviors). The basic assumption of this study is that Schein's model offers a tractable explanation of cultural processes that support organizational innovation, especially in service firms. Despite the intuitive appeal and practical value of Schein's conceptual framework, empirical research in relation to the model is limited. This paper develops a rationale for an empirical model based on Schein's conceptual model; the study reports a test of an empirical model. Data collected from approximately 100 principals of law firms provides a suitable empirical context for a test of the model. The findings generally support the hypothesized relationships. A key result is how layers of organizational culture, particularly norms, artifacts, and innovative behaviors, partially mediate the effects of values that support innovation on measures of firm performance. The findings have implications for theory and practice, especially in relation to building an organizational culture within professional service firms that fosters innovative behavior. (C) 2013 Elsevier Inc. All rights reserved.</t>
  </si>
  <si>
    <t>[Hogan, Suellen J.; Coote, Leonard V.] Univ Queensland, Brisbane, Qld 4072, Australia</t>
  </si>
  <si>
    <t>University of Queensland</t>
  </si>
  <si>
    <t>Hogan, SJ (corresponding author), Univ Queensland, UQ Business Sch, Brisbane, Qld 4072, Australia.</t>
  </si>
  <si>
    <t>s.hogan@business.uq.edu.au; l.coote@business.uq.edu.au</t>
  </si>
  <si>
    <t>Hogan, Suellen J/J-8962-2016</t>
  </si>
  <si>
    <t>Hogan, Suellen J/0000-0001-8481-5458</t>
  </si>
  <si>
    <t>AUG</t>
  </si>
  <si>
    <t>10.1016/j.jbusres.2013.09.007</t>
  </si>
  <si>
    <t>AJ7DC</t>
  </si>
  <si>
    <t>WOS:000337856400006</t>
  </si>
  <si>
    <t>Chen, ZX; Aryee, S</t>
  </si>
  <si>
    <t>Chen, Zhen Xiong; Aryee, Samuel</t>
  </si>
  <si>
    <t>Delegation and employee work outcomes: An examination of the cultural context of mediating processes in China</t>
  </si>
  <si>
    <t>PERCEIVED ORGANIZATIONAL SUPPORT; LEADER-MEMBER EXCHANGE; SELF-ESTEEM; PERFORMANCE; COMMITMENT; BEHAVIOR; VALUES; MODEL; CONSEQUENCES; DETERMINANTS</t>
  </si>
  <si>
    <t>We used cultural self-representation theory to develop a model of the processes linking delegation to work outcomes. We tested this model with data from a sample of 171 subordinate-supervisor dyads from the People's Republic of China. Regression results revealed that organization-based self-esteem and perceived insider status fully mediated the influence of delegation on affective organizational commitment, task performance, and innovative behavior and partially mediated delegation's influence on job satisfaction. Furthermore, traditionality moderated the relationships between delegation and the mediators in such a way that the relationships were stronger for individuals lower rather than higher in traditionality.</t>
  </si>
  <si>
    <t>Australian Natl Univ, Sch Management Mkt &amp; Int Business, Canberra, ACT, Australia; Aston Univ, Aston Business Sch, Birmingham B4 7ET, W Midlands, England</t>
  </si>
  <si>
    <t>Australian National University; Aston University</t>
  </si>
  <si>
    <t>Chen, ZX (corresponding author), Australian Natl Univ, Sch Management Mkt &amp; Int Business, Canberra, ACT, Australia.</t>
  </si>
  <si>
    <t>george.chen@anu.edu.nu</t>
  </si>
  <si>
    <t>FEB</t>
  </si>
  <si>
    <t>10.2307/20159849</t>
  </si>
  <si>
    <t>147AX</t>
  </si>
  <si>
    <t>hybrid</t>
  </si>
  <si>
    <t>WOS:000244976900014</t>
  </si>
  <si>
    <t>Janssen, O</t>
  </si>
  <si>
    <t>How fairness perceptions make innovative behavior more or less stressful</t>
  </si>
  <si>
    <t>OUTCOME FAVORABILITY; PSYCHOLOGICAL CONTRACT; ORGANIZATIONAL JUSTICE; CITIZENSHIP BEHAVIOR; PROCEDURAL FAIRNESS; SOCIAL-EXCHANGE; JOB DEMANDS; WORK; WORKPLACE; MODEL</t>
  </si>
  <si>
    <t>The purpose of this study was to examine how perceptions of distributive and procedural fairness moderate the relationship between innovative behavior and stress. The results of a survey carried out among 118 first-line managers from six organizations in the public health domain demonstrated that innovative behavior was positively related to the stress reactions of job-related anxiety and burnout only when levels of both distributive fairness and procedural fairness were low. Copyright (C) 2004 John Wiley Sons, Ltd.</t>
  </si>
  <si>
    <t>Janssen, O (corresponding author), Univ Groningen, Dept Social &amp; Org Psychol, Kruisstr 2-1, NL-9712 TS Groningen, Netherlands.</t>
  </si>
  <si>
    <t>JOHN WILEY &amp; SONS LTD</t>
  </si>
  <si>
    <t>CHICHESTER</t>
  </si>
  <si>
    <t>THE ATRIUM, SOUTHERN GATE, CHICHESTER PO19 8SQ, W SUSSEX, ENGLAND</t>
  </si>
  <si>
    <t>10.1002/job.238</t>
  </si>
  <si>
    <t>775TN</t>
  </si>
  <si>
    <t>WOS:000189076900004</t>
  </si>
  <si>
    <t>Sundbo, J; Orfila-Sintes, F; Sorensen, F</t>
  </si>
  <si>
    <t>Sundbo, Jon; Orfila-Sintes, Francina; Sorensen, Flemming</t>
  </si>
  <si>
    <t>The innovative behaviour of tourism firms- Comparative studies of Denmark and Spain</t>
  </si>
  <si>
    <t>RESEARCH POLICY</t>
  </si>
  <si>
    <t>innovation; network; innovation system; tourism</t>
  </si>
  <si>
    <t>SERVICES; ORGANIZATION; MANAGEMENT; SYSTEMS</t>
  </si>
  <si>
    <t>Tourism firms operate in a competitive sector where innovating is often a condition for survival. This article presents a theoretical framework for understanding tourist firms' innovative behaviour and innovation systems in tourism. The innovativeness of tourism firms and its determinants are investigated by analysing quantitative as well as qualitative data comparing Spain and Denmark. A taxonomy of tourism firms is suggested and the firms' characteristics which influence their innovativeness are presented. Additionally, the role of innovation networks is discussed, as is the role of innovation systems. The article suggests that large size, professionalism, but also entrepreneurship among small tourism firms are important determinants of innovation. Varied innovation networks are another determinant as are supportive innovation systems. These determinants favour Spanish firms, which are more innovative than Danish ones. In the final section, policy recommendations are presented. (c) 2006 Elsevier B.V. All rights reserved.</t>
  </si>
  <si>
    <t>Roskilde Univ, Dept Social Sci, Roskilde, Denmark; Cerus Sch Business, Nykobing F, Denmark</t>
  </si>
  <si>
    <t>Roskilde University</t>
  </si>
  <si>
    <t>Sundbo, J (corresponding author), Roskilde Univ, Dept Social Sci, Roskilde, Denmark.</t>
  </si>
  <si>
    <t>sundbo@ruc.dk</t>
  </si>
  <si>
    <t>DEL RÍO, MIGUEL ÁNGEL MONTAÑÉS/F-2359-2013; Orfila-Sintes, Francina/F-5083-2016</t>
  </si>
  <si>
    <t>Orfila-Sintes, Francina/0000-0003-3721-7097; Sorensen, Flemming/0000-0001-5972-2188</t>
  </si>
  <si>
    <t>ELSEVIER</t>
  </si>
  <si>
    <t>AMSTERDAM</t>
  </si>
  <si>
    <t>RADARWEG 29, 1043 NX AMSTERDAM, NETHERLANDS</t>
  </si>
  <si>
    <t>0048-7333</t>
  </si>
  <si>
    <t>1873-7625</t>
  </si>
  <si>
    <t>RES POLICY</t>
  </si>
  <si>
    <t>Res. Policy</t>
  </si>
  <si>
    <t>10.1016/j.respol.2006.08.004</t>
  </si>
  <si>
    <t>Management</t>
  </si>
  <si>
    <t>140HJ</t>
  </si>
  <si>
    <t>WOS:000244495100006</t>
  </si>
  <si>
    <t>Basu, R; Green, SG</t>
  </si>
  <si>
    <t>Leader-member exchange and transformational leadership: An empirical examination of innovative behaviors in leader-member dyads</t>
  </si>
  <si>
    <t>JOURNAL OF APPLIED SOCIAL PSYCHOLOGY</t>
  </si>
  <si>
    <t>LINKAGE; ORGANIZATIONS; CONSEQUENCES; PERFORMANCE; MANAGEMENT; MODEL</t>
  </si>
  <si>
    <t>This paper evoked leader-member exchange (LMX) and transformational leadership theories to explain innovative behavior in leader-member dyads. Data from 225 leader-member dyads in a Fortune 500 manufacturing plant found exchange quality to be positively related to follower autonomy, leader support of followers, and follower commitment to the organization. Further, followers who were supported by their leaders and who were committed to the organization were more likely to be innovative, Also, exchange quality was directly related to innovative behaviors. Contrary to expectations, transformational leadership was negatively related to innovative behaviors of followers.</t>
  </si>
  <si>
    <t>PURDUE UNIV, KRANNERT GRAD SCH MANAGEMENT, W LAFAYETTE, IN 47907 USA</t>
  </si>
  <si>
    <t>Purdue University System; Purdue University; Purdue University West Lafayette Campus</t>
  </si>
  <si>
    <t>Basu, R (corresponding author), OKLAHOMA STATE UNIV, COLL BUSINESS ADM, 201 BUSINESS, STILLWATER, OK 74078 USA.</t>
  </si>
  <si>
    <t>0021-9029</t>
  </si>
  <si>
    <t>1559-1816</t>
  </si>
  <si>
    <t>J APPL SOC PSYCHOL</t>
  </si>
  <si>
    <t>J. Appl. Soc. Psychol.</t>
  </si>
  <si>
    <t>MAR 16</t>
  </si>
  <si>
    <t>10.1111/j.1559-1816.1997.tb00643.x</t>
  </si>
  <si>
    <t>Psychology, Social</t>
  </si>
  <si>
    <t>Psychology</t>
  </si>
  <si>
    <t>WW066</t>
  </si>
  <si>
    <t>WOS:A1997WW06600002</t>
  </si>
  <si>
    <t>Carmeli, A; Spreitzer, GM</t>
  </si>
  <si>
    <t>Carmeli, Abraham; Spreitzer, Gretchen M.</t>
  </si>
  <si>
    <t>Trust, Connectivity, and Thriving: Implications For Innovative Behaviors at Work</t>
  </si>
  <si>
    <t>JOURNAL OF CREATIVE BEHAVIOR</t>
  </si>
  <si>
    <t>Thriving; Innovative Behaviors; Connectivity; Trust</t>
  </si>
  <si>
    <t>PSYCHOLOGICAL CONDITIONS; EMPLOYEE CREATIVITY; POSITIVE PSYCHOLOGY; PERFORMANCE; TEAMS; MODEL; ENGAGEMENT; WORKPLACE; ORGANIZATIONS; ANTECEDENTS</t>
  </si>
  <si>
    <t>This study examines how trust, connectivity and thriving drive employees' innovative behaviors in the workplace. Using a sample of one hundred and seventy two employees across a variety of jobs and industries, we investigated the relationship between trust, connectivity (both measured at Time 1), thriving and innovative work behaviors (both measured at Time 2). Trust and connectivity were hypothesized to create a nurturing environment that enables people to thrive and be innovative in their work. The results of structural equation modeling (SEM) indicate a sequential mediation model in which connectivity mediates the relationship between trust and thriving, and thriving mediates the relationship between connectivity and innovative behaviors. The theoretical and practical implications for employee thriving and innovative behaviors at work are discussed.</t>
  </si>
  <si>
    <t>[Carmeli, Abraham] Bar Ilan Univ, Grad Sch Business Adm, IL-52900 Ramat Gan, Israel; [Spreitzer, Gretchen M.] Univ Michigan, Stephen M Ross Sch Business, Ann Arbor, MI 48109 USA</t>
  </si>
  <si>
    <t>Bar Ilan University; University of Michigan System; University of Michigan</t>
  </si>
  <si>
    <t>Carmeli, A (corresponding author), Bar Ilan Univ, Grad Sch Business Adm, IL-52900 Ramat Gan, Israel.</t>
  </si>
  <si>
    <t>carmelia@mail.biu.ac.il; spreitze@umich.edu</t>
  </si>
  <si>
    <t>Carmeli, Abraham/H-5586-2011; Carmeli, Abraham/B-5351-2013</t>
  </si>
  <si>
    <t xml:space="preserve">Carmeli, Abraham/0000-0002-1968-8998; </t>
  </si>
  <si>
    <t>0022-0175</t>
  </si>
  <si>
    <t>2162-6057</t>
  </si>
  <si>
    <t>J CREATIVE BEHAV</t>
  </si>
  <si>
    <t>J. Creat. Behav.</t>
  </si>
  <si>
    <t>10.1002/j.2162-6057.2009.tb01313.x</t>
  </si>
  <si>
    <t>Psychology, Educational</t>
  </si>
  <si>
    <t>600XZ</t>
  </si>
  <si>
    <t>WOS:000278023500002</t>
  </si>
  <si>
    <t>Innovative behaviour and job involvement at the price of conflict and less satisfactory relations with co-workers</t>
  </si>
  <si>
    <t>JOURNAL OF OCCUPATIONAL AND ORGANIZATIONAL PSYCHOLOGY</t>
  </si>
  <si>
    <t>STRATEGIC DECISION-MAKING; MANAGEMENT TEAMS; IDENTITY THEORY; WORK; STRESS; COMMUNICATION; DETERMINANTS; CREATIVITY; DIVERSITY; DEMANDS</t>
  </si>
  <si>
    <t>Although innovative behaviour is widely claimed to contribute to long term organizational effectiveness, the price that an individual worker may have to pay for taking an innovative approach has generally not been examined. The present study hypothesizes that a worker's innovative behaviour interacts with his or her job involvement in producing conflict and less satisfactory relations with resisting co-workers who want to prevent innovative change. Moreover, conflict with co-workers is hypothesized to mediate the interactive effect of innovative behaviour and job involvement on satisfaction with co-worker relations. These hypotheses were supported in a survey study among 76 secondary school teachers based on supervisor ratings of the teachers' innovative behaviour and teachers' self-report data of job involvement, conflict with co-workers and satisfaction with co-worker relations.</t>
  </si>
  <si>
    <t>Univ Groningen, Dept Social &amp; Orgn Psychol, NL-9712 TS Groningen, Netherlands</t>
  </si>
  <si>
    <t>Janssen, O (corresponding author), Univ Groningen, Dept Social &amp; Orgn Psychol, Grote Kruisstr 211, NL-9712 TS Groningen, Netherlands.</t>
  </si>
  <si>
    <t>BRITISH PSYCHOLOGICAL SOC</t>
  </si>
  <si>
    <t>LEICESTER</t>
  </si>
  <si>
    <t>ST ANDREWS HOUSE, 48 PRINCESS RD EAST, LEICESTER LE1 7DR, LEICS, ENGLAND</t>
  </si>
  <si>
    <t>0963-1798</t>
  </si>
  <si>
    <t>J OCCUP ORGAN PSYCH</t>
  </si>
  <si>
    <t>J. Occup. Organ. Psychol.</t>
  </si>
  <si>
    <t>SEP</t>
  </si>
  <si>
    <t>10.1348/096317903769647210</t>
  </si>
  <si>
    <t>727ZV</t>
  </si>
  <si>
    <t>WOS:000185691500004</t>
  </si>
  <si>
    <t>Galende, J; de la Fuente, JM</t>
  </si>
  <si>
    <t>Internal factors determining a firm's innovative behaviour</t>
  </si>
  <si>
    <t>innovation; research and development; innovative process; resources and capabilities; evolutionary theory</t>
  </si>
  <si>
    <t>RESEARCH-AND-DEVELOPMENT; LARGE MULTIPRODUCT FIRMS; DIVERSIFICATION STRATEGY; MARKET-STRUCTURE; COMPETITIVE ADVANTAGE; DEVELOPMENT INTENSITY; MANUFACTURING FIRMS; EMPIRICAL-ANALYSIS; SIZE; APPROPRIABILITY</t>
  </si>
  <si>
    <t>The present paper investigates the determinant factors in the organisation of a firm's innovative activities. Set within a theoretical framework combining evolutionary theory and the resource-based view of the firm, the study includes an original proposal to characterise the innovative process and determines the extent to which a firm's internal resources and factors explain the innovative process. By applying the econometric analyses techniques to a sample of 152 Spanish innovative companies, empirical findings confirm the existence of interesting relations between internal factors and the innovative process. (C) 2002 Elsevier Science B.V. All rights reserved.</t>
  </si>
  <si>
    <t>Univ Salamanca, Fac Econ &amp; Empresa, Dept Adm &amp; Econ Empresa, E-37007 Salamanca, Spain; Univ Salamanca, E-37007 Salamanca, Spain; Univ Burgos, Burgos, Spain</t>
  </si>
  <si>
    <t>University of Salamanca; University of Salamanca; Universidad de Burgos</t>
  </si>
  <si>
    <t>Galende, J (corresponding author), Univ Salamanca, Fac Econ &amp; Empresa, Dept Adm &amp; Econ Empresa, E-37007 Salamanca, Spain.</t>
  </si>
  <si>
    <t>jgalende@usal.es</t>
  </si>
  <si>
    <t>Galende, Jesús/F-3200-2016</t>
  </si>
  <si>
    <t>Galende, Jesús/0000-0003-0550-2555</t>
  </si>
  <si>
    <t>ELSEVIER SCIENCE BV</t>
  </si>
  <si>
    <t>PO BOX 211, 1000 AE AMSTERDAM, NETHERLANDS</t>
  </si>
  <si>
    <t>PII S0048-7333(02)00082-3</t>
  </si>
  <si>
    <t>10.1016/S0048-7333(02)00082-3</t>
  </si>
  <si>
    <t>673BH</t>
  </si>
  <si>
    <t>WOS:000182558800002</t>
  </si>
  <si>
    <t>Tan, HH; Tan, CSF</t>
  </si>
  <si>
    <t>Toward the differentiation of trust in supervisor and trust in organization</t>
  </si>
  <si>
    <t>GENETIC SOCIAL AND GENERAL PSYCHOLOGY MONOGRAPHS</t>
  </si>
  <si>
    <t>LEADER-MEMBER EXCHANGE; CITIZENSHIP BEHAVIOR; PSYCHOLOGICAL CLIMATE; DISTRIBUTIVE JUSTICE; INTERPERSONAL-TRUST; JOB-SATISFACTION; SOCIAL-EXCHANGE; DYADIC TRUST; COMMITMENT; INNOVATION</t>
  </si>
  <si>
    <t>Trust in supervisor and trust in organization are argued to be distinct but related constructs, each with its own set of antecedents and outcomes. Empirical field results supported the proposition. Although trust in supervisor and trust in organization were positively and significantly correlated, trust in supervisor was more strongly associated with proximal variables (ability, benevolence, and integrity of supervisor), whereas trust in organization was more strongly correlated with global variables (perceived organizational support and justice). This conclusion held despite the inclusion of proximal variables in the regression on trust in organization and the inclusion of global variables in the regression on trust in supervisor. In addition to the differential antecedents of trust in supervisor and trust in organization, the outcomes for both variables were different. Trust in supervisor was related to increased innovative behavior and satisfaction with supervisor, and trust in organization was related to higher organizational commitment and lower intention to leave. Therefore, the authors provide clear preliminary data on the distinctiveness of trust in supervisor and trust in organization, One implication of this set of results is that organizations should adopt a more holistic approach in building trust, which can be achieved by focusing on the various constituents of the organization and the various levels (e.g., the supervisor level and the organizational level).</t>
  </si>
  <si>
    <t>Natl Univ Singapore, Fac Business Adm, Dept Org Behav, Singapore 119260, Singapore</t>
  </si>
  <si>
    <t>National University of Singapore</t>
  </si>
  <si>
    <t>Tan, HH (corresponding author), Natl Univ Singapore, Fac Business Adm, Dept Org Behav, 10 Kent Ridge Crescent, Singapore 119260, Singapore.</t>
  </si>
  <si>
    <t>fbatanhh@nus.edu.sg</t>
  </si>
  <si>
    <t>Tan, Chuen Seng/K-1078-2013; TAN, Hwee Hoon/E-8854-2013</t>
  </si>
  <si>
    <t xml:space="preserve">Tan, Chuen Seng/0000-0002-6513-2309; </t>
  </si>
  <si>
    <t>HELDREF PUBLICATIONS</t>
  </si>
  <si>
    <t>1319 EIGHTEENTH ST NW, WASHINGTON, DC 20036-1802 USA</t>
  </si>
  <si>
    <t>8756-7547</t>
  </si>
  <si>
    <t>GENET SOC GEN PSYCH</t>
  </si>
  <si>
    <t>Genet. Soc. Gen. Psychol. Monogr.</t>
  </si>
  <si>
    <t>Psychology, Developmental; Psychology, Social</t>
  </si>
  <si>
    <t>317WC</t>
  </si>
  <si>
    <t>WOS:000087249100002</t>
  </si>
  <si>
    <t>KUMMER, H; GOODALL, J</t>
  </si>
  <si>
    <t>CONDITIONS OF INNOVATIVE BEHAVIOR IN PRIMATES</t>
  </si>
  <si>
    <t>PHILOSOPHICAL TRANSACTIONS OF THE ROYAL SOCIETY OF LONDON SERIES B-BIOLOGICAL SCIENCES</t>
  </si>
  <si>
    <t>KUMMER, H (corresponding author), UNIV ZURICH IRCHEL 2,ETHOL &amp; WILDFORSCH,WINTERTHURERSTR 190,CH-8057 ZURICH,SWITZERLAND.</t>
  </si>
  <si>
    <t>ROYAL SOC LONDON</t>
  </si>
  <si>
    <t>LONDON</t>
  </si>
  <si>
    <t>6 CARLTON HOUSE TERRACE, LONDON, ENGLAND SW1Y 5AG</t>
  </si>
  <si>
    <t>0962-8436</t>
  </si>
  <si>
    <t>PHILOS T ROY SOC B</t>
  </si>
  <si>
    <t>Philos. Trans. R. Soc. Lond. Ser. B-Biol. Sci.</t>
  </si>
  <si>
    <t>10.1098/rstb.1985.0020</t>
  </si>
  <si>
    <t>Biology</t>
  </si>
  <si>
    <t>Life Sciences &amp; Biomedicine - Other Topics</t>
  </si>
  <si>
    <t>ACG37</t>
  </si>
  <si>
    <t>WOS:A1985ACG3700015</t>
  </si>
  <si>
    <t>The joint impact of perceived influence and supervisor supportiveness on employee innovative behaviour</t>
  </si>
  <si>
    <t>CREATIVITY; ORGANIZATION; VALIDATION</t>
  </si>
  <si>
    <t>A questionnaire survey among 170 employees of a Dutch company showed that supervisor supportiveness moderated the relationship between employees' perceived influence in the workplace and their levels of innovative behaviour. As hypothesized, the results suggest that when supervisors are perceived as being supportive of employee innovation, employees feel encouraged to use their influence to carry out innovative activities at work, whereas supervisors perceived as not being supportive inhibit them from doing so.</t>
  </si>
  <si>
    <t>Univ Groningen, Fac Management &amp; Org, NL-9747 AD Groningen, Netherlands</t>
  </si>
  <si>
    <t>Janssen, O (corresponding author), Univ Groningen, Fac Management &amp; Org, Landleven 5, NL-9747 AD Groningen, Netherlands.</t>
  </si>
  <si>
    <t>o.janssen@rug.nl</t>
  </si>
  <si>
    <t>2044-8325</t>
  </si>
  <si>
    <t>10.1348/096317905X25823</t>
  </si>
  <si>
    <t>992GK</t>
  </si>
  <si>
    <t>WOS:000233872200005</t>
  </si>
  <si>
    <t>Liu, D; Jiang, KF; Shalley, CE; Keem, S; Zhou, J</t>
  </si>
  <si>
    <t>Liu, Dong; Jiang, Kaifeng; Shalley, Christina E.; Keem, Sejin; Zhou, Jing</t>
  </si>
  <si>
    <t>Motivational mechanisms of employee creativity: A meta-analytic examination and theoretical extension of the creativity literature</t>
  </si>
  <si>
    <t>ORGANIZATIONAL BEHAVIOR AND HUMAN DECISION PROCESSES</t>
  </si>
  <si>
    <t>Creativity; Intrinsic motivation; Creative self-efficacy; Prosocial motivation</t>
  </si>
  <si>
    <t>SELF-DETERMINATION THEORY; SOCIAL COGNITIVE THEORY; INTRINSIC MOTIVATION; TRANSFORMATIONAL LEADERSHIP; JOB-PERFORMANCE; INDIVIDUAL CREATIVITY; ORGANIZATIONAL IDENTIFICATION; PSYCHOLOGICAL EMPOWERMENT; INFORMATION EXCHANGE; INNOVATIVE BEHAVIOR</t>
  </si>
  <si>
    <t>Drawing on the componential theory of creativity, social cognitive theory, and prosocial motivation theory, we examined intrinsic motivation, creative self-efficacy, and prosocial motivation as distinct motivational mechanisms underlying creativity. Results from a meta-analysis of 191 independent samples (N = 51,659) documented in the relevant literature revealed that intrinsic motivation, creative self efficacy, and prosocial motivation each had unique explanatory power in predicting creativity, and that the three motivational mechanisms functioned differently as mediators between contextual and personal factors and creativity. The relationships of intrinsic motivation and creative self-efficacy with creativity also were found to be contingent upon sample characteristics and methodological factors (i.e., national culture, creativity measure, intrinsic motivation and creative self-efficacy measures, and publication status). Our findings highlight the need to develop a more fine-grained theory of motivation and creativity. Implications for theoretical extensions and future research are discussed. (C) 2016 Elsevier Inc. All rights reserved.</t>
  </si>
  <si>
    <t>[Liu, Dong; Shalley, Christina E.; Keem, Sejin] Georgia Inst Technol, Ernest Scheller Jr Coll Business, 800 West Peachtree St,NW, Atlanta, GA 30308 USA; [Jiang, Kaifeng] Univ Notre Dame, Notre Dame, IN 46556 USA; [Zhou, Jing] Rice Univ, Houston, TX 77251 USA</t>
  </si>
  <si>
    <t>University System of Georgia; Georgia Institute of Technology; University of Notre Dame; Rice University</t>
  </si>
  <si>
    <t>Liu, D (corresponding author), Georgia Inst Technol, Ernest Scheller Jr Coll Business, 800 West Peachtree St,NW, Atlanta, GA 30308 USA.</t>
  </si>
  <si>
    <t>dong.liu@scheller.gatech.edu</t>
  </si>
  <si>
    <t>Liu, Dong/AAD-2298-2019; Liu, Dong/HNR-4277-2023; Jiang, Kaifeng/AAF-8195-2019</t>
  </si>
  <si>
    <t>Liu, Dong/0000-0001-9229-5421; Jiang, Kaifeng/0000-0001-8742-6132</t>
  </si>
  <si>
    <t>National Natural Science Foundation of China [71421061, 71121001, 71672156]</t>
  </si>
  <si>
    <t>National Natural Science Foundation of China(National Natural Science Foundation of China (NSFC))</t>
  </si>
  <si>
    <t>We thank action editor Steven Farmer and four anonymous reviewers for their valuable comments and suggestions throughout the review process. We are also grateful to Xinwen Bai, Amy Breidenthal, Melody Chao, Gilad Chen, Maria Luisa Sanz de Acedo Lizarraga, Larry Jiing-Lih Farh, Adam Grant, Chaoyun Liang, Jian Liang, Joseph Liu, Muhammad Abdur Rahman Malik, Jiwen Song, and Junfeng Wu for their help and support. This research is partially supported by grants from the National Natural Science Foundation of China (Project Numbers: 71421061, 71121001, and 71672156).</t>
  </si>
  <si>
    <t>ACADEMIC PRESS INC ELSEVIER SCIENCE</t>
  </si>
  <si>
    <t>SAN DIEGO</t>
  </si>
  <si>
    <t>525 B ST, STE 1900, SAN DIEGO, CA 92101-4495 USA</t>
  </si>
  <si>
    <t>0749-5978</t>
  </si>
  <si>
    <t>1095-9920</t>
  </si>
  <si>
    <t>ORGAN BEHAV HUM DEC</t>
  </si>
  <si>
    <t>Organ. Behav. Hum. Decis. Process.</t>
  </si>
  <si>
    <t>NOV</t>
  </si>
  <si>
    <t>10.1016/j.obhdp.2016.08.001</t>
  </si>
  <si>
    <t>Psychology, Applied; Management; Psychology, Social</t>
  </si>
  <si>
    <t>ED8EF</t>
  </si>
  <si>
    <t>WOS:000389104100017</t>
  </si>
  <si>
    <t>Camison, C; Monfort-Mir, VM</t>
  </si>
  <si>
    <t>Camison, Cesar; Monfort-Mir, Vicente M.</t>
  </si>
  <si>
    <t>Measuring innovation in tourism from the Schumpeterian and the dynamic-capabilities perspectives</t>
  </si>
  <si>
    <t>TOURISM MANAGEMENT</t>
  </si>
  <si>
    <t>Innovative capabilities; Innovativeness; Innovation performance; Tourism firms</t>
  </si>
  <si>
    <t>ABSORPTIVE-CAPACITY; ORGANIZATIONAL INNOVATION; SERVICE SECTOR; KNOWLEDGE; PATTERNS; DETERMINANTS; PERFORMANCE; DESTINATION; STRATEGIES; INDUSTRY</t>
  </si>
  <si>
    <t>This paper offers a diagnosis of the state of the issue regarding the measurement of innovation in the tourism industry at the company level, and some recommendations for overcoming identified problems. The study addresses two central issues: how existing secondary databases of innovative activity define the boundaries of the tourism industry, and the degree to which these databases reflect the particular characteristics of this economic activity. It is concluded that these analyses present serious biases and anomalies hindering the understanding of the situation at the micro level and complicating the issue of international comparability, and the analyses do not capture the internal heterogeneity of innovative behavior of tourism companies from specific, intra-sectoral activities. The problems concern inappropriate indicators and the need for survey methods to complement the development of innovation scoreboards in secondary sources. The study concludes by detailing a set of proposals that should be considered in the context of a scoreboard to provide a comprehensive view of a tourism firm's technological and organizational innovations, as well as its innovative capabilities, combining Schumpeterian theory and the dynamic-capabilities-based approach, and also making cross-national comparisons feasible. Published by Elsevier Ltd.</t>
  </si>
  <si>
    <t>[Camison, Cesar] Univ Valencia, Dept Business Management Juan Jose Renau Piqueras, Valencia 46022, Spain; [Monfort-Mir, Vicente M.] Secretary State Tourism, Inst Tourism Studies, Madrid 28036, Spain</t>
  </si>
  <si>
    <t>University of Valencia</t>
  </si>
  <si>
    <t>Camison, C (corresponding author), Univ Valencia, Dept Business Management Juan Jose Renau Piqueras, Av Tarongers S-N, Valencia 46022, Spain.</t>
  </si>
  <si>
    <t>camison@emp.uji.es; vicente.monfort@iet.tourspain.es</t>
  </si>
  <si>
    <t>DEL RÍO, MIGUEL ÁNGEL MONTAÑÉS/F-2359-2013; CAMISON, CESAR/F-4582-2016; peng, cong/G-6526-2015</t>
  </si>
  <si>
    <t xml:space="preserve">CAMISON, CESAR/0000-0001-8568-8825; </t>
  </si>
  <si>
    <t>ELSEVIER SCI LTD</t>
  </si>
  <si>
    <t>THE BOULEVARD, LANGFORD LANE, KIDLINGTON, OXFORD OX5 1GB, OXON, ENGLAND</t>
  </si>
  <si>
    <t>0261-5177</t>
  </si>
  <si>
    <t>1879-3193</t>
  </si>
  <si>
    <t>TOURISM MANAGE</t>
  </si>
  <si>
    <t>Tourism Manage.</t>
  </si>
  <si>
    <t>10.1016/j.tourman.2011.08.012</t>
  </si>
  <si>
    <t>Environmental Studies; Hospitality, Leisure, Sport &amp; Tourism; Management</t>
  </si>
  <si>
    <t>Environmental Sciences &amp; Ecology; Social Sciences - Other Topics; Business &amp; Economics</t>
  </si>
  <si>
    <t>905XM</t>
  </si>
  <si>
    <t>WOS:000301309500005</t>
  </si>
  <si>
    <t>Kim, TT; Lee, G</t>
  </si>
  <si>
    <t>Kim, Taegoo Terry; Lee, Gyehee</t>
  </si>
  <si>
    <t>Hospitality employee knowledge-sharing behaviors in the relationship between goal orientations and service innovative behavior</t>
  </si>
  <si>
    <t>INTERNATIONAL JOURNAL OF HOSPITALITY MANAGEMENT</t>
  </si>
  <si>
    <t>Goal orientations; Learning goal orientation; Performance goal orientation; Knowledge sharing; Knowledge collecting; Knowledge donating; Employee service innovative behavior</t>
  </si>
  <si>
    <t>WORK-FAMILY CONFLICT; ACHIEVEMENT GOALS; MOTIVATION; PERSONALITY; MODEL; MANAGEMENT; ATTRIBUTIONS; PERFORMANCE; CREATIVITY; CAPABILITY</t>
  </si>
  <si>
    <t>Goals are central to understanding motivated behavior, with each discipline emphasizing its consequences, levels, and types of goals. Because knowledge sharing is not mandatory in all organizations, individual personal motivation is critical for voluntary and active engagement in knowledge sharing. This study investigates the structural relationships among two distinctive forms of goal orientations as personal intrinsic motivators (learning goal orientation and performance goal orientation), two distinctive types of knowledge-sharing behaviors (knowledge collecting and knowledge donating), and employee service innovative behavior. The data were derived from 418 respondents working in five-star hotels in Busan, Korea. The positive relationship between learning goal orientation and knowledge collecting was stronger than that of the relationship between learning goal orientation and knowledge donating. The negative relationship between performance goal orientation and knowledge donating was stronger than the relationship between performance goal orientation and knowledge collecting. In addition, the positive relationship between knowledge collecting and employee service innovative behavior was stronger than the positive relationship between knowledge donating and employee service innovative behavior. The study concludes with discussions of the empirical findings, managerial implications, and strengths and limitations. Future research avenues are also offered. Crown Copyright (C) 2013 Published by Elsevier Ltd. All rights reserved.</t>
  </si>
  <si>
    <t>[Kim, Taegoo Terry; Lee, Gyehee] Kyung Hee Univ, Coll Hotel &amp; Tourism Management, Seoul 130701, South Korea</t>
  </si>
  <si>
    <t>Kyung Hee University</t>
  </si>
  <si>
    <t>Kim, TT (corresponding author), Kyung Hee Univ, Coll Hotel &amp; Tourism Management, 1 Hoegi Dong, Seoul 130701, South Korea.</t>
  </si>
  <si>
    <t>tgkim@khu.ac.kr; ghlee@khu.ac.kr</t>
  </si>
  <si>
    <t>Kim, Taegoo Terry/0000-0002-1610-1899</t>
  </si>
  <si>
    <t>0278-4319</t>
  </si>
  <si>
    <t>1873-4693</t>
  </si>
  <si>
    <t>INT J HOSP MANAG</t>
  </si>
  <si>
    <t>Int. J. Hosp. Manag.</t>
  </si>
  <si>
    <t>10.1016/j.ijhm.2013.04.009</t>
  </si>
  <si>
    <t>Hospitality, Leisure, Sport &amp; Tourism</t>
  </si>
  <si>
    <t>Social Sciences - Other Topics</t>
  </si>
  <si>
    <t>166PA</t>
  </si>
  <si>
    <t>WOS:000320568300036</t>
  </si>
  <si>
    <t>Capello, R</t>
  </si>
  <si>
    <t>The city network paradigm: Measuring urban network externalities</t>
  </si>
  <si>
    <t>URBAN STUDIES</t>
  </si>
  <si>
    <t>COMPATIBILITY; TECHNOLOGY; INNOVATION; DIFFUSION</t>
  </si>
  <si>
    <t>In recent years, network behaviour has been analysed extensively as the emerging model for economic growth. By network behaviour, a metaphor for co-operative behaviour among individuals, corporate or territorial partners is intended. This is increasingly becoming the reference paradigm in an era of continuing innovation and fast technological change, in the presence of 'market failure' where dynamic and innovative behaviours are concerned and of the high costs of a growth strategy based solely on internal know-how. The theory of the city network paradigm claims that, through participation in the network, cities exploit scale economies in complementary relationships and synergies in co-operative activities. In this sense, network advantage is a real club good, achieved only by those economic actors who are partners in the economic and spatial network, and is distributed among partners despite the private marginal costs each partner bears to participate in the network. In this sense, the private marginal costs of network participation differ from private marginal benefits, and network advantages turn out to be network externalities. The aim of the present paper is to measure the impacts that city network behaviour has on city performance-i.e. to provide a quantitative measurement of network externalities stemming from network behaviour in territorial systems.</t>
  </si>
  <si>
    <t>Univ Molise, Dipartimento Econ, I-20133 Milan, Italy; Politecn Milan, Dipartimento Econ &amp; Prod, I-20133 Milan, Italy</t>
  </si>
  <si>
    <t>University of Molise; Polytechnic University of Milan</t>
  </si>
  <si>
    <t>Capello, R (corresponding author), Univ Molise, Dipartimento Econ, Piazza Leonardo da Vinci 32, I-20133 Milan, Italy.</t>
  </si>
  <si>
    <t>Capello, Roberta/0000-0003-0438-6900</t>
  </si>
  <si>
    <t>CARFAX PUBLISHING</t>
  </si>
  <si>
    <t>BASINGSTOKE</t>
  </si>
  <si>
    <t>RANKINE RD, BASINGSTOKE RG24 8PR, HANTS, ENGLAND</t>
  </si>
  <si>
    <t>0042-0980</t>
  </si>
  <si>
    <t>URBAN STUD</t>
  </si>
  <si>
    <t>Urban Stud.</t>
  </si>
  <si>
    <t>10.1080/713707232</t>
  </si>
  <si>
    <t>Environmental Studies; Urban Studies</t>
  </si>
  <si>
    <t>Environmental Sciences &amp; Ecology; Urban Studies</t>
  </si>
  <si>
    <t>365HQ</t>
  </si>
  <si>
    <t>WOS:000089946200002</t>
  </si>
  <si>
    <t>Carmeli, A; Meitar, R; Weisberg, J</t>
  </si>
  <si>
    <t>Carmeli, Abraham; Meitar, Ravit; Weisberg, Jacob</t>
  </si>
  <si>
    <t>Self-leadership skills and innovative behavior at work</t>
  </si>
  <si>
    <t>INTERNATIONAL JOURNAL OF MANPOWER</t>
  </si>
  <si>
    <t>innovation; shared leadership; leadership; employee behaviour; Israel</t>
  </si>
  <si>
    <t>FAIRNESS PERCEPTIONS; CREATIVITY; PERFORMANCE; ORGANIZATIONS; ANTECEDENTS; MANAGEMENT; WORKPLACE; EFFICACY; OUTCOMES; MODEL</t>
  </si>
  <si>
    <t>Purpose-The purpose of this study is to examine the relationship between self-leadership skills and innovative behaviors at work. Design/methodology/approach-The study's participants were employees and their supervisors, working in six organizations in Israel. Data were collected through structured surveys administered to the employees and their supervisors. A total of 175 matched questionnaires were returned. Path analysis, using AMOS program, was conducted to assess the research model. Findings-The results indicate that the three-dimensional scale of self-leadership skills is positively associated with both self and supervisor ratings of innovative behaviors. The findings also show that income and job tenure are significantly related to innovative behaviors at work. Practical implications-Organizations that seek ways in which to foster innovative behaviors in their employees, need to recognize the importance of building up self-leaders who can successfully meet the required expectations and standards of innovative behavior. Originality/value-This research suggests ways for organizations to enhance their innovativeness through employees who possess high self-leadership skills and receive appropriate extrinsic rewards for their leadership skills and innovative behaviors.</t>
  </si>
  <si>
    <t>Bar Ilan Univ, Grad Sch Business Adm, Ramat Gan, Israel; Bar Ilan Univ, Dept Polit Sci, Ramat Gan, Israel</t>
  </si>
  <si>
    <t>Bar Ilan University; Bar Ilan University</t>
  </si>
  <si>
    <t>Carmeli, A (corresponding author), Bar Ilan Univ, Grad Sch Business Adm, Ramat Gan, Israel.</t>
  </si>
  <si>
    <t>cannelia@mail.biu.ac.il</t>
  </si>
  <si>
    <t>EMERALD GROUP PUBLISHING LTD</t>
  </si>
  <si>
    <t>BINGLEY</t>
  </si>
  <si>
    <t>HOWARD HOUSE, WAGON LANE, BINGLEY BD16 1WA, W YORKSHIRE, ENGLAND</t>
  </si>
  <si>
    <t>0143-7720</t>
  </si>
  <si>
    <t>1758-6577</t>
  </si>
  <si>
    <t>INT J MANPOWER</t>
  </si>
  <si>
    <t>Int. J. Manpow.</t>
  </si>
  <si>
    <t>10.1108/01437720610652853</t>
  </si>
  <si>
    <t>Industrial Relations &amp; Labor; Management</t>
  </si>
  <si>
    <t>062RW</t>
  </si>
  <si>
    <t>WOS:000238963200006</t>
  </si>
  <si>
    <t>Aryee, S; Walumbwa, FO; Zhou, Q; Hartnell, CA</t>
  </si>
  <si>
    <t>Aryee, Samuel; Walumbwa, Fred O.; Zhou, Qin; Hartnell, Chad A.</t>
  </si>
  <si>
    <t>Transformational Leadership, Innovative Behavior, and Task Performance: Test of Mediation and Moderation Processes</t>
  </si>
  <si>
    <t>HUMAN PERFORMANCE</t>
  </si>
  <si>
    <t>MEMBER EXCHANGE; TRANSACTIONAL LEADERSHIP; JOB-PERFORMANCE; ORGANIZATIONAL CITIZENSHIP; WORK ENGAGEMENT; PSYCHOLOGICAL CONDITIONS; EMPLOYEE PERFORMANCE; METAANALYTIC TEST; SOCIAL-EXCHANGE; SELF-EFFICACY</t>
  </si>
  <si>
    <t>We use the self-concept based theory of leadership and social exchange theory to hypothesize processes linking transformational leadership to follower performance outcomes. Specifically, we hypothesize that (a) transformational leadership relates to followers' work engagement both directly and indirectly through their psychological states, (b) work engagement relates to innovative behavior, (c) innovative behavior relates to task performance, and (d) the work engagement-innovative behavior relationship is moderated by leader-member exchange. Results from a test of these relationships in a sample of employees of a large telecommunication company in China largely support our hypothesized model.</t>
  </si>
  <si>
    <t>[Aryee, Samuel] Aston Univ, Aston Business Sch, Birmingham B4 7ET, W Midlands, England; [Walumbwa, Fred O.; Hartnell, Chad A.] Arizona State Univ, Tempe, AZ USA; [Zhou, Qin] ISCTE Inst Univ Lisboa, Lisbon, Portugal</t>
  </si>
  <si>
    <t>Aston University; Arizona State University; Arizona State University-Tempe; Instituto Universitario de Lisboa</t>
  </si>
  <si>
    <t>Aryee, S (corresponding author), Aston Univ, Aston Business Sch, Birmingham B4 7ET, W Midlands, England.</t>
  </si>
  <si>
    <t>s.aryee@aston.ac.uk</t>
  </si>
  <si>
    <t>LAWRENCE ERLBAUM ASSOC INC-TAYLOR &amp; FRANCIS</t>
  </si>
  <si>
    <t>325 CHESTNUT STREET, STE 800, PHILADELPHIA, PA 19106 USA</t>
  </si>
  <si>
    <t>0895-9285</t>
  </si>
  <si>
    <t>HUM PERFORM</t>
  </si>
  <si>
    <t>Hum. Perform.</t>
  </si>
  <si>
    <t>10.1080/08959285.2011.631648</t>
  </si>
  <si>
    <t>Psychology, Applied</t>
  </si>
  <si>
    <t>912MI</t>
  </si>
  <si>
    <t>WOS:000301801800001</t>
  </si>
  <si>
    <t>Sol, D; Lefebvre, L; Rodriguez-Teijeiro, JD</t>
  </si>
  <si>
    <t>Brain size, innovative propensity and migratory behaviour in temperate Palaearctic birds</t>
  </si>
  <si>
    <t>PROCEEDINGS OF THE ROYAL SOCIETY B-BIOLOGICAL SCIENCES</t>
  </si>
  <si>
    <t>seasonal environments; animal movement; phenotypic flexibility; foraging ecology; conservation</t>
  </si>
  <si>
    <t>LONG-DISTANCE MIGRATION; MOLECULAR PHYLOGENY; ESTABLISHMENT SUCCESS; POPULATION DECLINES; SONG REPERTOIRE; EVOLUTION; PATTERNS; WARBLERS; NUCLEAR; BIOGEOGRAPHY</t>
  </si>
  <si>
    <t>The evolution of migration in birds remains an outstanding, unresolved question in evolutionary ecology. A particularly intriguing question is why individuals in some species have been selected to migrate, whereas in other species they have been selected to be sedentary. In this paper, we suggest that this diverging selection might partially result from differences among species in the behavioural flexibility of their responses to seasonal changes in the environment. This hypothesis is supported in a comparative analysis of Palaearctic passerines. First, resident species tend to rely more on innovative feeding behaviours in winter, when food is harder to find, than in other seasons. Second, species with larger brains, relative to their body size, and a higher propensity for innovative behaviours tend to be resident, while less flexible species tend to be migratory. Residence also appears to be less likely in species that occur in more northerly regions, exploit temporally available food sources, inhabit non-buffered habitats and have smaller bodies. Yet, the role of behavioural flexibility as a response to seasonal environments is largely independent of these other factors. Therefore, species with greater foraging flexibility seem to be able to cope with seasonal environments better, while less flexible species are forced to become migratory.</t>
  </si>
  <si>
    <t>McGill Univ, Dept Biol, Montreal, PQ J3A 1B1, Canada; Univ Autonoma Barcelona, CREAF, E-08193 Barcelona, Spain; Fac Biol, Dept Biol Anim, Barcelona 08028, Catalonia, Spain</t>
  </si>
  <si>
    <t>McGill University; Autonomous University of Barcelona; Centro de Investigacion Ecologica y Aplicaciones Forestales (CREAF); University of Barcelona; University of Barcelona</t>
  </si>
  <si>
    <t>Sol, D (corresponding author), McGill Univ, Dept Biol, 1205 Ave Docteur Penfield, Montreal, PQ J3A 1B1, Canada.</t>
  </si>
  <si>
    <t>d.sol@creaf.uab.es</t>
  </si>
  <si>
    <t>Rodríguez-Teijeiro, José Domingo/AAV-7830-2021; Rodriguez-Teijeiro, Jose D/G-2768-2016; Sol, Daniel/A-5238-2008</t>
  </si>
  <si>
    <t>Rodríguez-Teijeiro, José Domingo/0000-0001-7787-9293; Rodriguez-Teijeiro, Jose D/0000-0001-7787-9293; Sol, Daniel/0000-0001-6346-6949</t>
  </si>
  <si>
    <t>ROYAL SOC</t>
  </si>
  <si>
    <t>6-9 CARLTON HOUSE TERRACE, LONDON SW1Y 5AG, ENGLAND</t>
  </si>
  <si>
    <t>0962-8452</t>
  </si>
  <si>
    <t>1471-2954</t>
  </si>
  <si>
    <t>P ROY SOC B-BIOL SCI</t>
  </si>
  <si>
    <t>Proc. R. Soc. B-Biol. Sci.</t>
  </si>
  <si>
    <t>JUL 22</t>
  </si>
  <si>
    <t>10.1098/rspb.2005.3099</t>
  </si>
  <si>
    <t>Biology; Ecology; Evolutionary Biology</t>
  </si>
  <si>
    <t>Life Sciences &amp; Biomedicine - Other Topics; Environmental Sciences &amp; Ecology; Evolutionary Biology</t>
  </si>
  <si>
    <t>955ZM</t>
  </si>
  <si>
    <t>Green Published</t>
  </si>
  <si>
    <t>WOS:000231268700003</t>
  </si>
  <si>
    <t>Krause, DE</t>
  </si>
  <si>
    <t>Influence-based leadership as a determinant of the inclination to innovate and of innovation-related behaviors - An empirical investigation</t>
  </si>
  <si>
    <t>LEADERSHIP QUARTERLY</t>
  </si>
  <si>
    <t>leadership; power; influence; innovation; freedom and autonomy; expert knowledge; idea generation; implementation</t>
  </si>
  <si>
    <t>INTERPERSONAL INFLUENCE; SOCIAL POWER; ORGANIZATIONAL INNOVATION; RAVEN BASES; FRENCH; PERFORMANCE; CREATIVITY; WORK; CRITIQUE; MODEL</t>
  </si>
  <si>
    <t>The Lazarus theory, which has been adapted to the context of innovation, is used as a basis for developing a model to explain how leadership affects cognitive processes of perceiving the work setting (need for and susceptibility to change), innovative behaviors (generation and testing of ideas, and implementation), and innovation-blocking behaviors (intrapsychic coping and flight). Leadership is described in terms of selected bases of influence (identification, expert knowledge/information, granting freedom and autonomy, support for innovation, and openness of the decision-making process). The model's explanatory power is tested on a sample of 399 middle managers from different German organizations of various sizes and sectors. Hierarchical regression analyses show that granting freedom and autonomy and using expert knowledge and information have the most positive effect on these cognitive processes and innovative behaviors, and the most negative effect on innovation-blocking behaviors. (C) 2004 Elsevier Inc. All rights reserved.</t>
  </si>
  <si>
    <t>Tech Univ Berlin, Fac Econ &amp; Management, Dept Human Resource Management &amp; Org Behav, D-10585 Berlin, Germany</t>
  </si>
  <si>
    <t>Technical University of Berlin</t>
  </si>
  <si>
    <t>Krause, DE (corresponding author), Tech Univ Berlin, Fac Econ &amp; Management, Dept Human Resource Management &amp; Org Behav, Wilmersdorfer Str 148, D-10585 Berlin, Germany.</t>
  </si>
  <si>
    <t>krause@perform.ww.tu-berlin.de</t>
  </si>
  <si>
    <t>360 PARK AVE SOUTH, NEW YORK, NY 10010-1710 USA</t>
  </si>
  <si>
    <t>1048-9843</t>
  </si>
  <si>
    <t>LEADERSHIP QUART</t>
  </si>
  <si>
    <t>Leadersh. Q.</t>
  </si>
  <si>
    <t>10.1016/j.leaqua.2003.12.006</t>
  </si>
  <si>
    <t>807MH</t>
  </si>
  <si>
    <t>WOS:000220505100005</t>
  </si>
  <si>
    <t>Slatten, T; Mehmetoglu, M</t>
  </si>
  <si>
    <t>Slatten, Terje; Mehmetoglu, Mehmet</t>
  </si>
  <si>
    <t>Antecedents and effects of engaged frontline employees A study from the hospitality industry</t>
  </si>
  <si>
    <t>MANAGING SERVICE QUALITY</t>
  </si>
  <si>
    <t>Innovation; Management strategy; Hospitality services; Employee involvement; Norway</t>
  </si>
  <si>
    <t>JOB DEMANDS; WORK ENGAGEMENT; SERVICE QUALITY; MANAGEMENT; INNOVATION; BURNOUT; PERSONALITY; RESOURCES</t>
  </si>
  <si>
    <t>Purpose - The aim of this study is to examine factors related to employee engagement in frontline jobs in service firms. Design/methodology/approach - A conceptual model was developed and tested on a survey in which 279 hospitality frontline employees participated. Findings - The findings show that employee engagement is closely linked to employees' innovative behaviour. Accordingly, the study clearly reveals the value of having an engaged frontline workforce. Moreover, the results show that perceptions of role benefit, job autonomy, and strategic attention were all significantly related to greater employee engagement. Research limitations/implications - This study limits its examination to the antecedents and effects of employee engagement for two types of service organizations. Practical implications The study has demonstrated the importance for managers of having an engaged workforce. In particular, it is important for managers to notice that engagement is a major driver to innovative behaviour. Consequently, one general and key practical implication from this study is the importance for mangers to measure regularly the engagement of their workforce. Originality/value - This paper enhances one's knowledge of factors linked to employee engagement.</t>
  </si>
  <si>
    <t>[Slatten, Terje; Mehmetoglu, Mehmet] Lillehammer Univ Coll, Lillehammer, Norway</t>
  </si>
  <si>
    <t>Inland Norway University of Applied Sciences</t>
  </si>
  <si>
    <t>Slatten, T (corresponding author), Lillehammer Univ Coll, Lillehammer, Norway.</t>
  </si>
  <si>
    <t>terje.slatten@hil.no</t>
  </si>
  <si>
    <t>0960-4529</t>
  </si>
  <si>
    <t>1758-8030</t>
  </si>
  <si>
    <t>MANAG SERV QUAL</t>
  </si>
  <si>
    <t>Manag. Serv. Qual.</t>
  </si>
  <si>
    <t>10.1108/09604521111100261</t>
  </si>
  <si>
    <t>739PC</t>
  </si>
  <si>
    <t>WOS:000288729100005</t>
  </si>
  <si>
    <t>Hoch, JE</t>
  </si>
  <si>
    <t>Hoch, Julia E.</t>
  </si>
  <si>
    <t>Shared Leadership and Innovation: The Role of Vertical Leadership and Employee Integrity</t>
  </si>
  <si>
    <t>JOURNAL OF BUSINESS AND PSYCHOLOGY</t>
  </si>
  <si>
    <t>Shared leadership; Innovative behavior; Team management; Leadership; Antecedents</t>
  </si>
  <si>
    <t>TRANSFORMATIONAL LEADERSHIP; ORGANIZATIONAL INNOVATION; DISTRIBUTED LEADERSHIP; TEAM PERFORMANCE; MANAGEMENT TEAMS; SELF-LEADERSHIP; MODERATING ROLE; MEDIATING ROLE; WORK; POWER</t>
  </si>
  <si>
    <t>The purpose of this study was to investigate the relationship between shared leadership, as a collective within-team leadership, and innovative behavior, as well as antecedents of shared leadership in terms of team composition and vertical transformational and empowering leadership. Data were obtained from a field sample of 43 work teams, comprising 184 team members and their team leaders from two different companies. Team leaders rated the teams' innovative behavior and their own leadership; team members provided information on their personality and their teams' shared leadership. Shared and vertical leadership, but not team composition, was positively associated with the teams' level of innovative behavior. Vertical transformational and empowering leadership and team composition in terms of integrity were positively related to shared leadership. Understanding how organizations can enhance their own innovation is crucial for the organizations' competitiveness and survival. Furthermore, the increasing prevalence of teams, as work arrangements in organizations, raises the question of how to successfully manage teams. This study suggests that organizations should facilitate shared leadership which has a positive association with innovation. This is one of the first studies to provide evidence of the relationship between shared leadership and innovative behavior, an important organizational outcome. In addition, the study explores two important predictors of shared leadership, transformational and empowering leadership, and the team composition in respect to integrity. While researchers and practitioners agree that shared leadership is important, knowledge on its antecedents is still in its infancy.</t>
  </si>
  <si>
    <t>Michigan State Univ, Sch Human Resources &amp; Labor Relat, E Lansing, MI 48824 USA</t>
  </si>
  <si>
    <t>Michigan State University</t>
  </si>
  <si>
    <t>Hoch, JE (corresponding author), Michigan State Univ, Sch Human Resources &amp; Labor Relat, 412 South Kedzie, E Lansing, MI 48824 USA.</t>
  </si>
  <si>
    <t>hochj@msu.edu</t>
  </si>
  <si>
    <t>SPRINGER</t>
  </si>
  <si>
    <t>233 SPRING ST, NEW YORK, NY 10013 USA</t>
  </si>
  <si>
    <t>0889-3268</t>
  </si>
  <si>
    <t>1573-353X</t>
  </si>
  <si>
    <t>J BUS PSYCHOL</t>
  </si>
  <si>
    <t>J. Bus. Psychol.</t>
  </si>
  <si>
    <t>10.1007/s10869-012-9273-6</t>
  </si>
  <si>
    <t>Business; Psychology, Applied</t>
  </si>
  <si>
    <t>145GF</t>
  </si>
  <si>
    <t>WOS:000319002500003</t>
  </si>
  <si>
    <t>Schreier, M; Prugl, R</t>
  </si>
  <si>
    <t>Schreier, Martin; Pruegl, Reinhard</t>
  </si>
  <si>
    <t>Extending lead-user theory: Antecedents and consequences of consumers' lead userness</t>
  </si>
  <si>
    <t>JOURNAL OF PRODUCT INNOVATION MANAGEMENT</t>
  </si>
  <si>
    <t>PRODUCT DEVELOPMENT; CREATIVITY; INNOVATIVENESS; CUSTOMER; LOCUS; INFORMATION; PERSONALITY; PERFORMANCE; EXPERIENCE; INNOVATORS</t>
  </si>
  <si>
    <t>Lead users are found to come up with commercially attractive user innovations and have been shown to be a highly promising source of innovation for new product development tasks. According to lead-user theory, these users are defined as being ahead of an important market trend and experiencing high benefits from innovating. The present article extends lead-user theory by exploring the antecedents and consequences of consumers' lead userness in the course of three studies on extreme sports communities. Regarding antecedents, it uncovers that field-related variables (consumer knowledge and use experience) as well as field-independent personality variables (locus of control and innovativeness) help explain an individual's lead userness. These variables might therefore be used as a proxy to identify the rare species of lead users. With regard to consequences, it uncovers that lead users demonstrate innovative behavior not only by creating new product ideas but also by adopting new commercial products more heavily and faster than ordinary users. This highlights the idea that lead users might not only be valuable to idea-generation processes for radically new concepts; instead, they might also be relevant to more general issues in the marketing of new products.</t>
  </si>
  <si>
    <t>[Schreier, Martin] Bocconi Univ, I-20136 Milan, Italy; [Pruegl, Reinhard] Univ Innsbruck, Sch Management, Inst Strateg Management Mkt &amp; Tourism, A-6020 Innsbruck, Austria</t>
  </si>
  <si>
    <t>Bocconi University; University of Innsbruck</t>
  </si>
  <si>
    <t>Schreier, M (corresponding author), Bocconi Univ, Via Sarfatti 25, I-20136 Milan, Italy.</t>
  </si>
  <si>
    <t>martin.schreier@unibocconi.it</t>
  </si>
  <si>
    <t>WILEY-BLACKWELL</t>
  </si>
  <si>
    <t>MALDEN</t>
  </si>
  <si>
    <t>COMMERCE PLACE, 350 MAIN ST, MALDEN 02148, MA USA</t>
  </si>
  <si>
    <t>0737-6782</t>
  </si>
  <si>
    <t>J PROD INNOVAT MANAG</t>
  </si>
  <si>
    <t>J. Prod. Innov. Manage.</t>
  </si>
  <si>
    <t>JUL</t>
  </si>
  <si>
    <t>10.1111/j.1540-5885.2008.00305.x</t>
  </si>
  <si>
    <t>Business; Engineering, Industrial; Management</t>
  </si>
  <si>
    <t>Business &amp; Economics; Engineering</t>
  </si>
  <si>
    <t>304HU</t>
  </si>
  <si>
    <t>WOS:000256101400002</t>
  </si>
  <si>
    <t>Thurlings, M; Evers, AT; Vermeulen, M</t>
  </si>
  <si>
    <t>Thurlings, Marieke; Evers, Arnoud T.; Vermeulen, Marjan</t>
  </si>
  <si>
    <t>Toward a Model of Explaining Teachers' Innovative Behavior: A Literature Review</t>
  </si>
  <si>
    <t>REVIEW OF EDUCATIONAL RESEARCH</t>
  </si>
  <si>
    <t>teachers; innovative behavior; education; systematic literature review</t>
  </si>
  <si>
    <t>FAIRNESS PERCEPTIONS; CREATIVITY; WORK; TECHNOLOGY; COMMUNITY; CLASSROOM; STRENGTH; AUTONOMY; FEEDBACK; VARIETY</t>
  </si>
  <si>
    <t>Innovative behavior can be described as a process in which new ideas are generated, created, developed, applied, promoted, realized, and modified by employees to benefit role performance. Various reasons, such as rapid technological and social changes in society, underline the necessity for innovative behavior of employees and certainly of teachers. However, little research has been conducted that explores teacher innovative behavior and which factors influence this behavior or what effects can be achieved through such behavior. In this systematic literature review, we develop a preliminary model of factors that enhance innovative behavior in educational organizations. Similar to findings of studies in other human behavior fields, self-efficacy plays an important role as well as a variety of individual and environmental factors. Based on this review, we urge for more systematic research on teacher innovative behavior to enhance the future quality of education.</t>
  </si>
  <si>
    <t>[Thurlings, Marieke] Eindhoven Univ Technol, Eindhoven Sch Educ, NL-5612 AZ Eindhoven, Netherlands; [Evers, Arnoud T.; Vermeulen, Marjan] Open Univ, Welten Inst, NL-6401 DL Heerlen, Netherlands</t>
  </si>
  <si>
    <t>Eindhoven University of Technology; Open University Netherlands</t>
  </si>
  <si>
    <t>Thurlings, M (corresponding author), Eindhoven Univ Technol, Eindhoven Sch Educ, Den Dolech 2, NL-5612 AZ Eindhoven, Netherlands.</t>
  </si>
  <si>
    <t>M.C.G.Thurlings@tue.nl; Arnoud.Evers@ou.nl; Marjan.Vermeulen@ou.nl</t>
  </si>
  <si>
    <t>Thurlings, Marieke/0000-0002-7447-9750; Vermeulen, Marjan/0000-0001-8084-7217</t>
  </si>
  <si>
    <t>0034-6543</t>
  </si>
  <si>
    <t>1935-1046</t>
  </si>
  <si>
    <t>REV EDUC RES</t>
  </si>
  <si>
    <t>Rev. Educ. Res.</t>
  </si>
  <si>
    <t>10.3102/0034654314557949</t>
  </si>
  <si>
    <t>Education &amp; Educational Research</t>
  </si>
  <si>
    <t>CO4RE</t>
  </si>
  <si>
    <t>WOS:000359147500004</t>
  </si>
  <si>
    <t>Newman, A; Tse, HHM; Schwarz, G; Nielsen, I</t>
  </si>
  <si>
    <t>Newman, Alexander; Tse, Herman H. M.; Schwarz, Gary; Nielsen, Ingrid</t>
  </si>
  <si>
    <t>The effects of employees' creative self-efficacy on innovative behavior: The role of entrepreneurial leadership</t>
  </si>
  <si>
    <t>Creative self-efficacy; Entrepreneurship; Leadership; Innovative behavior</t>
  </si>
  <si>
    <t>TRANSFORMATIONAL LEADERSHIP; ORGANIZATIONAL INNOVATION; MODERATING ROLE; MEDIATING ROLE; PERFORMANCE; WORK; PREDICTORS; OPTIMISM; CLIMATE; SCALE</t>
  </si>
  <si>
    <t>The present study explores the unique effect of entrepreneurial leadership on the relationship between employees' creative self-efficacy (CSE) and innovative behavior. Using multi-level data from multiple sources, namely, 66 middle-level managers and their 346 subordinates from a large Chinese multinational organization, the effect of CSE on innovative behavior was found to be more influential when employees work under a strong entrepreneurial leader in their team. We also found that entrepreneurial leadership exerts a stronger moderating effect on the CSE-innovative behavior link than transformational and participative leadership behaviors. Consistent with social cognitive theory, these results suggest that leaders who engage in the role modeling of entrepreneurial behaviors to employees and in directing employees toward identifying and exploiting entrepreneurial opportunities are more likely to foster innovative behavior among employees with higher levels of creative self-efficacy, than acting in a transformational manner or allowing employees to participate in decision making.</t>
  </si>
  <si>
    <t>[Newman, Alexander; Nielsen, Ingrid] Deakin Univ, Deakin Business Sch, Burwood, Australia; [Tse, Herman H. M.] Monash Univ, Monash Business Sch, Caulfield, Australia; [Schwarz, Gary] Univ London, SOAS, London, England</t>
  </si>
  <si>
    <t>Deakin University; Monash University; RLUK- Research Libraries UK; University of London; University of London School Oriental &amp; African Studies (SOAS)</t>
  </si>
  <si>
    <t>Newman, A (corresponding author), Deakin Univ, Deakin Business Sch, Burwood, Australia.</t>
  </si>
  <si>
    <t>a.newman@deakin.edu.au; herman.tse@monash.edu.au; gary.schwarz@soas.ac.uk; ingrid.nielsen@deakin.edu.au</t>
  </si>
  <si>
    <t>Schwarz, Gary/ABH-3814-2020; Newman, Alexander/AAH-7376-2020</t>
  </si>
  <si>
    <t>Newman, Alexander/0000-0003-1170-8947; Nielsen, Ingrid/0000-0002-9065-9778</t>
  </si>
  <si>
    <t>10.1016/j.jbusres.2018.04.001</t>
  </si>
  <si>
    <t>GM3JX</t>
  </si>
  <si>
    <t>WOS:000438002000001</t>
  </si>
  <si>
    <t>Guerzoni, M; Raiteri, E</t>
  </si>
  <si>
    <t>Guerzoni, Marco; Raiteri, Emilio</t>
  </si>
  <si>
    <t>Demand-side vs. supply-side technology policies: Hidden treatment and new empirical evidence on the policy mix</t>
  </si>
  <si>
    <t>R&amp;D subsidies; Public procurement; Crowding-out; Confounding effect; Hidden treatment; Propensity score matching</t>
  </si>
  <si>
    <t>RESEARCH-AND-DEVELOPMENT; PUBLIC PROCUREMENT; PROPENSITY SCORE; DEVELOPMENT SUBSIDIES; MARKET-STRUCTURE; TAX CREDIT; INNOVATION; IMPACT; ADDITIONALITY; INCENTIVES</t>
  </si>
  <si>
    <t>This paper provides new empirical evidence about the impact of various technological policies upon firms' innovative behaviour. We take into consideration the role of policies for innovative activities and we focus on their interaction. While supply-side policies such as R&amp;D subsidies and tax credits have been both extensively discussed in the literature and empirically investigated, the analysis of innovative public procurement is a growing trend in the literature, which still lacks robust empirical evidence. In this paper, we replicate the existing results on supply-side policies, surmise fresh empirical evidence on the outcome of innovative public procurement, and address the issue of possible interaction among the various tools. When controlling for the interaction with other policies, supply-side subsidies cease to be as effective as reported in previous studies and innovative public procurement seems to be more effective than other tools. The preliminary evidence suggests that technology policies exert the highest impact when different policies interact. (C) 2014 Elsevier B.V. All rights reserved.</t>
  </si>
  <si>
    <t>[Guerzoni, Marco; Raiteri, Emilio] Univ Turin, Dept Econ &amp; Stat Cognetti de Martiis, I-10124 Turin, Italy; [Guerzoni, Marco; Raiteri, Emilio] Coll Carlo Alberto, BRICK, Moncalieri, TO, Italy; [Guerzoni, Marco] Bocconi Univ, CRIOS, Milan, Italy</t>
  </si>
  <si>
    <t>University of Turin; Collegio Carlo Alberto; Bocconi University</t>
  </si>
  <si>
    <t>Guerzoni, M (corresponding author), Dept Econ &amp; Stat Cognetti de Martiis, Lungo Dora Siena 100A, I-10153 Turin, Italy.</t>
  </si>
  <si>
    <t>marco.guerzoni@unito.it</t>
  </si>
  <si>
    <t>guerzoni, marco/AAB-3416-2021</t>
  </si>
  <si>
    <t>guerzoni, marco/0000-0001-7415-0771; raiteri, emilio/0000-0002-2769-1660</t>
  </si>
  <si>
    <t>10.1016/j.respol.2014.10.009</t>
  </si>
  <si>
    <t>CD1MA</t>
  </si>
  <si>
    <t>WOS:000350837800013</t>
  </si>
  <si>
    <t>Bartels, J; Reinders, MJ</t>
  </si>
  <si>
    <t>Bartels, Jos; Reinders, Machiel J.</t>
  </si>
  <si>
    <t>Consumer innovativeness and its correlates: A propositional inventory for future research</t>
  </si>
  <si>
    <t>Consumer innovativeness; Propositional inventory; Systematic literature review; Innate innovativeness; Domain-specific innovativeness; Innovative behavior</t>
  </si>
  <si>
    <t>OPTIMUM STIMULATION LEVEL; MARKET ORIENTATION; WEBSITE LOYALTY; PERSONAL CHARACTERISTICS; STYLE/INVOLVEMENT MODEL; COMPANY IDENTIFICATION; OPINION LEADERSHIP; SYSTEMATIC REVIEWS; COGNITIVE STYLES; INTERNET USAGE</t>
  </si>
  <si>
    <t>This article summarizes the results of a systematic review of the literature on consumer innovativeness and its correlates and provides a propositional inventory for future research. The authors identified seventy-nine relevant empirical articles from international journals through a search of multiple databases using specific search terms, a manual search of marketing and consumer behavior journals and a cross-reference search. The results show that innovativeness consists of different levels of conceptualization and operational processes. Based on these different conceptualizations, the authors offer propositions for further empirical exploration on consumer innovativeness. (C) 2010 Elsevier Inc. All rights reserved.</t>
  </si>
  <si>
    <t>[Bartels, Jos; Reinders, Machiel J.] Univ Wageningen &amp; Res Ctr, Agr Econ Res Inst, NL-2502 LS The Hague, Netherlands</t>
  </si>
  <si>
    <t>Wageningen University &amp; Research</t>
  </si>
  <si>
    <t>Bartels, J (corresponding author), Univ Wageningen &amp; Res Ctr, Agr Econ Res Inst, POB 29703, NL-2502 LS The Hague, Netherlands.</t>
  </si>
  <si>
    <t>jos.bartels@wur.nl; machiel.reinders@wur.nl</t>
  </si>
  <si>
    <t>Reinders, Machiel/F-7355-2015; Bartels, Jos/J-3016-2012; Bartels, Jos/AAB-7283-2019</t>
  </si>
  <si>
    <t>Reinders, Machiel/0000-0001-8785-2852; Bartels, Jos/0000-0003-1557-6187</t>
  </si>
  <si>
    <t>SI</t>
  </si>
  <si>
    <t>10.1016/j.jbusres.2010.05.002</t>
  </si>
  <si>
    <t>748OD</t>
  </si>
  <si>
    <t>WOS:000289399000010</t>
  </si>
  <si>
    <t>Ng, TWH</t>
  </si>
  <si>
    <t>Ng, Thomas W. H.</t>
  </si>
  <si>
    <t>Transformational leadership and performance outcomes: Analyses of multiple mediation pathways</t>
  </si>
  <si>
    <t>Transformational leadership; Job performance; Citizenship behavior; Innovation; Meta-analysis</t>
  </si>
  <si>
    <t>RESEARCH-AND-DEVELOPMENT; PERCEIVED ORGANIZATIONAL SUPPORT; WORK-RELATED PERFORMANCE; MEMBER EXCHANGE LMX; PSYCHOLOGICAL CONTRACT BREACH; MODERATING ROLE; TRANSACTIONAL LEADERSHIP; JOB-SATISFACTION; SOCIAL-EXCHANGE; SELF-EFFICACY</t>
  </si>
  <si>
    <t>Transformational leadership (TFL) has been shown to affect employees' job performance, and the literature offers a large variety of explanatory processes. Integrating the diverse literature related to the mechanisms that mediate the TFL-performance relationship, the current study identified five core mechanisms affective, motivational, identification, social exchange, and justice enhancement that are consistent with established social and psychological theories. Meta-analysis involving &gt;600 samples was conducted to test these mechanisms. General support was found for each of the five mechanisms. The findings showed that TFL was related to variables that represented these mechanisms, which in turn were associated with non-self-report measures of employees' task performance, citizenship behavior, and innovative behavior. An integrative model was further proposed and tested to show the central role of leader-member exchange in the relationships between TFL, other mediating variables, and performance outcomes. This study contributes to the literature by strengthening researchers' theoretical understanding of the major social and psychological processes by which transformational leaders promote followers' job performance. (C) 2016 Elsevier Inc. All rights reserved.</t>
  </si>
  <si>
    <t>[Ng, Thomas W. H.] Univ Hong Kong, Fac Business &amp; Econ, Pok Fu Lam, Hong Kong, Peoples R China</t>
  </si>
  <si>
    <t>University of Hong Kong</t>
  </si>
  <si>
    <t>Ng, TWH (corresponding author), Univ Hong Kong, Fac Business &amp; Econ, Pok Fu Lam, Hong Kong, Peoples R China.</t>
  </si>
  <si>
    <t>tng@business.hku.hk</t>
  </si>
  <si>
    <t>Ng, Thomas Wai Hung/A-4433-2010</t>
  </si>
  <si>
    <t>1873-3409</t>
  </si>
  <si>
    <t>10.1016/j.leaqua.2016.11.008</t>
  </si>
  <si>
    <t>EY0DI</t>
  </si>
  <si>
    <t>WOS:000403628000003</t>
  </si>
  <si>
    <t>Malik, MAR; Butt, AN; Choi, JN</t>
  </si>
  <si>
    <t>Malik, Muhammad Abdur Rahman; Butt, Arif N.; Choi, Jin Nam</t>
  </si>
  <si>
    <t>Rewards and employee creative performance: Moderating effects of creative self-efficacy, reward importance, and locus of control</t>
  </si>
  <si>
    <t>rewards; creative performance; intrinsic motivation; creative self-efficacy; locus of control; expectancy; self-determination</t>
  </si>
  <si>
    <t>INTRINSIC MOTIVATION; INNOVATIVE BEHAVIOR; MEDIATING ROLE; ORIENTATION; WORK; PERSPECTIVE; HYPOTHESES; TOOL</t>
  </si>
  <si>
    <t>The effects of extrinsic rewards on creative performance have been controversial, and scholars have called for the examination of the boundary conditions of such effects. Drawing upon expectancy theory, we attend to both reinforcement and self-determination pathways that reveal the informational and controlling functions of creativity-related extrinsic rewards. We further identify the individual dispositions that moderate these two pathways. Specifically, we propose that extrinsic rewards for creativity positively predict creative performance only when employees have high creative self-efficacy and regard such rewards as important. We likewise propose that extrinsic rewards positively affect the intrinsic motivation of employees with an internal locus of control, thus enhancing their creative performance. Results based on a sample of 181 employee-supervisor dyads largely supported these expectations. The current analysis enriches the creativity literature by combining different perspectives in a coherent framework, by demonstrating the positive effects of extrinsic rewards on intrinsic motivation, and by demonstrating that the rewards-creativity relationship varies across employees depending on their individual differences. Copyright (c) 2014 John Wiley &amp; Sons, Ltd.</t>
  </si>
  <si>
    <t>[Malik, Muhammad Abdur Rahman; Butt, Arif N.] Lahore Univ Management Sci, Suleman Dawood Sch Business, Lahore, Pakistan; [Choi, Jin Nam] Seoul Natl Univ, Grad Sch Business, Seoul 151742, South Korea</t>
  </si>
  <si>
    <t>Lahore University of Management Sciences; Seoul National University (SNU)</t>
  </si>
  <si>
    <t>Choi, JN (corresponding author), Seoul Natl Univ, Grad Sch Business, San 56-1, Seoul 151742, South Korea.</t>
  </si>
  <si>
    <t>jnchoi@snu.kr</t>
  </si>
  <si>
    <t>Malik, Muhammad Abdur Rahman/0000-0002-7283-3461</t>
  </si>
  <si>
    <t>National Research Foundation of Korea [327-2011-1-B00208] Funding Source: Korea Institute of Science &amp; Technology Information (KISTI), National Science &amp; Technology Information Service (NTIS)</t>
  </si>
  <si>
    <t>National Research Foundation of Korea(National Research Foundation of Korea)</t>
  </si>
  <si>
    <t>JAN</t>
  </si>
  <si>
    <t>10.1002/job.1943</t>
  </si>
  <si>
    <t>CA3YI</t>
  </si>
  <si>
    <t>WOS:000348840600005</t>
  </si>
  <si>
    <t>Pellegrini, AD; Dupuis, D; Smith, PK</t>
  </si>
  <si>
    <t>Pellegrini, Anthony D.; Dupuis, Danielle; Smith, Peter K.</t>
  </si>
  <si>
    <t>Play in evolution and development</t>
  </si>
  <si>
    <t>DEVELOPMENTAL REVIEW</t>
  </si>
  <si>
    <t>EPIGENETIC INHERITANCE; BEHAVIOR; CHILDHOOD</t>
  </si>
  <si>
    <t>In this paper we examine the role of play in human ontogeny and phylogeny, following Surplus Resource Theory. We consider how juveniles use play to sample their environment in order to develop adaptive behaviors. We speculate about how innovative behaviors developed in play in response to environmental novelty may influence subsequent evolutionary processes. Play during this period of immaturity is especially important in the processes of development and evolution, because in play new strategies and behaviors can be developed with minimal costs and these strategies, in turn. can influence evolutionary processes. We posit that play influences these processes by supporting the development of new strategies in novel environments during the juvenile period. (C) 2006 Elsevier Inc. All rights reserved.</t>
  </si>
  <si>
    <t>Univ Minnesota, Dept Educ Psychol, Minneapolis, MN 55455 USA; Univ London Goldsmiths Coll, London SE14 6NW, England</t>
  </si>
  <si>
    <t>University of Minnesota System; University of Minnesota Twin Cities; University of London; Goldsmiths University London</t>
  </si>
  <si>
    <t>Pellegrini, AD (corresponding author), Univ Minnesota, Dept Educ Psychol, 214 Burton Hall, Minneapolis, MN 55455 USA.</t>
  </si>
  <si>
    <t>pelle013@umn.edu</t>
  </si>
  <si>
    <t>Smith, Peter/B-3106-2016</t>
  </si>
  <si>
    <t>Smith, Peter/0000-0002-5010-5359; Dupuis, Danielle/0000-0002-4960-1988</t>
  </si>
  <si>
    <t>0273-2297</t>
  </si>
  <si>
    <t>1090-2406</t>
  </si>
  <si>
    <t>DEV REV</t>
  </si>
  <si>
    <t>Dev. Rev.</t>
  </si>
  <si>
    <t>10.1016/j.dr.2006.09.001</t>
  </si>
  <si>
    <t>Psychology, Developmental</t>
  </si>
  <si>
    <t>189BK</t>
  </si>
  <si>
    <t>WOS:000247963300004</t>
  </si>
  <si>
    <t>Dhar, RL</t>
  </si>
  <si>
    <t>Dhar, Rajib Lochan</t>
  </si>
  <si>
    <t>Ethical leadership and its impact on service innovative behavior: The role of LMX and job autonomy</t>
  </si>
  <si>
    <t>Ethical leadership; Leader-member exchange; Service innovative behavior; Job autonomy; Tourist hotels; India</t>
  </si>
  <si>
    <t>MEMBER EXCHANGE THEORY; CREATIVE SELF-EFFICACY; EMPLOYEE CREATIVITY; SOCIAL-EXCHANGE; MEDIATING ROLE; TRANSFORMATIONAL LEADERSHIP; CONSTRUCT DEVELOPMENT; HOSPITALITY INDUSTRY; CONTEXTUAL FACTORS; WORK</t>
  </si>
  <si>
    <t>This study examined the effect of ethical leadership on service innovative behavior of employees at small and medium sized tourist hotels in Uttarakhand, India. It has forwarded an integrated model that highlights the relationship between ethical leadership and employees' service innovative behavior while interacting through leader-member exchange and job autonomy. Using a sample of 468 customer contact employees and their 117 supervisors, hierarchical regression was conducted to establish the relationship. Findings of the study revealed that ethical leadership promoted service innovative behavior of the hotel employees mediated through leader-member exchanges. Further, it was also found that the level of service innovative behavior was commensurate to the perception of employee job autonomy. Based on the study findings, implications for theory and practice are discussed. (C) 2016 Elsevier Ltd. All rights reserved.</t>
  </si>
  <si>
    <t>[Dhar, Rajib Lochan] Indian Inst Technol Roorkee, Dept Management Studies, Roorkee 247667, Uttarakhand, India</t>
  </si>
  <si>
    <t>Indian Institute of Technology System (IIT System); Indian Institute of Technology (IIT) - Roorkee</t>
  </si>
  <si>
    <t>Dhar, RL (corresponding author), Indian Inst Technol Roorkee, Dept Management Studies, Roorkee 247667, Uttarakhand, India.</t>
  </si>
  <si>
    <t>rajiblochandhar2000@gmail.com</t>
  </si>
  <si>
    <t>10.1016/j.tourman.2016.05.011</t>
  </si>
  <si>
    <t>DT5OI</t>
  </si>
  <si>
    <t>WOS:000381532100017</t>
  </si>
  <si>
    <t>Ng, TWH; Lucianetti, L</t>
  </si>
  <si>
    <t>Ng, Thomas W. H.; Lucianetti, Lorenzo</t>
  </si>
  <si>
    <t>Within-Individual Increases in Innovative Behavior and Creative, Persuasion, and Change Self-Efficacy Over Time: A Social-Cognitive Theory Perspective</t>
  </si>
  <si>
    <t>innovative behavior; self-efficacy; social-cognitive theory; trust; respect</t>
  </si>
  <si>
    <t>ORGANIZATIONAL-CHANGE; PSYCHOLOGICAL COLLECTIVISM; EMPLOYEE CREATIVITY; INTRAINDIVIDUAL CHANGES; MEASUREMENT INVARIANCE; EMPOWERING LEADERSHIP; FAIRNESS PERCEPTIONS; UNITED-STATES; FIT INDEXES; JOB DEMANDS</t>
  </si>
  <si>
    <t>Studies of innovative behavior (the generation, dissemination, and implementation of new ideas) have generally overlooked the agency perspective on this important type of performance behavior. Guided by social-cognitive theory, we propose a moderated mediation relationship to explain why and how employees become motivated to make things happen through their innovative endeavors. First, we propose that within-individual increases in organizational trust and perceived respect by colleagues promote within-individual increases in creative, persuasion, and change self-efficacy over time. Second, we propose that within-individual increases in self-efficacy beliefs promote within-individual increases in idea generation, dissemination, and implementation over time. Finally, we propose that psychological collectivism (a between-individual variable) is a moderator, and that a higher level of psychological collectivism weakens the positive relationship between within-individual increases in self-efficacy beliefs and within-individual increases in innovative behavior. Repeated measures collected from 267 employees in Italy at 3 time points over an 8-month period generally support our proposed dynamic moderated mediation relationship.</t>
  </si>
  <si>
    <t>[Ng, Thomas W. H.] Univ Hong Kong, Fac Business &amp; Econ, Pok Fu Lam, Hong Kong, Peoples R China; [Lucianetti, Lorenzo] Univ G dAnnunzio, Dept Management &amp; Business Adm, Chieti, Italy</t>
  </si>
  <si>
    <t>University of Hong Kong; G d'Annunzio University of Chieti-Pescara</t>
  </si>
  <si>
    <t>Lucianetti, Lorenzo/H-4880-2019; Ng, Thomas Wai Hung/A-4433-2010</t>
  </si>
  <si>
    <t xml:space="preserve">Lucianetti, Lorenzo/0000-0001-7030-186X; </t>
  </si>
  <si>
    <t>1939-1854</t>
  </si>
  <si>
    <t>10.1037/apl0000029</t>
  </si>
  <si>
    <t>DD8IR</t>
  </si>
  <si>
    <t>WOS:000370170400002</t>
  </si>
  <si>
    <t>Sun, HS</t>
  </si>
  <si>
    <t>Sun, Heshan</t>
  </si>
  <si>
    <t>UNDERSTANDING USER REVISIONS WHEN USING INFORMATION SYSTEM FEATURES: ADAPTIVE SYSTEM USE AND TRIGGERS</t>
  </si>
  <si>
    <t>MIS QUARTERLY</t>
  </si>
  <si>
    <t>Post-adoptive system use; adaptive system use; triggers; features in use; formative factor; personal innovativeness in IT; facilitating conditions</t>
  </si>
  <si>
    <t>TECHNOLOGY ACCEPTANCE MODEL; FORMATIVE MEASUREMENT; INDIVIDUAL-DIFFERENCES; EMPIRICAL-EXAMINATION; BEHAVIORAL INTENTION; PERCEIVED USEFULNESS; EMPLOYEE CREATIVITY; INNOVATIVE BEHAVIOR; EVERYDAY LIFE; SATISFACTION</t>
  </si>
  <si>
    <t>Post-adoptive system use is often characterized by cycles of adaptation, in which people actively revise how they use information systems. This paper investigates how and why individual users revise their system use at the feature level. A new concept, adaptive system use (ASU), is conceptualized as a user's revisions of which and how system features are used. This research identifies four specific ASU behaviors that collectively describe how people revise their use of system features. A model of ASU is developed based on Louis and Sutton's (1991) research on how people switch to active thinking from automatic thinking. The model specifies three antecedents of ASU (novel situations, discrepancies, and deliberate initiatives) and two moderators (personal innovativeness in IT and facilitating conditions). An empirical study of 253 Microsoft Office users largely supported the research model. The findings suggest that triggers-including novel situations, discrepancies, and deliberate initiatives are a significant impetus to ASU. This research also confirms moderating effects of personal innovativeness in IT: The findings also show the relationships among triggers: in addition to their direct impact on ASU, novel situations and deliberate initiatives exert their influence on ASU indirectly by giving rise to discrepancies in system use. Moreover, a cluster analysis identifies three heterogeneous triggering conditions and reveals that people engage in different ASU behaviors under different triggering conditions.</t>
  </si>
  <si>
    <t>Univ Arizona, Sch Informat Resources &amp; Lib Sci, Tucson, AZ 85719 USA</t>
  </si>
  <si>
    <t>University of Arizona</t>
  </si>
  <si>
    <t>Sun, HS (corresponding author), Univ Arizona, Sch Informat Resources &amp; Lib Sci, 1515 E 1st St, Tucson, AZ 85719 USA.</t>
  </si>
  <si>
    <t>hsun@email.arizona.edu</t>
  </si>
  <si>
    <t>SOC INFORM MANAGE-MIS RES CENT</t>
  </si>
  <si>
    <t>MINNEAPOLIS</t>
  </si>
  <si>
    <t>UNIV MINNESOTA-SCH MANAGEMENT 271 19TH AVE SOUTH, MINNEAPOLIS, MN 55455 USA</t>
  </si>
  <si>
    <t>0276-7783</t>
  </si>
  <si>
    <t>MIS QUART</t>
  </si>
  <si>
    <t>MIS Q.</t>
  </si>
  <si>
    <t>Computer Science, Information Systems; Information Science &amp; Library Science; Management</t>
  </si>
  <si>
    <t>Computer Science; Information Science &amp; Library Science; Business &amp; Economics</t>
  </si>
  <si>
    <t>945SN</t>
  </si>
  <si>
    <t>WOS:000304296400007</t>
  </si>
  <si>
    <t>Knol, J; van Linge, R</t>
  </si>
  <si>
    <t>Knol, Jeannette; van Linge, Roland</t>
  </si>
  <si>
    <t>Innovative behaviour: the effect of structural and psychological empowerment on nurses</t>
  </si>
  <si>
    <t>JOURNAL OF ADVANCED NURSING</t>
  </si>
  <si>
    <t>Conditions of Work Effectiveness Questionnaire II; Innovative Behaviour Questionnaire; nurses; Psychological Empowerment Instrument; structural empowerment</t>
  </si>
  <si>
    <t>HEALTH-CARE; INVOLVEMENT; POWER</t>
  </si>
  <si>
    <t>Innovative behaviour: the effect of structural and psychological empowerment on nurses. This paper is a report of a study to investigate the relationship between structural empowerment/psychological empowerment and innovative behaviour. Innovative behaviour is essential for nurses in today's dynamic healthcare systems. Empowerment has become an increasingly important factor in predicting innovative behaviour. Structural empowerment refers to power based on the employee's position in the organization, while psychological empowerment consists of the fundamental personal convictions that employees have about their role in the organization. A cross-sectional correlational survey was conducted in the Netherlands in 2007 with 519 Registered Nurses. The instruments used were the Conditions of Work Effectiveness Questionnaire II, the Psychological Empowerment Instrument and the Questionnaire Innovative Behaviour. Four hypotheses were tested using descriptive statistics, bivariate and multiple regression and one-way analysis of variance. Structural and psychological empowerment were statistically significant predictors of innovative behaviour. Informal power and impact were the most relevant determinants of innovative behaviour, the latter the strongest. Psychological empowerment functioned as a mediator between structural empowerment and innovative behaviour. The expected moderating effect of structural empowerment was not proven. Organizations need to create the right conditions to be able to strengthen nurses' empowerment. Networking is an important skill which should be incorporated in the nursing education. Future research should take into consideration nursing culture and personality traits as determining factors. Replication of this study in another setting and a study examining causality are recommended so that additional empirical evidence may be obtained.</t>
  </si>
  <si>
    <t>[Knol, Jeannette] Tergooiziekenhuizen, Dept Intens Care, Blaricum, Netherlands; [van Linge, Roland] Univ Utrecht, Med Ctr, Nursing Sci Dept, NL-3508 TC Utrecht, Netherlands</t>
  </si>
  <si>
    <t>Tergooi Blaricum; Utrecht University</t>
  </si>
  <si>
    <t>Knol, J (corresponding author), Tergooiziekenhuizen, Dept Intens Care, Blaricum, Netherlands.</t>
  </si>
  <si>
    <t>jknol@tergooiziekenhuizen.nl</t>
  </si>
  <si>
    <t>0309-2402</t>
  </si>
  <si>
    <t>1365-2648</t>
  </si>
  <si>
    <t>J ADV NURS</t>
  </si>
  <si>
    <t>J. Adv. Nurs.</t>
  </si>
  <si>
    <t>10.1111/j.1365-2648.2008.04876.x</t>
  </si>
  <si>
    <t>Nursing</t>
  </si>
  <si>
    <t>395FZ</t>
  </si>
  <si>
    <t>WOS:000262511300012</t>
  </si>
  <si>
    <t>Fichman, RG</t>
  </si>
  <si>
    <t>The role of aggregation in the measurement of IT-related organizational innovation</t>
  </si>
  <si>
    <t>assimilation; innovation adoption; innovation diffusion; implementation; infusion; routinization; measurement</t>
  </si>
  <si>
    <t>INFORMATION-SYSTEMS INNOVATION; TECHNOLOGY INNOVATIONS; UNITED-STATES; CORE MODEL; CASE USAGE; DIFFUSION; ASSIMILATION; IMPLEMENTATION; PERSPECTIVE; ADOPTION</t>
  </si>
  <si>
    <t>The extent of organizational innovation with information technology, an important construct in the IT innovation literature, has been measured in many different ways. Some measures have a narrow focus while others aggregate innovative behaviors across a set of innovations or stages in the assimilation lifecycle. There appear to be some significant tradeoffs involving aggregation: more aggregated measures can be more robust and generalizable and can promote stronger predictive validity, while less aggregated measures allow more context-specific investigations and can preserve clearer theoretical interpretations. This article begins with a conceptual analysis that identifies the circumstances when these tradeoffs are most likely to favor aggregated measures. It is found that aggregation should be favorable when: (1) the researcher's interest is in general innovation or a model that generalizes to a class of innovations, (2) antecedents have effects in the same direction in all assimilation stages, (3) characteristics of organizations can be treated as constant across the innovations in the study, (4) characteristics of innovations Can not be treated as constant across organizations in the study, (5) the set of innovations being aggregated includes substitutes or moderate complements, and (6) sources of noise in the measurement of innovation may be present. The article then presents an empirical study using data on the adoption of software process technologies by 608 U.S. based corporations. This study-which had circumstances quite favorable to aggregation-found that aggregating across three innovations within a technology class more than doubled the variance explained compared to single innovation models. Aggregating across assimilation stages also had a slight positive effect on predictive validity. Taken together, these results provide initial confirmation of the conclusions from the conceptual analysis regarding the circumstances favoring aggregation.</t>
  </si>
  <si>
    <t>Boston Coll, Wallace E Carroll Sch Management, Chestnut Hill, MA 02467 USA</t>
  </si>
  <si>
    <t>Boston College</t>
  </si>
  <si>
    <t>Fichman, RG (corresponding author), Boston Coll, Wallace E Carroll Sch Management, 452B Fulton Hall,140 Commonwealth Ave, Chestnut Hill, MA 02467 USA.</t>
  </si>
  <si>
    <t>10.2307/3250990</t>
  </si>
  <si>
    <t>522YA</t>
  </si>
  <si>
    <t>WOS:000173923500003</t>
  </si>
  <si>
    <t>Fernandez, S; Moldogaziev, T</t>
  </si>
  <si>
    <t>Fernandez, Sergio; Moldogaziev, Tima</t>
  </si>
  <si>
    <t>Using Employee Empowerment to Encourage Innovative Behavior in the Public Sector</t>
  </si>
  <si>
    <t>JOURNAL OF PUBLIC ADMINISTRATION RESEARCH AND THEORY</t>
  </si>
  <si>
    <t>ORGANIZATIONAL PERFORMANCE; REINVENTING GOVERNMENT; JOB-SATISFACTION; MANAGEMENT; MOTIVATION; SERVICE; MODEL; WORK; DETERMINANTS; LESSONS</t>
  </si>
  <si>
    <t>Employee empowerment programs have been widely adopted in the public sector as a way to improve organizational performance. Empowered employees improve performance largely by finding innovative ways of correcting errors in service delivery and redesigning work processes. Failure to encourage innovation can seriously undermine the effectiveness of empowerment programs. Based on Bowen and Lawler's conceptualization of employee empowerment as a multifaceted management approach, this study explores how different empowerment practices can be used to encourage US federal government employees to seek out new and better ways of doing things. The empirical results show that while employee empowerment as an overall approach can increase encouragement to innovate, empowerment practices have divergent effects, and some may even discourage innovation.</t>
  </si>
  <si>
    <t>[Fernandez, Sergio] Indiana Univ, Bloomington, IN 47405 USA; [Moldogaziev, Tima] Univ S Carolina, Columbia, SC 29208 USA</t>
  </si>
  <si>
    <t>Indiana University System; Indiana University Bloomington; University of South Carolina System; University of South Carolina Columbia</t>
  </si>
  <si>
    <t>Fernandez, S (corresponding author), Indiana Univ, Bloomington, IN 47405 USA.</t>
  </si>
  <si>
    <t>sefernan@indiana.edu</t>
  </si>
  <si>
    <t>Moldogaziev, Tima/AAF-3499-2020</t>
  </si>
  <si>
    <t>Moldogaziev, Temirlan/0000-0002-9951-1841</t>
  </si>
  <si>
    <t>OXFORD UNIV PRESS</t>
  </si>
  <si>
    <t>GREAT CLARENDON ST, OXFORD OX2 6DP, ENGLAND</t>
  </si>
  <si>
    <t>1053-1858</t>
  </si>
  <si>
    <t>1477-9803</t>
  </si>
  <si>
    <t>J PUBL ADM RES THEOR</t>
  </si>
  <si>
    <t>J. Publ. Adm. Res. Theory</t>
  </si>
  <si>
    <t>10.1093/jopart/mus008</t>
  </si>
  <si>
    <t>Political Science; Public Administration</t>
  </si>
  <si>
    <t>Government &amp; Law; Public Administration</t>
  </si>
  <si>
    <t>058PQ</t>
  </si>
  <si>
    <t>WOS:000312646400007</t>
  </si>
  <si>
    <t>Cotte, J; Wood, SL</t>
  </si>
  <si>
    <t>Families and innovative consumer behavior: A triadic analysis of sibling and parental influence</t>
  </si>
  <si>
    <t>OPTIMUM STIMULATION LEVEL; PRODUCT ADOPTION; ENVIRONMENT; SOCIALIZATION; PERSONALITY; KNOWLEDGE; SEEKING; NEED</t>
  </si>
  <si>
    <t>Although family socialization is a rich field in consumer behavior, to date no research has been done to disaggregate family influences on behavior into separate parent and sibling components. Here we use triadic analysis ( parent and two siblings) to explore the influence of family on consumer innovativeness. We develop hypotheses that postulate parental influence, and, based on conflicting views of sibling similarity in the recent behavioral genetics and developmental psychology literature, set competing hypotheses about sibling influence on innovativeness and innovative behavior. Using a model tested with triads from 137 families, we find that both parents and siblings influence innovativeness, but that parental influence is stronger than sibling influence. We discuss the implications of our work for the study of family influence in consumer behavior.</t>
  </si>
  <si>
    <t>Univ Western Ontario, Ivey Business Sch, London, ON N6A 3K7, Canada; Univ S Carolina, Moore Sch Business, Columbia, SC 29208 USA</t>
  </si>
  <si>
    <t>Western University (University of Western Ontario); University of South Carolina System; University of South Carolina Columbia</t>
  </si>
  <si>
    <t>Cotte, J (corresponding author), Univ Western Ontario, Ivey Business Sch, London, ON N6A 3K7, Canada.</t>
  </si>
  <si>
    <t>jcotte@ivey.ca; wood@moore.sc.edu</t>
  </si>
  <si>
    <t>, June Cotte/HKW-4643-2023</t>
  </si>
  <si>
    <t>Cotte, June/0000-0003-0770-8338; Wood, Stacy/0000-0001-5256-1772</t>
  </si>
  <si>
    <t>10.1086/383425</t>
  </si>
  <si>
    <t>835VQ</t>
  </si>
  <si>
    <t>WOS:000222514000007</t>
  </si>
  <si>
    <t>Kotrschal, A; Taborsky, B</t>
  </si>
  <si>
    <t>Kotrschal, Alexander; Taborsky, Barbara</t>
  </si>
  <si>
    <t>Environmental Change Enhances Cognitive Abilities in Fish</t>
  </si>
  <si>
    <t>PLOS BIOLOGY</t>
  </si>
  <si>
    <t>MATERNAL-CARE; BEHAVIOR; JUVENILE; MALNUTRITION; ENRICHMENT; EXPERIENCE; STRESS; SIZE; COD</t>
  </si>
  <si>
    <t>Flexible or innovative behavior is advantageous, especially when animals are exposed to frequent and unpredictable environmental perturbations. Improved cognitive abilities can help animals to respond quickly and adequately to environmental dynamics, and therefore changing environments may select for higher cognitive abilities. Increased cognitive abilities can be attained, for instance, if environmental change during ontogeny triggers plastic adaptive responses improving the learning capacity of exposed individuals. We tested the learning abilities of fishes in response to experimental variation of environmental quality during ontogeny. Individuals of the cichlid fish Simochromis pleurospilus that experienced a change in food ration early in life outperformed fish kept on constant rations in a learning task later in life-irrespective of the direction of the implemented change and the mean rations received. This difference in learning abilities between individuals remained constant between juvenile and adult stages of the same fish tested 1 y apart. Neither environmental enrichment nor training through repeated neural stimulation can explain our findings, as the sensory environment was kept constant and resource availability was changed only once. Instead, our results indicate a pathway by which a single change in resource availability early in life permanently enhances the learning abilities of animals. Early perturbations of environmental quality may signal the developing individual that it lives in a changing world, requiring increased cognitive abilities to construct adequate behavioral responses.</t>
  </si>
  <si>
    <t>[Kotrschal, Alexander; Taborsky, Barbara] Univ Bern, Inst Ecol &amp; Evolut, Bern, Switzerland; [Taborsky, Barbara] Int Inst Appl Syst Anal, Evolut &amp; Ecol Program, A-2361 Laxenburg, Austria</t>
  </si>
  <si>
    <t>University of Bern; International Institute for Applied Systems Analysis (IIASA)</t>
  </si>
  <si>
    <t>Kotrschal, A (corresponding author), Univ Bern, Inst Ecol &amp; Evolut, Bern, Switzerland.</t>
  </si>
  <si>
    <t>alexander.kotrschal@iee.unibe.ch</t>
  </si>
  <si>
    <t>Kotrschal, Alexander/AEV-1376-2022; Kotrschal, Alexander/ABB-8987-2021</t>
  </si>
  <si>
    <t>Kotrschal, Alexander/0000-0003-3473-1402; Taborsky, Barbara/0000-0003-1690-8155</t>
  </si>
  <si>
    <t>Swiss National Science Foundation (SNF) [3100A0-111796]; Austrian Science Fund (FWF) [18647B16]</t>
  </si>
  <si>
    <t>Swiss National Science Foundation (SNF)(Swiss National Science Foundation (SNSF)); Austrian Science Fund (FWF)(Austrian Science Fund (FWF))</t>
  </si>
  <si>
    <t>AK and BT were funded by the Swiss National Science Foundation (SNF grant 3100A0-111796 to BT) and the Austrian Science Fund (FWF grant 18647B16 to BT). The funders had no role in study design, data collection and analysis, decision to publish, or preparation of the manuscript.</t>
  </si>
  <si>
    <t>PUBLIC LIBRARY SCIENCE</t>
  </si>
  <si>
    <t>SAN FRANCISCO</t>
  </si>
  <si>
    <t>1160 BATTERY STREET, STE 100, SAN FRANCISCO, CA 94111 USA</t>
  </si>
  <si>
    <t>1544-9173</t>
  </si>
  <si>
    <t>1545-7885</t>
  </si>
  <si>
    <t>PLOS BIOL</t>
  </si>
  <si>
    <t>PLoS. Biol.</t>
  </si>
  <si>
    <t>e1000351</t>
  </si>
  <si>
    <t>10.1371/journal.pbio.1000351</t>
  </si>
  <si>
    <t>Biochemistry &amp; Molecular Biology; Biology</t>
  </si>
  <si>
    <t>Biochemistry &amp; Molecular Biology; Life Sciences &amp; Biomedicine - Other Topics</t>
  </si>
  <si>
    <t>602GC</t>
  </si>
  <si>
    <t>gold, Green Published, Green Accepted</t>
  </si>
  <si>
    <t>WOS:000278125500005</t>
  </si>
  <si>
    <t>Lee, HY; Qu, HL; Kim, YS</t>
  </si>
  <si>
    <t>Lee, Hae Young; Qu, Hailin; Kim, Yoo Shin</t>
  </si>
  <si>
    <t>A study of the impact of personal innovativeness on online travel shopping behavior - A case study of Korean travelers</t>
  </si>
  <si>
    <t>travelers' personal innovativeness; theory of reasoned action (TRA); online travel shopping behavior</t>
  </si>
  <si>
    <t>TECHNOLOGY ACCEPTANCE; INTERNET; MODEL; ANTECEDENTS; INTENTIONS; PRODUCTS; ADOPTION; SERVICE; GENDER; USAGE</t>
  </si>
  <si>
    <t>Given online travel shopping is a relatively new concept and innovative behavior, research addressing the effect of traveler's inherent innovative personality on his/her online shopping behavior has relevance. This study examines how online traveler's decision-making paradigm may vary according to the traveler's personal innovativeness level, by utilizing Fishbein and Ajzen's (1975, Belief, attitude, intention and behavior. Reading, MA: Addison-Wesley) reasoned action theory as a theoretical background. The results indicate that highly innovative travelers are mainly influenced by their positive attitudes when they embrace online shopping; while less innovative travelers rely on both attitude and the referral's opinions to reduce uncertainty inherent in online transactions. One special finding was that for highly innovative travelers, the propensity to shop for travel-related products would decrease with increasing the referent's social influence. (tD 2006 Elsevier Ltd. All rights reserved.</t>
  </si>
  <si>
    <t>Oklahoma State Univ, Sch Hotel &amp; Restaurant Adm, Stillwater, OK 74078 USA; Samsung Everland Inc, Yongin 446912, Gyeonggi Do, South Korea</t>
  </si>
  <si>
    <t>Oklahoma State University System; Oklahoma State University - Stillwater; Samsung</t>
  </si>
  <si>
    <t>Qu, HL (corresponding author), Oklahoma State Univ, Sch Hotel &amp; Restaurant Adm, 210 HESW, Stillwater, OK 74078 USA.</t>
  </si>
  <si>
    <t>haeyoung.lee@okstate.edu; h.qu@okstate.edu; yooshin.kim@samsung.com</t>
  </si>
  <si>
    <t>10.1016/j.tourman.2006.04.013</t>
  </si>
  <si>
    <t>155YA</t>
  </si>
  <si>
    <t>WOS:000245613500023</t>
  </si>
  <si>
    <t>Jiang, Z; Hu, XW; Wang, ZM; Jiang, X</t>
  </si>
  <si>
    <t>Jiang, Zhou; Hu, Xiaowen; Wang, Zhongmin; Jiang, Xuan</t>
  </si>
  <si>
    <t>Knowledge hiding as a barrier to thriving: The mediating role of psychological safety and moderating role of organizational cynicism</t>
  </si>
  <si>
    <t>knowledge hiding; organizational cynicism; psychological safety; thriving</t>
  </si>
  <si>
    <t>INNOVATIVE BEHAVIORS; MEASUREMENT MODELS; EMPLOYEE CYNICISM; SELF; WORK; MANAGEMENT; PERCEPTIONS; ATTITUDES; LEADER; ANTECEDENTS</t>
  </si>
  <si>
    <t>Research demonstrates that knowledge hiding has a detrimental effect on the knowledge hider himself or herself. Extending this area, the present research examines how and when knowledge hiders struggle to thrive at work. Integrating self-perception theory and the socially embedded model of thriving, we propose that knowledge hiding negatively influences employees' thriving through psychological safety, and this influence is contingent on organizational cynicism. In Study 1a, a cross-sectional survey of 214 Chinese participants from a general working population supported the mediating role of psychological safety in the knowledge hiding and thriving relationship. Study 1b verified this result using two-wave data collected from 392 working adults in a panel that recruited participants mainly in Europe and North America. In addition to confirming the mediation with a two-wave field survey conducted among 205 employees in three Chinese organizations, Study 2 supported the moderating role of organizational cynicism. Specifically, the negative effect of knowledge hiding on psychological safety was greater under higher levels of organizational cynicism, as was the indirect effect of knowledge hiding on thriving via psychological safety. These findings contribute to both the knowledge hiding and the thriving literature and provide practical implications for both the manager and the employee.</t>
  </si>
  <si>
    <t>[Jiang, Zhou] Deakin Univ, Deakin Business Sch, Dept Management, Locked Bag 20001, Geelong, Vic 3220, Australia; [Hu, Xiaowen] Queensland Univ Technol, Sch Management, Brisbane, Qld, Australia; [Wang, Zhongmin] James Cook Univ, Coll Business Law &amp; Governance, Management, Townsville, Qld, Australia; [Jiang, Xuan] Yanbian Univ, Dept Business Adm, Yanji, Peoples R China</t>
  </si>
  <si>
    <t>Deakin University; Queensland University of Technology (QUT); James Cook University; Yanbian University</t>
  </si>
  <si>
    <t>Jiang, Z (corresponding author), Deakin Univ, Deakin Business Sch, Dept Management, Locked Bag 20001, Geelong, Vic 3220, Australia.</t>
  </si>
  <si>
    <t>z.jiang@deakin.edu.au</t>
  </si>
  <si>
    <t>Jiang, Zhou/AAG-4077-2020</t>
  </si>
  <si>
    <t>Jiang, Zhou/0000-0002-6249-2659; Hu, Xiaowen/0000-0002-2320-3981</t>
  </si>
  <si>
    <t>10.1002/job.2358</t>
  </si>
  <si>
    <t>IV8MG</t>
  </si>
  <si>
    <t>WOS:000484519000003</t>
  </si>
  <si>
    <t>Kim, TY; Hon, AHY; Lee, DR</t>
  </si>
  <si>
    <t>Kim, Tae-Yeol; Hon, Alice H. Y.; Lee, Deog-Ro</t>
  </si>
  <si>
    <t>Proactive Personality and Employee Creativity: The Effects of Job Creativity Requirement and Supervisor Support for Creativity</t>
  </si>
  <si>
    <t>CREATIVITY RESEARCH JOURNAL</t>
  </si>
  <si>
    <t>INNOVATIVE BEHAVIOR; WORK-ENVIRONMENT; MODEL; EXPRESSION; CONFLICT; PEOPLE</t>
  </si>
  <si>
    <t>This study examined the relationships between proactive personality and employee creativity and the moderating roles of job creativity requirement and supervisor support for creativity in activating proactive personality associated with employee creativity. To provide a rigorous test of the hypotheses, we conducted a field study from a sample of 157 employee-supervisor pairs in South Korea. The results revealed that a proactive personality was positively associated with employee creativity. In addition, job creativity requirement and supervisor support for creativity jointly influenced the relationship between proactive personality and employee creativity. Specifically, proactive employees exhibited the highest employee creativity when job creativity requirement and supervisor support for creativity were both high.</t>
  </si>
  <si>
    <t>[Kim, Tae-Yeol] City Univ Hong Kong, Kowloon, Hong Kong, Peoples R China; [Hon, Alice H. Y.] Hong Kong Polytech Univ, Sch Hotel &amp; Tourism Management, Hong Kong, Hong Kong, Peoples R China; [Lee, Deog-Ro] Seowon Univ, Cheongju, South Korea</t>
  </si>
  <si>
    <t>City University of Hong Kong; Hong Kong Polytechnic University; Seowon University</t>
  </si>
  <si>
    <t>Kim, TY (corresponding author), City Univ Hong Kong, 83 Tat Chee Ave, Kowloon, Hong Kong, Peoples R China.</t>
  </si>
  <si>
    <t>bestkty@cityu.edu.hk</t>
  </si>
  <si>
    <t>du, guanglei/A-9003-2014; Kim, Tae-Yeol/K-7380-2015; HON, Alice H Y/A-5470-2014</t>
  </si>
  <si>
    <t>Kim, Tae-Yeol/0000-0001-6110-5269; HON, Alice H Y/0000-0002-1982-7345</t>
  </si>
  <si>
    <t>ROUTLEDGE JOURNALS, TAYLOR &amp; FRANCIS LTD</t>
  </si>
  <si>
    <t>2-4 PARK SQUARE, MILTON PARK, ABINGDON OX14 4RN, OXON, ENGLAND</t>
  </si>
  <si>
    <t>1040-0419</t>
  </si>
  <si>
    <t>1532-6934</t>
  </si>
  <si>
    <t>CREATIVITY RES J</t>
  </si>
  <si>
    <t>Creativ. Res. J.</t>
  </si>
  <si>
    <t>PII 919144418</t>
  </si>
  <si>
    <t>10.1080/10400410903579536</t>
  </si>
  <si>
    <t>Psychology, Educational; Psychology, Multidisciplinary</t>
  </si>
  <si>
    <t>593VR</t>
  </si>
  <si>
    <t>WOS:000277490300004</t>
  </si>
  <si>
    <t>Koberg, CS; Uhlenbruck, N; Sarason, Y</t>
  </si>
  <si>
    <t>Facilitators of organizational innovation: The role of life-cycle stage</t>
  </si>
  <si>
    <t>JOURNAL OF BUSINESS VENTURING</t>
  </si>
  <si>
    <t>HUMAN-RESOURCE MANAGEMENT; ENVIRONMENTAL UNCERTAINTY; TECHNOLOGY; GROWTH; FIRMS; STRATEGY; ADOPTION; VENTURES; MODEL; RATIONALITY</t>
  </si>
  <si>
    <t>One of the most serious challenges facing an entrepreneurial company, particularly a high-technology firm, is knowing how to manage innovation as the organization evolves. Macro-level facilitators/inhibitors of innovation-i.e., organizational and environmental conditions of a firm that promote or restrain innovation such as the structure of an organization, its incentive system, resources provided by its environment, or its ways of analyzing firm-external information-and their relationship to the innovativeness of the firm are considered in this study. Two basic arguments have been put forward previously as to why the innovativeness of an organization may change as it evolves. First, it has been suggested that facilitators of innovation change over time and so will firm innovativeness. That is, the relationship between the facilitator and innovation stays unchanged but the facilitator itself is transformed, causing changes in firm innovativeness as it develops. For instance, it has been suggested that mature firms become less innovative because their structure becomes overly formalized to perform other functions more efficiently, which then stifles innovative processes. Second, other researchers have proposed that the relationship between a facilitator and innovation changes as firms evolve; for instance a formal structure may support innovation in a younger firm because it allows the entrepreneur to focus her energy, whereas it may suppress innovation later since it inhibits an innovator's interaction with other environments. The results of our analysis, using data from 326 U.S. firms in different stages of their development and involved in many kinds of high-tech industries, support the second theory. However, the results for the relationships of the individual facilitators to innovation were not always as expected. We found that formally structured young firms were less innovative than informal ones and that in older organizations, formalization had no negative impact on innovation. This finding possibly can be explained with micro-level facilitators of innovation: younger firms may have more entrepreneurial personnel whose ability for innovation is more inhibited through a formal structure than the more ''seasoned'' employees in older, larger firms. However, this finding implies that the concern for formal structures, with respect to firm innovativeness does not necessarily apply as typically assumed. Of similar significance was our finding with respect to the relationship between financial incentives and innovation. It has been suggested that younger rather than older firms use incentives such as equity to encourage an innovative environment. Results of this research, however, show that innovation is associated with stock incentives especially in older firms. This may be an indication for older firms to use differentiated incentives that reflect the individual's contribution to the firm to retain innovative personnel, whereas start-ups might rely on the excitement of working in a new venture as an incentive for innovative behavior. More in line with expectations were the results for how firms process external information. Environmental scanning and data analysis were positively associated with innovation, and this more so in older firms, presumably because they have become more remote from developments outside the organization. This result confirms the notion that much innovation by a firm is initiated externally. However, the results also indicate that the conditions of the environment itself are of lesser importance to firm innovativeness than the firm's active pursuit of information from its environment. An often discussed implication of these findings is that the boundaries of a firm must be permeable, at least from the outside in, and systematic information gathering from customers, competition, research institutions, etc, may be necessary to the success of a firm that depends on its product development. This seems especially important for older firms. As expected, the centralization of power in an organization also affected innovation. Centralization correlated positively with innovation in new ventures and negatively in older firms. This indicates the importance of the entrepreneur and strong leader in a start-up. It also suggests, though, that as the firm matures, this person has to give up some of her control and may have to relinquish the job at the head of the organization to someone else. Finally, there are some more general implications of this work to managers involved with organizational innovation. First, reliance on past experience may be detrimental to future performance. Whereas a firm evolves through different stages, means that have facilitated innovation earlier may be detrimental to it now or tomorrow, and vice versa. Second, copping successful strategies for innovation from other firms may not necessarily work-not because their implementation was worse but because the conditions of the other firm, for instance its evolutionary stage or its micro-level facilitators, were different. Researchers who study innovation should consider including life-cycle stage as a potential moderating variable. Factors that facilitate innovation at some point during an organization's evolution actually hinder it in another. Also, factors that were unimportant to innovation at the inception of a firm may facilitate it in later stages. This study supports the conclusion that the consideration of contingency factors, such as life-cycle stage, may enhance the development of a theory of organizational innovation.</t>
  </si>
  <si>
    <t>CALIF STATE UNIV SAN MARCOS, COLL BUSINESS ADM, SAN MARCOS, CA 92096 USA; UNIV COLORADO, BOULDER, CO 80309 USA; UNIV NEW MEXICO, ALBUQUERQUE, NM 87131 USA</t>
  </si>
  <si>
    <t>California State University System; California State University San Marcos; University of Colorado System; University of Colorado Boulder; University of New Mexico</t>
  </si>
  <si>
    <t>DEL RÍO, MIGUEL ÁNGEL MONTAÑÉS/F-2359-2013</t>
  </si>
  <si>
    <t>0883-9026</t>
  </si>
  <si>
    <t>1873-2003</t>
  </si>
  <si>
    <t>J BUS VENTURING</t>
  </si>
  <si>
    <t>J. Bus. Ventur.</t>
  </si>
  <si>
    <t>10.1016/0883-9026(95)00107-7</t>
  </si>
  <si>
    <t>TV700</t>
  </si>
  <si>
    <t>WOS:A1996TV70000004</t>
  </si>
  <si>
    <t>Hsu, MLA; Hou, ST; Fan, HL</t>
  </si>
  <si>
    <t>Hsu, Michael L. A.; Hou, Sheng-Tsung; Fan, Hsueh-Liang</t>
  </si>
  <si>
    <t>Creative Self-Efficacy and Innovative Behavior in a Service Setting: Optimism as a Moderator</t>
  </si>
  <si>
    <t>Creative self-efficacy; optimism; innovative behavior; service setting</t>
  </si>
  <si>
    <t>POSITIVE ORGANIZATIONAL-BEHAVIOR; TRANSFORMATIONAL LEADERSHIP; DISPOSITIONAL OPTIMISM; POTENTIAL ANTECEDENTS; PERFORMANCE; PERSONALITY; WORK; WORKPLACE; IMPACT; ADJUSTMENT</t>
  </si>
  <si>
    <t>Creativity research on the personality approach has focused on the relationship between individual attributes and innovative behavior. However, few studies have empirically examined the effects of positive psychological traits on innovative behavior in an organizational setting. This study examines the relationships among creative self-efficacy, optimism, and innovative behavior as well as the moderating effect of optimism. Longitudinal data across two periods were collected from 120 spa employees of a diet and beauty salon company in Taiwan. After controlling for the effects of job tenure and the Big Five personality traits, this study found that employees with a high level of creative self-efficacy demonstrate a high level of innovative behavior at work, and optimism does not have a direct effect on employees' innovative behavior, but it does play a moderating role. When employees' creative self-efficacy is high, those with greater optimism exhibit greater innovative behavior at work. Toward the end, this paper offers suggestions for future research and discusses the practical implications of this study.</t>
  </si>
  <si>
    <t>[Hsu, Michael L. A.] Natl Chengchi Univ, Grad Inst Early Childhood Educ, Taipei, Taiwan; [Hsu, Michael L. A.] Natl Chengchi Univ, Ctr Creat &amp; Studies, Taipei, Taiwan; [Hou, Sheng-Tsung] Feng Chia Univ, Grad Inst Management Technol, Taichung, Taiwan; [Fan, Hsueh-Liang] Natl Chengchi Univ, Inst Technol &amp; Innovat Management, Taipei, Taiwan</t>
  </si>
  <si>
    <t>National Chengchi University; National Chengchi University; Feng Chia University; National Chengchi University</t>
  </si>
  <si>
    <t>Hsu, MLA (corresponding author), Natl Chengchi Univ, Grad Inst Early Childhood Educ, Taipei, Taiwan.</t>
  </si>
  <si>
    <t>bmalah@nccu.edu.tw; samuel.hou@gmail.com; sam.fan@gmail.com</t>
  </si>
  <si>
    <t>CREATIVE EDUCATION FOUNDATION INC</t>
  </si>
  <si>
    <t>HADLEY</t>
  </si>
  <si>
    <t>289 BAY RD, HADLEY, MA 01035 USA</t>
  </si>
  <si>
    <t>859HB</t>
  </si>
  <si>
    <t>WOS:000297866400002</t>
  </si>
  <si>
    <t>Wang, XH; Fang, YL; Qureshi, I; Janssen, O</t>
  </si>
  <si>
    <t>Wang, Xiao-Hua (Frank); Fang, Yulin; Qureshi, Israr; Janssen, Onne</t>
  </si>
  <si>
    <t>Understanding employee innovative behavior: Integrating the social network and leader-member exchange perspectives</t>
  </si>
  <si>
    <t>innovative behavior; social network; leader-member exchange</t>
  </si>
  <si>
    <t>WEAK-TIES; FAIRNESS PERCEPTIONS; JOB-PERFORMANCE; POLITICAL SKILL; CREATIVITY; MULTILEVEL; WORK; KNOWLEDGE; MODEL; IMPLEMENTATION</t>
  </si>
  <si>
    <t>By integrating social network theory and leader-member exchange (LMX) theory, we explore the effects of three types of social relationships on employee innovative behavior: weak ties outside the group, LMX, and strong ties within the group. The results from a sample in a high-tech firm showed that LMX fully mediated the positive relationship between out-group weak ties and innovative behavior. Furthermore, within-group strong ties negatively moderated the second stage of this indirect relationship, such that LMX was positively and significantly related to innovative behavior only when the number of within-group strong ties was low. The theoretical and practical implications of these findings are discussed. Copyright (c) 2015 John Wiley &amp; Sons, Ltd.</t>
  </si>
  <si>
    <t>[Wang, Xiao-Hua (Frank)] Renmin Univ China, Sch Business, Dept Org &amp; HR, Beijing 100872, Peoples R China; [Fang, Yulin] City Univ Hong Kong, Dept Informat Syst, Coll Business, Hong Kong, Peoples R China; [Qureshi, Israr] Hong Kong Polytech Univ, Fac Business, Dept Management &amp; Mkt, Hong Kong, Peoples R China; [Janssen, Onne] Univ Groningen, Dept Human Resource Management &amp; Org Behav, Groningen, Netherlands</t>
  </si>
  <si>
    <t>Renmin University of China; City University of Hong Kong; Hong Kong Polytechnic University; University of Groningen</t>
  </si>
  <si>
    <t>Wang, XH (corresponding author), Renmin Univ China, Sch Business, Dept Org &amp; HR, Beijing 100872, Peoples R China.</t>
  </si>
  <si>
    <t>wangxiaohua@rbs.org.cn</t>
  </si>
  <si>
    <t>Wang, Frank/GQQ-9575-2022</t>
  </si>
  <si>
    <t>Wang, Frank/0000-0001-8444-9478; Qureshi, Israr/0000-0002-5263-0587</t>
  </si>
  <si>
    <t>National Science Foundation of China [71271181, 71472179]</t>
  </si>
  <si>
    <t>National Science Foundation of China(National Natural Science Foundation of China (NSFC))</t>
  </si>
  <si>
    <t>The work described in this article was partially supported by grant from National Science Foundation of China (71271181 &amp; 71472179).</t>
  </si>
  <si>
    <t>10.1002/job.1994</t>
  </si>
  <si>
    <t>CG1SX</t>
  </si>
  <si>
    <t>WOS:000353055400005</t>
  </si>
  <si>
    <t>Zhang, Y; Wang, JR; Xue, YJ; Yang, J</t>
  </si>
  <si>
    <t>Zhang, Yu; Wang, Juanru; Xue, Yajiong; Yang, Jin</t>
  </si>
  <si>
    <t>Impact of environmental regulations on green technological innovative behavior: An empirical study in China</t>
  </si>
  <si>
    <t>JOURNAL OF CLEANER PRODUCTION</t>
  </si>
  <si>
    <t>Environmental regulation; Green technological innovation; End-of-pipe technology; Cleaner process; Green product</t>
  </si>
  <si>
    <t>COMPETITIVE ADVANTAGE; POLICY INSTRUMENTS; POLLUTION-CONTROL; MEDIATING ROLE; PERFORMANCE; MANAGEMENT; INDUSTRY; TAIWAN; ENERGY</t>
  </si>
  <si>
    <t>Green technological innovative behavior has attracted a great deal of attention due to the growing concern about the degradation of natural resources and environmental pollution in China. Drawing on the theory of planned behavior, this study investigates the impact of environmental regulations on green technological innovative behavior via the mediation of green technological innovative intention. Environmental regulations are divided into command-and-control environmental regulation and market-based incentive environmental regulation, and green technological innovative behavior is classified into end-of-pipe technological innovative behavior, cleaner process innovative behavior and green product innovative behavior. Data were gathered from 298 high-end manufacturing firms in China, and analyzed by hierarchical regression analysis. The empirical results reveal that command-and-control environmental regulation and market-based incentive environmental regulation can promote green technological innovative intention and enhance green technological innovative behavior. Both command-and-control environmental regulation and market-based incentive environmental regulation have positive impact on green technological innovative intention, and also have different positive effects on end-of-pipe technological innovative behavior, cleaner process innovative behavior and green product innovative behavior. Green technological innovative intention positively affects end-of-pipe technological innovative behavior, cleaner process innovative behavior and green product innovative behavior. Besides, green technological innovative intention plays different mediation roles in the relationship between environmental regulations and green technological innovative behavior. It does not mediate the relationship between command-and-control environmental regulation and end-of-pipe technological innovative behavior. However, it plays a full mediation role in the relationship between command-and-control environmental regulation and the other two types of green technological innovative behavior. Moreover, it partially mediates the link between market-based incentive environmental regulation and each type of green technological innovative behavior. This study not only promotes the integration of the theory of planned behavior with green technological innovation, but also enriches and deepens the incomplete regulation phenomenon and Porter hypothesis. (C) 2018 Elsevier Ltd. All rights reserved.</t>
  </si>
  <si>
    <t>[Zhang, Yu; Wang, Juanru] Northwestern Polytech Univ, Sch Management, Xian 710072, Shaanxi, Peoples R China; [Xue, Yajiong] East Carolina Univ, Coll Business, Greenville, NC 27858 USA; [Yang, Jin] Northwestern Polytech Univ, Sch Humanities Econ &amp; Law, Xian 710072, Shaanxi, Peoples R China</t>
  </si>
  <si>
    <t>Northwestern Polytechnical University; University of North Carolina; East Carolina University; Northwestern Polytechnical University</t>
  </si>
  <si>
    <t>Wang, JR (corresponding author), Northwestern Polytech Univ, Sch Management, Xian 710072, Shaanxi, Peoples R China.</t>
  </si>
  <si>
    <t>yuzhangcq@163.com; wjuanru@nwpu.edu.cn; xuey@ecu.edu; jinyang@nwpu.edu.cn</t>
  </si>
  <si>
    <t>WANG, Juanru/B-4306-2017</t>
  </si>
  <si>
    <t>WANG, Juanru/0000-0002-4732-6644</t>
  </si>
  <si>
    <t>National Natural Scientific Foundation, People's Republic of China [71371154, 71673221]; Shaanxi University Humanities and Social Science Talent Plan, People's Republic of China [39[2014]]</t>
  </si>
  <si>
    <t>National Natural Scientific Foundation, People's Republic of China; Shaanxi University Humanities and Social Science Talent Plan, People's Republic of China</t>
  </si>
  <si>
    <t>Our thanks go to the editor and the anonymous referees. This work was supported by the National Natural Scientific Foundation (No.71371154, No.71673221), and Shaanxi University Humanities and Social Science Talent Plan (No. 39[2014]), People's Republic of China.</t>
  </si>
  <si>
    <t>0959-6526</t>
  </si>
  <si>
    <t>1879-1786</t>
  </si>
  <si>
    <t>J CLEAN PROD</t>
  </si>
  <si>
    <t>J. Clean Prod.</t>
  </si>
  <si>
    <t>JUL 1</t>
  </si>
  <si>
    <t>10.1016/j.jclepro.2018.04.013</t>
  </si>
  <si>
    <t>Green &amp; Sustainable Science &amp; Technology; Engineering, Environmental; Environmental Sciences</t>
  </si>
  <si>
    <t>Science &amp; Technology - Other Topics; Engineering; Environmental Sciences &amp; Ecology</t>
  </si>
  <si>
    <t>GF4MR</t>
  </si>
  <si>
    <t>WOS:000431937500069</t>
  </si>
  <si>
    <t>Roper, S</t>
  </si>
  <si>
    <t>Product innovation and small business growth: A comparison of the strategies of German, UK and Irish companies</t>
  </si>
  <si>
    <t>SMALL BUSINESS ECONOMICS</t>
  </si>
  <si>
    <t>SMALL FIRMS; PERFORMANCE</t>
  </si>
  <si>
    <t>Innovation in small firms is important both because of its direct contribution to the competitiveness of those companies but also because of the potential for the small firm sector to act as the initiator, catalyst and medium for wider technical change. In this paper data from the Product Development Survey, a new international survey of firms' product innovation activity and strategy, is used to examine the relationship between product innovation and growth in German, Irish and U.K. small firms. In each country the output of innovative small firms was found to grow significantly faster than that of non-innovators. In Germany, output growth was achieved by a product innovation strategy which sharply increased productivity but reduced employment. U.K. and Irish small firms adopted a more balanced approach with increases in both employment and productivity associated with innovative behaviour. Comparison of the organisation of product innovation indicated that German small firms adopted a less market-oriented, less risky, and more formally organised approach than their U.K. and Irish counterparts. The revealed characteristics of U.K. and Irish small firms suggested that they may be the most effective initiators and catalysts for wider technological change. The larger proportion of German small firms which were innovating, however, suggested that the German small firm sector may be the more effective technology transfer medium.</t>
  </si>
  <si>
    <t>Roper, S (corresponding author), QUEENS UNIV BELFAST,NO IRELAND ECON RES CTR,46-48 UNIV RD,BELFAST,ANTRIM,NORTH IRELAND.</t>
  </si>
  <si>
    <t>roper, stephen/P-1088-2016</t>
  </si>
  <si>
    <t>roper, stephen/0000-0002-9702-8696</t>
  </si>
  <si>
    <t>KLUWER ACADEMIC PUBL</t>
  </si>
  <si>
    <t>DORDRECHT</t>
  </si>
  <si>
    <t>SPUIBOULEVARD 50, PO BOX 17, 3300 AA DORDRECHT, NETHERLANDS</t>
  </si>
  <si>
    <t>0921-898X</t>
  </si>
  <si>
    <t>SMALL BUS ECON</t>
  </si>
  <si>
    <t>Small Bus. Econ. Group</t>
  </si>
  <si>
    <t>10.1023/A:1007963604397</t>
  </si>
  <si>
    <t>Business; Economics; Management</t>
  </si>
  <si>
    <t>YD411</t>
  </si>
  <si>
    <t>WOS:A1997YD41100006</t>
  </si>
  <si>
    <t>Karwowski, M; Lebuda, I; Wisniewska, E; Gralewski, J</t>
  </si>
  <si>
    <t>Karwowski, Maciej; Lebuda, Izabela; Wisniewska, Ewa; Gralewski, Jacek</t>
  </si>
  <si>
    <t>Big Five Personality Traits as the Predictors of Creative Self-Efficacy and Creative Personal Identity: Does Gender Matter?</t>
  </si>
  <si>
    <t>creative self-efficacy; creative personal identity; personality; gender differences</t>
  </si>
  <si>
    <t>POTENTIAL ANTECEDENTS; INNOVATIVE BEHAVIOR; INTELLIGENCE; PERFORMANCE; ACHIEVEMENT; RELIABILITY; INVENTORY; OPENNESS; OPTIMISM; BELIEFS</t>
  </si>
  <si>
    <t>The aim of this study was to examine the relation of the Big Five personality factors to two self-concept variables of growing importance in creativity literature: creative self-efficacy (CSE) and creative personal identity (CPI). The analysis, conducted on a large (N=2674, 49.6% women) and varied-in-age (15-59years old) nationwide sample of Poles, using the structural equation model, demonstrated that personality factors are responsible for 23% of CSE and 21% of CPI variances. CSE and CPI were associated with all five personality dimensions: positively with Openness to Experience, Extraversion and Conscientiousness, negatively with Neuroticism and Agreeableness. The separate analyses conducted on men and women showed the differences among the predictors of CSE and CPI. Although Openness to Experience, Conscientiousness, and Neuroticism predicted CSE among both men and women, Extraversion was positively and Agreeableness negatively related to women's CSE. Conscientiousness was positively related to CPI only among men, and Agreeableness was negatively related to it only among women. Extraversion, Neuroticism, and Openness predicted CPI in the same manner among men and women.</t>
  </si>
  <si>
    <t>[Karwowski, Maciej; Lebuda, Izabela; Wisniewska, Ewa; Gralewski, Jacek] Acad Special Educ, PL-02353 Warsaw, Poland</t>
  </si>
  <si>
    <t>The Maria Grzegorzewska University</t>
  </si>
  <si>
    <t>Karwowski, M (corresponding author), Acad Special Educ, Creat Educ Lab, 40 Szczesliwicka St, PL-02353 Warsaw, Poland.</t>
  </si>
  <si>
    <t>maciek.karwowski@gmail.com</t>
  </si>
  <si>
    <t>Karwowski, Maciej/S-4042-2019</t>
  </si>
  <si>
    <t>Karwowski, Maciej/0000-0001-6974-1673; Gralewski, Jacek/0000-0002-5089-7755; Lebuda, Izabela/0000-0002-4715-1928</t>
  </si>
  <si>
    <t>10.1002/jocb.32</t>
  </si>
  <si>
    <t>237JI</t>
  </si>
  <si>
    <t>WOS:000325865300003</t>
  </si>
  <si>
    <t>Bygballe, LE; Ingemansson, M</t>
  </si>
  <si>
    <t>Bygballe, Lena E.; Ingemansson, Malena</t>
  </si>
  <si>
    <t>The logic of innovation in construction</t>
  </si>
  <si>
    <t>INDUSTRIAL MARKETING MANAGEMENT</t>
  </si>
  <si>
    <t>Innovation logic; Construction; Network perspective; Explore; Exploit</t>
  </si>
  <si>
    <t>SUPPLY CHAINS; EXPLORATION; EXPLOITATION; MANAGEMENT; PATTERNS; FIRMS</t>
  </si>
  <si>
    <t>The paper investigates the logic of innovation in construction by addressing four questions: What is actually being renewed in construction? How is it being done? Who is involved? and Why do or do not the companies innovate? The paper draws on a combination of an industrial network perspective and the exploration-exploitation dichotomy to analyze data from a study of innovation in the Norwegian and Swedish construction industries. The findings show that construction companies are increasingly working more systematically to turn project-level ideas into company-wide knowledge. This indicates an innovation logic that is oriented towards exploitation of new combinations through the internal network. The companies are also increasingly concerned with establishing closer connections to customers and users, which have traditionally been weak. This has led to an orientation towards exploitation through the external network, at least on the customer side. In turn, this may lead to more innovative behavior and renewal in the industry as a whole. However, it requires that not only the customer relationships, but also the relationships on the supply side must change. Companies in the construction industry should be conscious about their innovation logic, in terms of whether they base their innovation behavior on a biased orientation towards exploitation or exploration or towards the internal or external network. A balance is needed. (C) 2014 Elsevier Inc. All rights reserved.</t>
  </si>
  <si>
    <t>[Bygballe, Lena E.] BI Norwegian Business Sch, Ctr Construct Ind, N-0442 Oslo, Norway; [Ingemansson, Malena] Uppsala Univ, Ctr Sci &amp; Technol Studies, SE-75120 Uppsala, Sweden</t>
  </si>
  <si>
    <t>BI Norwegian Business School; Uppsala University</t>
  </si>
  <si>
    <t>Ingemansson, M (corresponding author), Uppsala Univ, Ctr Sci &amp; Technol Studies, SE-75120 Uppsala, Sweden.</t>
  </si>
  <si>
    <t>lena.bygballe@bi.no; malena.ingemansson@sts.uu.se</t>
  </si>
  <si>
    <t>0019-8501</t>
  </si>
  <si>
    <t>1873-2062</t>
  </si>
  <si>
    <t>IND MARKET MANAG</t>
  </si>
  <si>
    <t>Ind. Mark. Manage.</t>
  </si>
  <si>
    <t>10.1016/j.indmarman.2013.12.019</t>
  </si>
  <si>
    <t>AJ4QQ</t>
  </si>
  <si>
    <t>WOS:000337661300017</t>
  </si>
  <si>
    <t>Taylor, AH; Elliffe, D; Hunt, GR; Gray, RD</t>
  </si>
  <si>
    <t>Taylor, Alex H.; Elliffe, Douglas; Hunt, Gavin R.; Gray, Russell D.</t>
  </si>
  <si>
    <t>Complex cognition and behavioural innovation in New Caledonian crows</t>
  </si>
  <si>
    <t>behavioural innovation; causal reasoning; New Caledonian crows</t>
  </si>
  <si>
    <t>TOOL-USE; INTELLIGENCE; VARIABILITY; INSIGHT; OPERANT; PIGEON; SOLVE; SIZE; TASK</t>
  </si>
  <si>
    <t>Apes, corvids and parrots all show high rates of behavioural innovation in the wild. However, it is unclear whether this innovative behaviour is underpinned by cognition more complex than simple learning mechanisms. To investigate this question we presented New Caledonian crows with a novel three-stage metatool problem. The task involved three distinct stages: (i) obtaining a short stick by pulling up a string, (ii) using the short stick as a metatool to extract a long stick from a toolbox, and finally (iii) using the long stick to extract food from a hole. Crows with previous experience of the behaviours in stages 1-3 linked them into a novel sequence to solve the problem on the first trial. Crows with experience of only using string and tools to access food also successfully solved the problem. This innovative use of established behaviours in novel contexts was not based on resurgence, chaining and conditional reinforcement. Instead, the performance was consistent with the transfer of an abstract, causal rule: 'out-of-reach objects can be accessed using a tool'. This suggests that high innovation rates in the wild may reflect complex cognitive abilities that supplement basic learning mechanisms.</t>
  </si>
  <si>
    <t>[Taylor, Alex H.; Elliffe, Douglas; Hunt, Gavin R.; Gray, Russell D.] Univ Auckland, Dept Psychol, Auckland 1142, New Zealand</t>
  </si>
  <si>
    <t>University of Auckland</t>
  </si>
  <si>
    <t>Taylor, AH (corresponding author), Univ Auckland, Dept Psychol, Private Bag 92019, Auckland 1142, New Zealand.</t>
  </si>
  <si>
    <t>alexhtaylor@gmail.com; rd.gray@auckland.ac.nz</t>
  </si>
  <si>
    <t>Gray, Russell D/H-2078-2015; Elliffe, Douglas M/E-9046-2010; Taylor, Alex/HSF-3308-2023; Taylor, Alex H/D-6428-2012</t>
  </si>
  <si>
    <t>Gray, Russell D/0000-0002-9858-0191; Taylor, Alex/0000-0003-3492-7667; Elliffe, Douglas/0000-0001-9449-9540</t>
  </si>
  <si>
    <t>Cogito Foundation; Commonwealth Doctoral Scholarship; New Zealand Marsden Fund</t>
  </si>
  <si>
    <t>Cogito Foundation; Commonwealth Doctoral Scholarship; New Zealand Marsden Fund(Royal Society of New ZealandMarsden Fund (NZ))</t>
  </si>
  <si>
    <t>We thank W. Wardrobert and his family for access to their land and the Province des Iles Loyaute for permission to work on Mare. This work was supported by the Cogito Foundation and a Commonwealth Doctoral Scholarship (A. H. T.) and a grant from the New Zealand Marsden Fund (G. R. H. and R. D. G.). We are grateful to V. Ward for drawing figure 1.</t>
  </si>
  <si>
    <t>SEP 7</t>
  </si>
  <si>
    <t>10.1098/rspb.2010.0285</t>
  </si>
  <si>
    <t>631BG</t>
  </si>
  <si>
    <t>WOS:000280320900007</t>
  </si>
  <si>
    <t>Abbas, M; Raja, U</t>
  </si>
  <si>
    <t>Abbas, Muhammad; Raja, Usman</t>
  </si>
  <si>
    <t>Impact of psychological capital on innovative performance and job stress</t>
  </si>
  <si>
    <t>CANADIAN JOURNAL OF ADMINISTRATIVE SCIENCES-REVUE CANADIENNE DES SCIENCES DE L ADMINISTRATION</t>
  </si>
  <si>
    <t>psychological capital; supervisory-rated innovative performance; job stress; Pakistan</t>
  </si>
  <si>
    <t>POSITIVE ORGANIZATIONAL-BEHAVIOR; SELF-EFFICACY; CREATIVE PERFORMANCE; FAIRNESS PERCEPTIONS; OCCUPATIONAL STRESS; EMPLOYEE CREATIVITY; CONTEXTUAL FACTORS; WORK ATTITUDES; BUILD THEORY; WORKPLACE</t>
  </si>
  <si>
    <t>We investigated the impact of psychological capital (PsyCap) on supervisory-rated innovative performance and job stress. Data collected from a diverse sample (N = 237 paired responses) of employees from various organizations in Pakistan provided good support for the hypotheses. The results indicate that PsyCap is positively related to innovative job performance and negatively related to job stress. High PsyCap individuals were rated as exhibiting more innovative behaviours by their supervisors than low PsyCap individuals. Particularly, we found that high PsyCap individuals were more likely to generate, acquire support for, and implement novel ideas in their workplace. Similarly, individuals with high PsyCap reported lower levels of job stress as compared to their low PsyCap counterparts. Copyright (c) 2015 ASAC. Published by John Wiley &amp; Sons, Ltd.</t>
  </si>
  <si>
    <t>[Abbas, Muhammad] Riphah Int Univ, Islamabad, Pakistan; [Raja, Usman] Brock Univ, St Catharines, ON L2S 3A1, Canada</t>
  </si>
  <si>
    <t>Brock University</t>
  </si>
  <si>
    <t>Abbas, M (corresponding author), Riphah Int Univ, Fac Management Sci, Sect 1-14, Islamabad, Pakistan.</t>
  </si>
  <si>
    <t>pirthegreat@gmail.com</t>
  </si>
  <si>
    <t>Abbas, Muhammad/AEW-5124-2022; Wagner, Dominique/F-1115-2010; Raja, Usman/F-7674-2010</t>
  </si>
  <si>
    <t>Abbas, Muhammad/0000-0001-6250-7796; Raja, Usman/0000-0002-4409-2643</t>
  </si>
  <si>
    <t>0825-0383</t>
  </si>
  <si>
    <t>1936-4490</t>
  </si>
  <si>
    <t>CAN J ADM SCI</t>
  </si>
  <si>
    <t>Can. J. Adm. Sci.</t>
  </si>
  <si>
    <t>10.1002/cjas.1314</t>
  </si>
  <si>
    <t>CJ8EL</t>
  </si>
  <si>
    <t>WOS:000355732700007</t>
  </si>
  <si>
    <t>Montag, T; Maertz, CP; Baer, M</t>
  </si>
  <si>
    <t>Montag, Tamara; Maertz, Carl P., Jr.; Baer, Markus</t>
  </si>
  <si>
    <t>A Critical Analysis of the Workplace Creativity Criterion Space</t>
  </si>
  <si>
    <t>creativity; workplace creativity; performance; criterion; measurement</t>
  </si>
  <si>
    <t>PROBLEM-SOLVING SKILLS; ORGANIZATIONAL CITIZENSHIP BEHAVIOR; EMPLOYEE CREATIVITY; IDEA GENERATION; TRANSFORMATIONAL LEADERSHIP; INTRINSIC MOTIVATION; INNOVATIVE BEHAVIOR; JOB-PERFORMANCE; EVALUATIVE ASPECTS; TASK-PERFORMANCE</t>
  </si>
  <si>
    <t>This article outlines a criterion-oriented framework for understanding workplace creativity. Drawing from research on job performance, the authors make three important conceptual distinctions. First, they add theoretical and methodological precision to the workplace creativity literature by separating creative performance behaviors from the creative outcomes they produce. Second, they explain inconsistent findings in the extant creativity literature by distinguishing expected versus unexpected creative performance behaviors. Third, they provide an alternative approach to conceptualizing and measuring novelty and usefulness by considering them as formative dimensions of a creative outcome. These distinctions form the basis for their framework, which provides researchers with a theoretically grounded approach to measuring creativity in a more nuanced way. Finally, the authors highlight several key avenues for future research.</t>
  </si>
  <si>
    <t>[Montag, Tamara] St Louis Univ, Dept Psychol, St Louis, MO 63103 USA; [Baer, Markus] Washington Univ, St Louis, MO 63130 USA</t>
  </si>
  <si>
    <t>Saint Louis University; Washington University (WUSTL)</t>
  </si>
  <si>
    <t>Montag, T (corresponding author), St Louis Univ, Dept Psychol, 221 N Grand Blvd, St Louis, MO 63103 USA.</t>
  </si>
  <si>
    <t>tamara.montag@gmail.com</t>
  </si>
  <si>
    <t>10.1177/0149206312441835</t>
  </si>
  <si>
    <t>949VI</t>
  </si>
  <si>
    <t>WOS:000304603800012</t>
  </si>
  <si>
    <t>Kim, MS; Koo, DW</t>
  </si>
  <si>
    <t>Kim, Min-Seong; Koo, Dong-Woo</t>
  </si>
  <si>
    <t>Linking LMX, engagement, innovative behavior, and job performance in hotel employees</t>
  </si>
  <si>
    <t>INTERNATIONAL JOURNAL OF CONTEMPORARY HOSPITALITY MANAGEMENT</t>
  </si>
  <si>
    <t>Job performance; Employee engagement; Innovative behavior; LMX</t>
  </si>
  <si>
    <t>LEADER-MEMBER EXCHANGE; ORGANIZATIONAL JUSTICE; WORK; PERCEPTIONS; COMMITMENT; RESOURCES; STRESSORS; VARIABLES; TURNOVER; DEMANDS</t>
  </si>
  <si>
    <t>Purpose - The concept of leader-member exchange (LMX) is well accepted in the service industry. This study examines how the quality of LMX helps hotels to achieve desirable outcomes, such as innovative behavior and job performance. The model was developed based on the LMX theory, and considers the relationship among the quality of LMX, employee engagement, innovative behavior and job performance. Design/methodology/approach - The model was tested on employees of hotels in South Korea using a survey method. Data were analyzed using frequency, reliability, confirmatory factor, correlation and structural equation modeling analyses. Findings - LMX significantly influenced job engagement and innovative behavior but did not significantly affect organization engagement. Job engagement significantly affected organization engagement and innovative behavior but did not significantly influence job performance. Organization engagement significantly influenced job performance but did not significantly affect innovative behavior. Job performance was significantly influenced by innovative behavior. Practical implications - The findings of this study suggest that an immediate leader plays a critical role in fostering engagement, behavior and performance. Originality/value - The current study is the first to use the LMX theory to develop and test a research model that accounts for the antecedents and desired outcomes (i.e. innovative behavior and job performance) of two types of employee engagement in the hotel context.</t>
  </si>
  <si>
    <t>[Kim, Min-Seong] Univ Florida, Dept Tourism Recreat &amp; Sport Management, Gainesville, FL 32611 USA; [Koo, Dong-Woo] Kangwon Tourism Coll, Dept Casino, Taebaek Si, South Korea</t>
  </si>
  <si>
    <t>State University System of Florida; University of Florida</t>
  </si>
  <si>
    <t>Kim, MS (corresponding author), Univ Florida, Dept Tourism Recreat &amp; Sport Management, Gainesville, FL 32611 USA.</t>
  </si>
  <si>
    <t>minseong@ufl.edu</t>
  </si>
  <si>
    <t>Kim, Minseong/ABA-3512-2021</t>
  </si>
  <si>
    <t>Kim, Minseong/0000-0001-9148-8061</t>
  </si>
  <si>
    <t>0959-6119</t>
  </si>
  <si>
    <t>1757-1049</t>
  </si>
  <si>
    <t>INT J CONTEMP HOSP M</t>
  </si>
  <si>
    <t>Int. J. Contemp. Hosp. Manag.</t>
  </si>
  <si>
    <t>10.1108/IJCHM-06-2016-0319</t>
  </si>
  <si>
    <t>Hospitality, Leisure, Sport &amp; Tourism; Management</t>
  </si>
  <si>
    <t>Social Sciences - Other Topics; Business &amp; Economics</t>
  </si>
  <si>
    <t>FV3UB</t>
  </si>
  <si>
    <t>WOS:000424494100004</t>
  </si>
  <si>
    <t>Perks, H; Gruber, T; Edvardsson, B</t>
  </si>
  <si>
    <t>Perks, Helen; Gruber, Thorsten; Edvardsson, Bo</t>
  </si>
  <si>
    <t>Co-creation in Radical Service Innovation: A Systematic Analysis of Microlevel Processes</t>
  </si>
  <si>
    <t>DOMINANT LOGIC; NETWORK; EXCHANGE; USERS</t>
  </si>
  <si>
    <t>This empirical paper presents the results of a detailed case-study investigation of co-creation in radical service innovation. The rationale for the paper is that detailed interventions must be tracked to offer a realistic account of how co-creation occurs. This provides a strong empirical contribution to the emerging body of scholars developing the co-creation paradigm, predominantly characterized by conceptual advances in service-dominant logic. Our focus is on radical service innovation, which is disruptive in the sector. The overall aim of the paper is to unravel the nature of microlevel processes of co-creation in radical service innovation. The study adopts sequential analysis to examine co-creation. Patterns of sequences of actions and interactions associated with 40 incremental developments, involving multiple actors, are investigated. These co-created innovative developments underpin the emergence of a radical telematics-based motor insurance service. The findings suggest that the co-creation path is not simple or uni-faceted, and the paper unravels the nature of complex patterns of activities and interactions, Our in-depth systematic analysis illuminates a combination approach with two main patterns of sequences: one dominated by ad-hoc and enduring independent innovation activities by network actors and one dominated by lead-firm innovation and interaction activity. The findings advance knowledge of the way co-creation occurs in radical service innovation. The study results suggest that managerial attention be placed to, first, finding ways to induce independent innovative behavior from network partners and, second, to the development of interaction mechanisms to foster sharing and visualization of such innovation advances.</t>
  </si>
  <si>
    <t>[Perks, Helen; Gruber, Thorsten; Edvardsson, Bo] Univ Manchester, Manchester Business Sch, Manchester M15 6PB, Lancs, England; [Perks, Helen] PA Consulting Grp, London, England; [Edvardsson, Bo] Karlstad Univ, Karlstad, Sweden; [Edvardsson, Bo] Norwegian Sch Econ NHH, Bergen, Norway; [Edvardsson, Bo] Arizona State Univ, Ctr Serv Leadership, Tempe, AZ 85287 USA; [Edvardsson, Bo] Natl Univ Singapore, Hanken In Helsinki, Finland; [Edvardsson, Bo] Natl Tsing Hua Univ, Hsinchu, Taiwan; [Edvardsson, Bo] Int Business Sch Serv Management, Hamburg, Germany</t>
  </si>
  <si>
    <t>N8 Research Partnership; RLUK- Research Libraries UK; University of Manchester; Karlstad University; Norwegian School of Economics (NHH); Arizona State University; Arizona State University-Tempe; National University of Singapore; National Tsing Hua University</t>
  </si>
  <si>
    <t>Perks, H (corresponding author), Univ Manchester, Manchester Business Sch, Booth St W,MBS W, Manchester M15 6PB, Lancs, England.</t>
  </si>
  <si>
    <t>h.perks@manchester.ac.uk</t>
  </si>
  <si>
    <t>Gruber, Thorsten/C-3445-2013</t>
  </si>
  <si>
    <t>Gruber, Thorsten/0000-0002-1234-5503; Perks, Helen/0000-0002-9432-6022; Edvardsson, Bo/0000-0003-2705-0836</t>
  </si>
  <si>
    <t>1540-5885</t>
  </si>
  <si>
    <t>10.1111/j.1540-5885.2012.00971.x</t>
  </si>
  <si>
    <t>026IF</t>
  </si>
  <si>
    <t>WOS:000310267800004</t>
  </si>
  <si>
    <t>Khazanchi, S; Masterson, SS</t>
  </si>
  <si>
    <t>Khazanchi, Shalini; Masterson, Suzanne S.</t>
  </si>
  <si>
    <t>Who and what is fair matters: A multi-foci social exchange model of creativity</t>
  </si>
  <si>
    <t>PERCEIVED ORGANIZATIONAL SUPPORT; LEADER-MEMBER EXCHANGE; CITIZENSHIP BEHAVIOR; EMPLOYEE CREATIVITY; INNOVATIVE BEHAVIOR; INFLUENCE TACTICS; JUSTICE; WORK; TRUST; OUTCOMES</t>
  </si>
  <si>
    <t>To better understand the role of fairness in creativity, we developed and tested a multi-foci social exchange model of creativity. Specifically, we examined the effect of both the organization and supervisor as distinct sources of interpersonal and informational justice types on creativity through the mediating mechanisms of trust and social exchange relationships. The data were collected from 205 employees and their supervisors at a large chemical engineering plant in India. Structural equation modeling was used to test the model. Results show that both interpersonal and informational justice types influence creativity via different mechanisms but both justice types were not equally important for employee creativity. Copyright (C) 2010 John Wiley &amp; Sons, Ltd.</t>
  </si>
  <si>
    <t>[Khazanchi, Shalini] Rochester Inst Technol, Saunders Coll Business, Rochester, NY 14623 USA; [Masterson, Suzanne S.] Univ Cincinnati, Coll Business, Cincinnati, OH 45221 USA</t>
  </si>
  <si>
    <t>Rochester Institute of Technology; University System of Ohio; University of Cincinnati</t>
  </si>
  <si>
    <t>Khazanchi, S (corresponding author), Rochester Inst Technol, Saunders Coll Business, Rochester, NY 14623 USA.</t>
  </si>
  <si>
    <t>skhazanchi@saunders.rit.edu</t>
  </si>
  <si>
    <t>Masterson, Suzanne/ABF-9091-2020</t>
  </si>
  <si>
    <t>Masterson, Suzanne/0000-0002-7284-0493</t>
  </si>
  <si>
    <t>10.1002/job.682</t>
  </si>
  <si>
    <t>707MK</t>
  </si>
  <si>
    <t>WOS:000286290500006</t>
  </si>
  <si>
    <t>LAO, RC</t>
  </si>
  <si>
    <t>INTERNAL-EXTERNAL CONTROL AND COMPETENT AND INNOVATIVE BEHAVIOR AMONG NEGRO COLLEGE STUDENTS</t>
  </si>
  <si>
    <t>JOURNAL OF PERSONALITY AND SOCIAL PSYCHOLOGY</t>
  </si>
  <si>
    <t>750 FIRST ST NE, WASHINGTON, DC 20002-4242</t>
  </si>
  <si>
    <t>0022-3514</t>
  </si>
  <si>
    <t>J PERS SOC PSYCHOL</t>
  </si>
  <si>
    <t>J. Pers. Soc. Psychol.</t>
  </si>
  <si>
    <t>&amp;</t>
  </si>
  <si>
    <t>10.1037/h0028890</t>
  </si>
  <si>
    <t>Social Science Citation Index (SSCI); Science Citation Index Expanded (SCI-EXPANDED)</t>
  </si>
  <si>
    <t>F7383</t>
  </si>
  <si>
    <t>WOS:A1970F738300010</t>
  </si>
  <si>
    <t>Bednall, TC; Sanders, K; Runhaar, P</t>
  </si>
  <si>
    <t>Bednall, Timothy C.; Sanders, Karin; Runhaar, Piety</t>
  </si>
  <si>
    <t>Stimulating Informal Learning Activities Through Perceptions of Performance Appraisal Quality and Human Resource Management System Strength: A Two-Wave Study</t>
  </si>
  <si>
    <t>ACADEMY OF MANAGEMENT LEARNING &amp; EDUCATION</t>
  </si>
  <si>
    <t>FIRM PERFORMANCE; EMPLOYEE PERCEPTIONS; WORK PRACTICES; HR PRACTICES; FEEDBACK; ORGANIZATIONS; METAANALYSIS; IMPACT; MODEL; PARTICIPATION</t>
  </si>
  <si>
    <t>Employees' participation in informal learning activities benefits their workplace performance, and ultimately their long-term career development. While research has identified several individual-and organizational-level factors that promote participation, to date, the role of human resource management (HRM) in facilitating informal learning activities is not well understood. We investigate the effects of perceptions of performance appraisal quality and HRM system strength on three informal learning activities: reflection on daily activities, knowledge sharing with colleagues, and innovative behavior. Using a sample of 238 employees from 54 work teams, we examine over a year changes in levels of participation in the informal learning activities. Performance appraisal quality was found to be positively associated with increased participation in each activity over time, and HRM system strength positively moderated these relationships. Implications of the findings for educational institutions and other organizations are discussed.</t>
  </si>
  <si>
    <t>[Bednall, Timothy C.; Sanders, Karin] Univ New S Wales, Australian Sch Business, Sch Management, Sydney, NSW, Australia; [Runhaar, Piety] Wageningen Univ, Grp Educ &amp; Competence Studies, NL-6700 AP Wageningen, Netherlands</t>
  </si>
  <si>
    <t>University of New South Wales Sydney; Wageningen University &amp; Research</t>
  </si>
  <si>
    <t>Bednall, TC (corresponding author), Univ New S Wales, Australian Sch Business, Sch Management, Sydney, NSW, Australia.</t>
  </si>
  <si>
    <t>Bednall, Timothy/E-3850-2013</t>
  </si>
  <si>
    <t>Bednall, Timothy/0000-0001-7385-8751</t>
  </si>
  <si>
    <t>1537-260X</t>
  </si>
  <si>
    <t>ACAD MANAG LEARN EDU</t>
  </si>
  <si>
    <t>Acad. Manag. Learn. Educ.</t>
  </si>
  <si>
    <t>MAR 1</t>
  </si>
  <si>
    <t>10.5465/amle.2012.0162</t>
  </si>
  <si>
    <t>Education &amp; Educational Research; Management</t>
  </si>
  <si>
    <t>Education &amp; Educational Research; Business &amp; Economics</t>
  </si>
  <si>
    <t>AN8LR</t>
  </si>
  <si>
    <t>WOS:000340856200004</t>
  </si>
  <si>
    <t>Chiaburu, DS; Lorinkova, NM; Van Dyne, L</t>
  </si>
  <si>
    <t>Chiaburu, Dan S.; Lorinkova, Natalia M.; Van Dyne, Linn</t>
  </si>
  <si>
    <t>Employees' Social Context and Change-Oriented Citizenship: A Meta-Analysis of Leader, Coworker, and Organizational Influences</t>
  </si>
  <si>
    <t>GROUP &amp; ORGANIZATION MANAGEMENT</t>
  </si>
  <si>
    <t>change-oriented citizenship; organizational citizenship behaviors (OCBs); coworker support; organizational support; leader support; meta-analysis</t>
  </si>
  <si>
    <t>PSYCHOLOGICAL CONTRACT BREACH; EXTRA-ROLE BEHAVIORS; VOICE BEHAVIOR; MEDIATING ROLE; TRANSFORMATIONAL LEADERSHIP; PROACTIVE BEHAVIOR; FAIRNESS PERCEPTIONS; INNOVATIVE BEHAVIOR; PUBLICATION BIAS; MEMBER EXCHANGE</t>
  </si>
  <si>
    <t>Change-oriented citizenship depends on support received from employees' social context. Meta-analytic tests based on 131 independent samples and 38,409 employees confirmed positive relationships between leader, coworker, and organizational support and change-oriented citizenship, even after accounting for employees' attitudes and intentions (i.e., job satisfaction, organizational commitment, and intention to quit). Moderator analyses indicated that specific coworker and organizational support had stronger relationships with change-oriented citizenship than generic support. In contrast, specific and generic leader support were equally important predictors of change-oriented citizenship.</t>
  </si>
  <si>
    <t>[Chiaburu, Dan S.] Texas A&amp;M Univ, Mays Business Sch, College Stn, TX 77843 USA; [Lorinkova, Natalia M.] Wayne State Univ, Management &amp; IS Dept, Sch Business Adm, Detroit, MI USA; [Van Dyne, Linn] Michigan State Univ, E Lansing, MI 48824 USA</t>
  </si>
  <si>
    <t>Texas A&amp;M University System; Texas A&amp;M University College Station; Mays Business School; Wayne State University; Michigan State University</t>
  </si>
  <si>
    <t>Chiaburu, DS (corresponding author), Texas A&amp;M Univ, Dept Management, Mays Business Sch, 483 Wehner, College Stn, TX 77843 USA.</t>
  </si>
  <si>
    <t>dchiaburu@mays.tamu.edu</t>
  </si>
  <si>
    <t>Lorinkova, Natalia/AAB-6728-2020</t>
  </si>
  <si>
    <t>1059-6011</t>
  </si>
  <si>
    <t>1552-3993</t>
  </si>
  <si>
    <t>GROUP ORGAN MANAGE</t>
  </si>
  <si>
    <t>Group Organ. Manage.</t>
  </si>
  <si>
    <t>10.1177/1059601113476736</t>
  </si>
  <si>
    <t>159EG</t>
  </si>
  <si>
    <t>WOS:000320026600001</t>
  </si>
  <si>
    <t>KOTABE, M</t>
  </si>
  <si>
    <t>CORPORATE PRODUCT POLICY AND INNOVATIVE BEHAVIOR OF EUROPEAN AND JAPANESE MULTINATIONALS - AN EMPIRICAL-INVESTIGATION</t>
  </si>
  <si>
    <t>JOURNAL OF MARKETING</t>
  </si>
  <si>
    <t>KOTABE, M (corresponding author), UNIV MISSOURI,SCH BUSINESS,COLUMBIA,MO 65201, USA.</t>
  </si>
  <si>
    <t>KOTABE, MASAAKI/ABC-6239-2020</t>
  </si>
  <si>
    <t>AMER MARKETING ASSN</t>
  </si>
  <si>
    <t>CHICAGO</t>
  </si>
  <si>
    <t>250 SOUTH WACKER DRIVE SUITE 200, CHICAGO, IL 60606-5819</t>
  </si>
  <si>
    <t>0022-2429</t>
  </si>
  <si>
    <t>J MARKETING</t>
  </si>
  <si>
    <t>J. Mark.</t>
  </si>
  <si>
    <t>10.2307/1251867</t>
  </si>
  <si>
    <t>CZ144</t>
  </si>
  <si>
    <t>WOS:A1990CZ14400002</t>
  </si>
  <si>
    <t>Bani-Melhem, S; Zeffane, R; Albaity, M</t>
  </si>
  <si>
    <t>Bani-Melhem, Shaker; Zeffane, Rachid; Albaity, Mohamed</t>
  </si>
  <si>
    <t>Determinants of employees' innovative behavior</t>
  </si>
  <si>
    <t>United Arab Emirates; Job stress; Innovative behavior; Coworker support; Hotels sector; Workplace happiness</t>
  </si>
  <si>
    <t>PERCEIVED ORGANIZATIONAL SUPPORT; INDIVIDUAL INNOVATION; POSITIVE EMOTIONS; COWORKER SUPPORT; WORK BEHAVIOR; SERVICE; PERFORMANCE; CREATIVITY; HAPPINESS; STRESS</t>
  </si>
  <si>
    <t>Purpose - This study aims to examine the impact of workplace happiness, coworker support and job stress on employee innovative behavior. The mediating effects of coworker support and job stress are also explored. Design/methodology/approach - The study uses survey data from 328 employees from different departments in four-and five-star hotels in the United Arab Emirates (UAE). Based on an extensive literature review, five main hypotheses were formulated and explored. These were tested through multiple regression analysis using the SPSS Process Macro plugin. Findings - Workplace happiness is the most significant determinant of employees' innovative behavior, while coworker support plays a significant mediating role. Contrary to the study hypothesis and assumption, job stress alone is not a significant mediator; it only plays a mediating role when combined with coworker support. Research limitations/implications - The sample is from a single sector (hotels) in a single country. Future research would benefit from examining the above relationships in other sectors (such as health and education) in the UAE. It could also explore the validity of these relationships in the tourism/hotels sector of other countries in the Middle East and Gulf regions. Originality/value - Few studies have attempted to investigate factors that may promote or impede innovative behavior among employees in the hotels sector, particularly in the UAE. The data, model and findings of this study address this gap and add to the current state of knowledge.</t>
  </si>
  <si>
    <t>[Bani-Melhem, Shaker; Zeffane, Rachid] Univ Sharjah, Dept Management, Sharjah, U Arab Emirates; [Albaity, Mohamed] Univ Sharjah, Coll Business Finance &amp; Econ, Sharjah, U Arab Emirates</t>
  </si>
  <si>
    <t>University of Sharjah; University of Sharjah</t>
  </si>
  <si>
    <t>Bani-Melhem, S (corresponding author), Univ Sharjah, Dept Management, Sharjah, U Arab Emirates.</t>
  </si>
  <si>
    <t>ssaleh@sharjah.ac.ae; zeffaner@sharjah.ac.ae; malbaity@sharjah.ac.ae</t>
  </si>
  <si>
    <t>ALBAITY, MOHAMED/AAZ-8010-2020</t>
  </si>
  <si>
    <t>Albaity, Mohamed/0000-0002-0805-8392; Bani Melhem, Shaker/0000-0002-6137-7691</t>
  </si>
  <si>
    <t>10.1108/IJCHM-02-2017-0079</t>
  </si>
  <si>
    <t>GE2FF</t>
  </si>
  <si>
    <t>WOS:000431030300020</t>
  </si>
  <si>
    <t>Chen, TT; Li, FL; Leung, K</t>
  </si>
  <si>
    <t>Chen, Tingting; Li, Fuli; Leung, Kwok</t>
  </si>
  <si>
    <t>When Does Supervisor Support Encourage Innovative Behavior? Opposite Moderating Effects of General Self-efficacy and Internal Locus of Control</t>
  </si>
  <si>
    <t>PERSONNEL PSYCHOLOGY</t>
  </si>
  <si>
    <t>PERCEIVED ORGANIZATIONAL SUPPORT; TRANSFORMATIONAL LEADERSHIP; CHARISMATIC LEADERSHIP; INTRINSIC MOTIVATION; EMPLOYEE CREATIVITY; CONTEXTUAL FACTORS; JOB-SATISFACTION; METHOD BIAS; WORK; PERCEPTIONS</t>
  </si>
  <si>
    <t>Previous research is inconclusive about whether supervisor support always increases employee innovative behavior. To address this inconsistency, this research explores how and when supervisor support promotes innovative behavior by examining intrinsic motivation as a mediator and employee general self-efficacy and internal locus of control as boundary conditions. Although these 2 positive self-view variables are similar in terms of their positive effects on a variety of desirable work outcomes, we draw on self-verification theory, which posits that self-confirming information draws more attention, to reason that they exhibit opposite moderating effects on the influence of supervisor support. Based on 2 samples of employees in different industries and locations in China, this moderated mediated model was supported. General self-efficacy showed an enhancement moderating effect, such that it amplified the mediated relationship between supervisor support and employee innovative behavior via intrinsic motivation. In contrast, internal locus of control showed a substitutional moderating effect, such that it weakened this mediated relationship. Theoretical and practical implications are discussed.</t>
  </si>
  <si>
    <t>[Chen, Tingting] Lingnan Univ Hong Kong, Hong Kong, Hong Kong, Peoples R China; [Li, Fuli] Xi An Jiao Tong Univ, Xian, Peoples R China; [Leung, Kwok] Chinese Univ Hong Kong, Hong Kong, Hong Kong, Peoples R China</t>
  </si>
  <si>
    <t>Lingnan University; Xi'an Jiaotong University; Chinese University of Hong Kong</t>
  </si>
  <si>
    <t>Li, FL (corresponding author), Xi An Jiao Tong Univ, Sch Management, 28 Xianning West Rd, Xian 710049, Shaanxi, Peoples R China.</t>
  </si>
  <si>
    <t>fuli@mail.xjtu.edu.cn</t>
  </si>
  <si>
    <t>Chen, Tingting/AAB-1341-2020</t>
  </si>
  <si>
    <t>Chen, Tingting/0000-0003-4467-0244</t>
  </si>
  <si>
    <t>Faculty Research Grant, Lingnan University, Hong Kong [DB13A8]; National Natural Science Foundation of China [71302145]; Youth Foundation Project of Humanities and Social Sciences of Ministry of Education in China [12YJC630087]</t>
  </si>
  <si>
    <t>Faculty Research Grant, Lingnan University, Hong Kong; National Natural Science Foundation of China(National Natural Science Foundation of China (NSFC)); Youth Foundation Project of Humanities and Social Sciences of Ministry of Education in China</t>
  </si>
  <si>
    <t>A short version of this paper has been accepted for publication in the Best Paper Proceedings of the 2014 Academy of Management Meeting. This research is partly supported by a Faculty Research Grant, Lingnan University, Hong Kong (DB13A8) awarded to Tingting Chen, and a National Natural Science Foundation of China Grant (71302145) and a Youth Foundation Project of Humanities and Social Sciences of Ministry of Education in China (12YJC630087) awarded to Fuli Li.</t>
  </si>
  <si>
    <t>0031-5826</t>
  </si>
  <si>
    <t>1744-6570</t>
  </si>
  <si>
    <t>PERS PSYCHOL</t>
  </si>
  <si>
    <t>Pers. Psychol.</t>
  </si>
  <si>
    <t>SPR</t>
  </si>
  <si>
    <t>10.1111/peps.12104</t>
  </si>
  <si>
    <t>DC3TU</t>
  </si>
  <si>
    <t>WOS:000369142500003</t>
  </si>
  <si>
    <t>Im, S; Mason, CH; Houston, MB</t>
  </si>
  <si>
    <t>Im, Subin; Mason, Charlotte H.; Houston, Mark B.</t>
  </si>
  <si>
    <t>Does innate consumer innovativeness relate to new product/service adoption behavior? The intervening role of social learning via vicarious innovativeness</t>
  </si>
  <si>
    <t>JOURNAL OF THE ACADEMY OF MARKETING SCIENCE</t>
  </si>
  <si>
    <t>consumer innovativeness; new product and service adoption behavior; word of mouth; advertising; latent variable models</t>
  </si>
  <si>
    <t>WORD-OF-MOUTH; INFORMATION; PERSONALITY; INNOVATORS; ADAPTION</t>
  </si>
  <si>
    <t>Empirical studies provide an inconsistent picture of the relationship between an innovative personality predisposition (i.e., innate consumer innovativeness [ICI]) and innovative behavior (i.e., new product adoption behavior). Such inconsistencies suggest intervening variables that may mediate the relationship have not been considered. Using data from a panel of consumers (n=296 in a cross-sectional phase, n=147 in a matched, two-phase longitudinal analysis), we find that ICI does not directly influence adoption behavior but does so indirectly through two of three components of vicarious innovativeness (modeling and engagement in word of mouth but not exposure to advertising). Furthermore, despite the evidence that consumers' decision processes differ for service versus product adoption, extant studies largely ignore the role of ICI in new service adoption. Our findings suggest that vicarious innovativeness plays a similar intervening role in service contexts. Finally, divergent operationalizations of adoption behavior (ownership, relative time of adoption) appear to perform equally well.</t>
  </si>
  <si>
    <t>Univ Missouri, Coll Business, Dept Mkt, Columbia, MO 65211 USA; San Francisco State Univ, Coll Business, Dept Mkt, San Francisco, CA 94132 USA; Univ N Carolina, Kenan Flagler Business Sch, Chapel Hill, NC 27599 USA</t>
  </si>
  <si>
    <t>University of Missouri System; University of Missouri Columbia; California State University System; San Francisco State University; University of North Carolina; University of North Carolina Chapel Hill</t>
  </si>
  <si>
    <t>Houston, MB (corresponding author), Univ Missouri, Coll Business, Dept Mkt, Cornell 339, Columbia, MO 65211 USA.</t>
  </si>
  <si>
    <t>houstonmb@missouri.edu</t>
  </si>
  <si>
    <t>ONE NEW YORK PLAZA, SUITE 4600, NEW YORK, NY, UNITED STATES</t>
  </si>
  <si>
    <t>0092-0703</t>
  </si>
  <si>
    <t>1552-7824</t>
  </si>
  <si>
    <t>J ACAD MARKET SCI</t>
  </si>
  <si>
    <t>J. Acad. Mark. Sci.</t>
  </si>
  <si>
    <t>10.1007/s11747-006-0007-z</t>
  </si>
  <si>
    <t>169VA</t>
  </si>
  <si>
    <t>WOS:000246619000006</t>
  </si>
  <si>
    <t>Herzog, P; Leker, J</t>
  </si>
  <si>
    <t>Herzog, Philipp; Leker, Jens</t>
  </si>
  <si>
    <t>Open and closed innovation - different innovation cultures for different strategies</t>
  </si>
  <si>
    <t>INTERNATIONAL JOURNAL OF TECHNOLOGY MANAGEMENT</t>
  </si>
  <si>
    <t>open innovation; closed innovation; innovation culture; corporate culture; innovation strategy; not-invented-here syndrome; NIH; management support; risk-taking; chemical industry</t>
  </si>
  <si>
    <t>RESEARCH-AND-DEVELOPMENT; PRODUCT DEVELOPMENT; ORGANIZATIONAL CULTURE; MARKET ORIENTATION; CORPORATE CULTURE; PERFORMANCE; KNOWLEDGE; TECHNOLOGY; FIRMS; MANAGEMENT</t>
  </si>
  <si>
    <t>Although strategies, processes, or the role of business models have been addressed in the open innovation literature, the people side of the equation -i.e., the underlying innovation culture - has been neglected so far. Whereas cultural requirements of open innovation have been mentioned, such as the need to overcome the not-invented-here (NIH) syndrome, there exists, to the best of our knowledge, no study that empirically examines open innovation cultures. We attempt to fill this research gap by focusing on innovation cultures within three business units (two follow a closed and one follows an open innovation approach) of a leading multinational company within the specialty chemicals industry. Employing an overall sample of 109 respondents, we focus on the cultural dimensions of NIH syndrome, risk-taking, and management support of innovative behaviour and provide first evidence of cultural differences between Open and Closed Innovation units.</t>
  </si>
  <si>
    <t>[Herzog, Philipp; Leker, Jens] Univ Munster, Dept Chem &amp; Pharm, Inst Business Adm, D-48145 Munster, Germany</t>
  </si>
  <si>
    <t>University of Munster</t>
  </si>
  <si>
    <t>Herzog, P (corresponding author), Univ Munster, Dept Chem &amp; Pharm, Inst Business Adm, Leonardo Campus 1, D-48145 Munster, Germany.</t>
  </si>
  <si>
    <t>philipp.herzog@uni-muenster.de; leker@uni-muenster.de</t>
  </si>
  <si>
    <t>INDERSCIENCE ENTERPRISES LTD</t>
  </si>
  <si>
    <t>GENEVA</t>
  </si>
  <si>
    <t>WORLD TRADE CENTER BLDG, 29 ROUTE DE PRE-BOIS, CASE POSTALE 856, CH-1215 GENEVA, SWITZERLAND</t>
  </si>
  <si>
    <t>0267-5730</t>
  </si>
  <si>
    <t>1741-5276</t>
  </si>
  <si>
    <t>INT J TECHNOL MANAGE</t>
  </si>
  <si>
    <t>Int. J. Technol. Manage.</t>
  </si>
  <si>
    <t>3-4</t>
  </si>
  <si>
    <t>10.1504/IJTM.2010.035979</t>
  </si>
  <si>
    <t>Engineering, Multidisciplinary; Management; Operations Research &amp; Management Science</t>
  </si>
  <si>
    <t>Engineering; Business &amp; Economics; Operations Research &amp; Management Science</t>
  </si>
  <si>
    <t>691PS</t>
  </si>
  <si>
    <t>WOS:000285093900006</t>
  </si>
  <si>
    <t>Simmons, SA; Wiklund, J; Levie, J</t>
  </si>
  <si>
    <t>Simmons, Sharon A.; Wiklund, Johan; Levie, Jonathan</t>
  </si>
  <si>
    <t>Stigma and business failure: implications for entrepreneurs' career choices</t>
  </si>
  <si>
    <t>Entrepreneurship; Business failure; Stigma; Serial entrepreneurship; Entrepreneur careers; Global entrepreneurship monitor</t>
  </si>
  <si>
    <t>BANKRUPTCY; LAW; STIGMATIZATION; ORGANIZATIONS; CONSEQUENCES; FOUNDERS; GROWTH; EXIT</t>
  </si>
  <si>
    <t>We use data from global entrepreneurship monitor to examine the act of entrepreneurial reentry by entrepreneurs who exit a failed business. We study reentry by mode of entry and by form of organizing. We find that, in countries where the levels of stigma and regulatory conveyance of stigma markings were at their highest, entrepreneurs who exited failed businesses were less likely to reenter into entrepreneurial activity. Our finding suggests that negative social and economic sanctions that are associated with stigma markings speak only to one side of the entrepreneurship phenomenon. On the other side, stigma can function as a stimulus for entrepreneurs to defy the illegitimacy of the failed business and to actively seek out and engage in innovative behaviors that contribute to the overall diversity of entrepreneurial activities in their country.</t>
  </si>
  <si>
    <t>[Simmons, Sharon A.] William Paterson Univ, Cotsakos Coll Business, Wayne, NJ 07470 USA; [Wiklund, Johan] Syracuse Univ, Martin J Whitman Sch Management, Syracuse, NY USA; [Wiklund, Johan] Jonkoping Univ, Jonkoping Int Business Sch, Jonkoping, Sweden; [Wiklund, Johan] Stockholm Sch Econ, S-11383 Stockholm, Sweden; [Levie, Jonathan] Univ Strathclyde, Hunter Ctr Entrepreneurship, Glasgow, Lanark, Scotland</t>
  </si>
  <si>
    <t>Syracuse University; Jonkoping University; Stockholm School of Economics; University of Strathclyde</t>
  </si>
  <si>
    <t>Simmons, SA (corresponding author), William Paterson Univ, Cotsakos Coll Business, Wayne, NJ 07470 USA.</t>
  </si>
  <si>
    <t>simmonss6@wpunj.edu; jwiklund@syr.edu; j.levie@strath.ac.uk</t>
  </si>
  <si>
    <t>Wiklund, Johan/J-3285-2017</t>
  </si>
  <si>
    <t>Wiklund, Johan/0000-0002-1105-2469; Levie, Jonathan/0000-0002-3073-8351</t>
  </si>
  <si>
    <t>ESRC [ES/K006614/1] Funding Source: UKRI; Economic and Social Research Council [ES/K006614/1] Funding Source: researchfish</t>
  </si>
  <si>
    <t>ESRC(UK Research &amp; Innovation (UKRI)Economic &amp; Social Research Council (ESRC)); Economic and Social Research Council(UK Research &amp; Innovation (UKRI)Economic &amp; Social Research Council (ESRC))</t>
  </si>
  <si>
    <t>VAN GODEWIJCKSTRAAT 30, 3311 GZ DORDRECHT, NETHERLANDS</t>
  </si>
  <si>
    <t>1573-0913</t>
  </si>
  <si>
    <t>10.1007/s11187-013-9519-3</t>
  </si>
  <si>
    <t>AB2PE</t>
  </si>
  <si>
    <t>WOS:000331633800004</t>
  </si>
  <si>
    <t>Maddi, SR; Harvey, RH; Khoshaba, DM; Lu, JL; Persico, M; Brow, M</t>
  </si>
  <si>
    <t>The personality construct of hardiness, III: Relationships with repression, innovativeness, authoritarianism, and performance</t>
  </si>
  <si>
    <t>JOURNAL OF PERSONALITY</t>
  </si>
  <si>
    <t>PHYSIOLOGICAL-RESPONSES; MENTAL-HEALTH; NEUROTICISM; APPRAISAL; VALIDITY; STRESS; HARDY</t>
  </si>
  <si>
    <t>Previous research has established hardiness as a dispositional factor in preserving and enhancing performance and health despite stressful circumstances. The present four studies continue this construct-validational process by (a) introducing a shortened version of the hardiness measure and (b) testing hypotheses concerning the relationship between hardiness and repressive coping, right-wing authoritarianism, innovative behavior, and billable hours (a measure of consulting effectiveness). Results of these studies suggest the adequate reliability and validity of the Personal Views Survey III-R, which is the shortened, 18-item measure of hardiness. Further, results support the hypothesis that the relationship of hardiness is negative with repressive coping and right-wing authoritarianism and positive with innovative behavior and billable hours. Hardiness also appears unrelated to socially desirable responding.</t>
  </si>
  <si>
    <t>Univ Calif Irvine, Dept Psychol &amp; Social Behav, Sch Social Ecol, Irvine, CA 92697 USA; Pepperdine Univ, Malibu, CA 90263 USA</t>
  </si>
  <si>
    <t>University of California System; University of California Irvine; Pepperdine University</t>
  </si>
  <si>
    <t>Maddi, SR (corresponding author), Univ Calif Irvine, Dept Psychol &amp; Social Behav, Sch Social Ecol, 3340 Social Ecol 2, Irvine, CA 92697 USA.</t>
  </si>
  <si>
    <t>srmaddi@uci.edu</t>
  </si>
  <si>
    <t>CALLISTA, audrey/AAD-8511-2022</t>
  </si>
  <si>
    <t>0022-3506</t>
  </si>
  <si>
    <t>1467-6494</t>
  </si>
  <si>
    <t>J PERS</t>
  </si>
  <si>
    <t>J. Pers.</t>
  </si>
  <si>
    <t>10.1111/j.1467-6494.2006.00385.x</t>
  </si>
  <si>
    <t>019WL</t>
  </si>
  <si>
    <t>WOS:000235867900009</t>
  </si>
  <si>
    <t>Qing, M; Asif, M; Hussain, A; Jameel, A</t>
  </si>
  <si>
    <t>Qing, Miao; Asif, Muhammad; Hussain, Abid; Jameel, Arif</t>
  </si>
  <si>
    <t>Exploring the impact of ethical leadership on job satisfaction and organizational commitment in public sector organizations: the mediating role of psychological empowerment</t>
  </si>
  <si>
    <t>REVIEW OF MANAGERIAL SCIENCE</t>
  </si>
  <si>
    <t>Ethical leadership; Employees&amp;#8217; job satisfaction; Affective commitment; Psychological empowerment; Structural equation modeling (SEM)</t>
  </si>
  <si>
    <t>TRANSFORMATIONAL LEADERSHIP; MODERATING ROLE; NORMATIVE COMMITMENT; AUTHENTIC LEADERSHIP; INNOVATIVE BEHAVIOR; SYNCRETICAL MODEL; EMPLOYEE VOICE; SELF-ESTEEM; PERFORMANCE; ANTECEDENTS</t>
  </si>
  <si>
    <t>This study aims to investigate the effect of ethical leadership on employee attitudes (affective commitment and job satisfaction) and to examine the role of psychological empowerment as a potential mediator of these relationships. In total, 467 employees in Chinese public sector completed surveys across three separate waves. Confirmatory factor analysis and structural equation modeling were used to test hypotheses. The paper found a positive relationship between ethical leadership and both employee attitudes and further reveals that psychological empowerment fully mediates the relationship between ethical leadership and affective commitment while partially mediates the relationship between ethical leadership and job satisfaction. Testing of above relationships via a mediated approach is novel and contributes to the research on ethical leadership.</t>
  </si>
  <si>
    <t>[Qing, Miao; Asif, Muhammad; Hussain, Abid; Jameel, Arif] Zhejiang Univ, Sch Publ Affairs, Zijingang Campus, Hangzhou 310058, Peoples R China</t>
  </si>
  <si>
    <t>Zhejiang University</t>
  </si>
  <si>
    <t>Asif, M (corresponding author), Zhejiang Univ, Sch Publ Affairs, Zijingang Campus, Hangzhou 310058, Peoples R China.</t>
  </si>
  <si>
    <t>mqok@163.com; asif.ma015@gmail.com; abidhusssain02@gmail.com; arifjamil24@gmail.com</t>
  </si>
  <si>
    <t>Jameel, Arif/AAX-6936-2020; Asif, Muhammad/S-2086-2018</t>
  </si>
  <si>
    <t>Asif, Muhammad/0000-0002-9037-5249; Hussain, Abid/0000-0001-5592-1446</t>
  </si>
  <si>
    <t>SPRINGER HEIDELBERG</t>
  </si>
  <si>
    <t>HEIDELBERG</t>
  </si>
  <si>
    <t>TIERGARTENSTRASSE 17, D-69121 HEIDELBERG, GERMANY</t>
  </si>
  <si>
    <t>1863-6683</t>
  </si>
  <si>
    <t>1863-6691</t>
  </si>
  <si>
    <t>REV MANAG SCI</t>
  </si>
  <si>
    <t>Rev. Manag. Sci.</t>
  </si>
  <si>
    <t>10.1007/s11846-019-00340-9</t>
  </si>
  <si>
    <t>OQ8RY</t>
  </si>
  <si>
    <t>WOS:000589044500008</t>
  </si>
  <si>
    <t>Miao, Q; Newman, A; Schwarz, G; Cooper, B</t>
  </si>
  <si>
    <t>Miao, Qing; Newman, Alexander; Schwarz, Gary; Cooper, Brian</t>
  </si>
  <si>
    <t>How Leadership and Public Service Motivation Enhance Innovative Behavior</t>
  </si>
  <si>
    <t>PUBLIC ADMINISTRATION REVIEW</t>
  </si>
  <si>
    <t>PSYCHOLOGICAL EMPOWERMENT; EMPLOYEE EMPOWERMENT; ORGANIZATIONAL COMMITMENT; SERVANT LEADERSHIP; SECTOR; PERFORMANCE; MODEL; ENTREPRENEURSHIP; DIMENSIONS; WORKPLACE</t>
  </si>
  <si>
    <t>Prior research has linked the innovative behavior of public sector employees to desirable outcomes such as improved efficiency and higher public service quality. However, questions regarding the drivers of innovative behavior among employees have received limited attention. This article employs psychological empowerment theory to examine the underlying processes by which entrepreneurial leadership and public service motivation (PSM) shape innovative behavior among civil servants. Based on three-wave data from 281 Chinese civil servants and their 59 department heads, entrepreneurial leadership is found to positively influence subordinates' innovative behavior by enhancing two dimensions of psychological empowerment: meaning and impact. Additionally, PSM was found to influence subordinates' innovative behavior by enhancing the dimensions of meaning and competence. These findings suggest that to facilitate innovative behavior among employees, public organizations should consider introducing training that encourages leaders to serve as entrepreneurial role models and recruit employees with high levels of PSM.</t>
  </si>
  <si>
    <t>[Miao, Qing] Zhejiang Univ, Sch Publ Affairs, Publ Management, Hangzhou, Zhejiang, Peoples R China; [Newman, Alexander] Deakin Univ, Management, Geelong, Vic, Australia; [Schwarz, Gary] SOAS Univ London, Publ Policy &amp; Management, London, England; [Cooper, Brian] Monash Univ, Clayton, Vic, Australia</t>
  </si>
  <si>
    <t>Zhejiang University; Deakin University; RLUK- Research Libraries UK; University of London; University of London School Oriental &amp; African Studies (SOAS); Monash University</t>
  </si>
  <si>
    <t>Miao, Q (corresponding author), Zhejiang Univ, Sch Publ Affairs, Publ Management, Hangzhou, Zhejiang, Peoples R China.</t>
  </si>
  <si>
    <t>mqok@163.com; a.newman@deakin.edu.au; gary.schwarz@soas.ac.uk; brian.cooper@monash.edu</t>
  </si>
  <si>
    <t>Schwarz, Gary/ABH-3814-2020; Miao, Qing/Q-5542-2018; Silva, Gleibson/AAA-8482-2021; Miao, Qing/Q-2468-2018; Miao, Qing/AAK-1048-2020; Newman, Alexander/AAH-7376-2020</t>
  </si>
  <si>
    <t>Silva, Gleibson/0000-0003-0945-2567; Newman, Alexander/0000-0003-1170-8947</t>
  </si>
  <si>
    <t>Natural Science Foundation of China [71672174, R17G020002]</t>
  </si>
  <si>
    <t>Natural Science Foundation of China(National Natural Science Foundation of China (NSFC))</t>
  </si>
  <si>
    <t>We would like to thank Tom Christensen, Hanna de Vries, Julian Gould-Williams, Christian Botcher Jacobsen, PAR Editor in Chief James Perry, Eva Sorensen, Montgomery Van Wart, and three anonymous reviewers for their valuable comments on earlier versions of this article. This research was funded by the Natural Science Foundation of China (No. 71672174 &amp; R17G020002).</t>
  </si>
  <si>
    <t>0033-3352</t>
  </si>
  <si>
    <t>1540-6210</t>
  </si>
  <si>
    <t>PUBLIC ADMIN REV</t>
  </si>
  <si>
    <t>Public Adm. Rev.</t>
  </si>
  <si>
    <t>JAN-FEB</t>
  </si>
  <si>
    <t>10.1111/puar.12839</t>
  </si>
  <si>
    <t>Public Administration</t>
  </si>
  <si>
    <t>FS6XN</t>
  </si>
  <si>
    <t>Green Published, hybrid, Green Accepted</t>
  </si>
  <si>
    <t>WOS:000419941800007</t>
  </si>
  <si>
    <t>Dong, Y; Liao, H; Chuang, A; Zhou, J; Campbell, EM</t>
  </si>
  <si>
    <t>Dong, Yuntao; Liao, Hui; Chuang, Aichia; Zhou, Jing; Campbell, Elizabeth M.</t>
  </si>
  <si>
    <t>Fostering Employee Service Creativity: Joint Effects of Customer Empowering Behaviors and Supervisory Empowering Leadership</t>
  </si>
  <si>
    <t>customer service; customer empowering behaviors; empowering leadership; state promotion focus; service creativity</t>
  </si>
  <si>
    <t>REGULATORY FOCUS; TRANSFORMATIONAL LEADERSHIP; SELF-EFFICACY; PSYCHOLOGICAL EMPOWERMENT; INNOVATIVE BEHAVIOR; CONTEXTUAL FACTORS; DOMINANT LOGIC; MEDIATING ROLE; SALES FORCE; PERFORMANCE</t>
  </si>
  <si>
    <t>Integrating insights from the literature on customers' central role in service and the literature on employee creativity, we offer theoretical and empirical account of how and when customer empowering behaviors can motivate employee creativity during service encounters and, subsequently, influence customer satisfaction with service experience. Using multilevel, multisource, experience sampling data from 380 hairstylists matched with 3550 customers in 118 hair salons, we found that customer empowering behaviors were positively related to employee creativity and subsequent customer satisfaction via employee state promotion focus. Results also showed that empowering behaviors from different agents function synergistically in shaping employee creativity: supervisory empowering leadership strengthened the indirect effect of customer empowering behaviors on employee creativity via state promotion focus.</t>
  </si>
  <si>
    <t>[Dong, Yuntao] Univ Connecticut, Sch Business, Storrs, CT 06269 USA; [Liao, Hui] Univ Maryland, Robert H Smith Sch Business, Baltimore, MD USA; [Chuang, Aichia] Natl Taiwan Univ, Coll Management, Taipei, Taiwan; [Zhou, Jing] Rice Univ, Jesse H Jones Grad Sch Business, Houston, TX 77251 USA; [Campbell, Elizabeth M.] Univ Minnesota, Carlson Sch Management, Minneapolis, MN 55455 USA</t>
  </si>
  <si>
    <t>University of Connecticut; University System of Maryland; University of Maryland Baltimore; National Taiwan University; Rice University; University of Minnesota System; University of Minnesota Twin Cities</t>
  </si>
  <si>
    <t>Dong, Y (corresponding author), Univ Connecticut, Sch Business, 2100 Hillside Rd,Unit 1041, Storrs, CT 06269 USA.</t>
  </si>
  <si>
    <t>yuntao.dong@business.uconn.edu</t>
  </si>
  <si>
    <t>liao, hui/GSE-5758-2022</t>
  </si>
  <si>
    <t>CHUANG, AICHIA/0000-0002-3849-219X</t>
  </si>
  <si>
    <t>10.1037/a0038969</t>
  </si>
  <si>
    <t>CR0VR</t>
  </si>
  <si>
    <t>WOS:000361042000004</t>
  </si>
  <si>
    <t>Tavassoli, S; Karlsson, C</t>
  </si>
  <si>
    <t>Tavassoli, Sam; Karlsson, Charlie</t>
  </si>
  <si>
    <t>Persistence of various types of innovation analyzed and explained</t>
  </si>
  <si>
    <t>Persistence; Innovation; Product innovations; Process innovations; Marketing innovations; Organizational innovations; State dependence; Heterogeneity; Firms; Community Innovation Survey</t>
  </si>
  <si>
    <t>TECHNOLOGICAL-INNOVATION; MANAGEMENT INNOVATION; MARKET ORIENTATION</t>
  </si>
  <si>
    <t>This paper analyzes the persistency in innovation behavior of firms. Using five waves of the Community Innovation Survey in Sweden, we have traced the innovative behavior of firms over a ten-year period, i.e., between 2002 and 2012. We distinguish between four types of innovations: process, product, marketing, and organizational innovations. First, using transition probability matrix, we found evidence of (unconditional) state dependence in all types of innovation, with product innovators having the strongest persistent behavior. Second, using a dynamic probit model, we found evidence of true state dependency among all types of innovations, except marketing innovators. Once again, the strongest persistency was found for product innovators. (C) 2015 Elsevier B.V. All rights reserved.</t>
  </si>
  <si>
    <t>[Tavassoli, Sam] Lund Univ, CIRCLE, Lund, Sweden; [Tavassoli, Sam; Karlsson, Charlie] Blekinge Inst Technol, Karlskrona, Sweden; [Karlsson, Charlie] KTH, CESIS, Stockholm, Sweden; [Karlsson, Charlie] Jonkoping Int Business Sch, Jonkoping, Sweden</t>
  </si>
  <si>
    <t>Lund University; Blekinge Institute Technology; Royal Institute of Technology; Jonkoping University</t>
  </si>
  <si>
    <t>Tavassoli, S (corresponding author), Lund Univ, CIRCLE, Lund, Sweden.</t>
  </si>
  <si>
    <t>sam.tavassoli@circle.lu.se</t>
  </si>
  <si>
    <t>Tavassoli, Sam/0000-0002-4581-736X</t>
  </si>
  <si>
    <t>10.1016/j.respol.2015.06.001</t>
  </si>
  <si>
    <t>CV9QC</t>
  </si>
  <si>
    <t>WOS:000364620700008</t>
  </si>
  <si>
    <t>Xerri, MJ; Brunetto, Y</t>
  </si>
  <si>
    <t>Xerri, Matthew J.; Brunetto, Yvonne</t>
  </si>
  <si>
    <t>Fostering innovative behaviour: the importance of employee commitment and organisational citizenship behaviour</t>
  </si>
  <si>
    <t>INTERNATIONAL JOURNAL OF HUMAN RESOURCE MANAGEMENT</t>
  </si>
  <si>
    <t>affective commitment; innovative behaviour; organisational citizenship behaviour; perceived organisational support</t>
  </si>
  <si>
    <t>JOB-SATISFACTION; FIT INDEXES; EXCHANGE; IMPACT; NURSES; EMPOWERMENT; SUPERVISOR; WORKPLACE; MODEL; TRUST</t>
  </si>
  <si>
    <t>The intention of this study is to examine nurses' organisational commitment, organisational citizenship behaviour (OCB) and innovative behaviour in the workplace. In particular, this research is framed applying social exchange theory as a lens for examining the key argument that nursing employees, who are committed to the organisation and who exhibit, will be more likely to be innovative in the workplace. A quantitative approach was applied, with a sample of 210 nursing employees from one public and two private hospitals located in Australia. The findings from a structural equation modelling analysis reported positive and statistically significant paths from affective commitment to innovative behaviour, and from OCB with an individual focus (OCBI) to innovative behaviour. The main contribution in this paper comes from new knowledge about the relationship between OCB and innovative behaviour. In addition, this study provides new research about the relationship between nursing employees' affective commitment, OCB and innovative behaviour. This research also outlines new implications for hospital management, particularly those seeking to develop an environment that fosters efficiency and effectiveness through the facilitation of OCB and innovative behaviour in the workplace.</t>
  </si>
  <si>
    <t>[Xerri, Matthew J.; Brunetto, Yvonne] So Cross Univ, Southern Cross Business Sch, Brisbane, Qld, Australia</t>
  </si>
  <si>
    <t>Southern Cross University</t>
  </si>
  <si>
    <t>Xerri, MJ (corresponding author), So Cross Univ, Southern Cross Business Sch, Brisbane, Qld, Australia.</t>
  </si>
  <si>
    <t>matt.xerri@scu.edu.au</t>
  </si>
  <si>
    <t>Brunetto, Yvonne o/P-4836-2017</t>
  </si>
  <si>
    <t>Brunetto, Yvonne o/0000-0001-7219-0817; Xerri, Matthew/0000-0002-7179-8262</t>
  </si>
  <si>
    <t>0958-5192</t>
  </si>
  <si>
    <t>1466-4399</t>
  </si>
  <si>
    <t>INT J HUM RESOUR MAN</t>
  </si>
  <si>
    <t>Int. J. Hum. Resour. Manag.</t>
  </si>
  <si>
    <t>SEP 1</t>
  </si>
  <si>
    <t>10.1080/09585192.2013.775033</t>
  </si>
  <si>
    <t>180QG</t>
  </si>
  <si>
    <t>WOS:000321609100008</t>
  </si>
  <si>
    <t>Shin, SJ; Yuan, FR; Zhou, J</t>
  </si>
  <si>
    <t>Shin, Shung Jae; Yuan, Feirong; Zhou, Jing</t>
  </si>
  <si>
    <t>When perceived innovation job requirement increases employee innovative behavior: A sensemaking perspective</t>
  </si>
  <si>
    <t>perceived innovation job requirement; innovative behavior; sensemaking</t>
  </si>
  <si>
    <t>CREATIVE SELF-EFFICACY; INDIVIDUAL INNOVATION; WORKPLACE CREATIVITY; PERFORMANCE; PERCEPTIONS; ORGANIZATIONS; DETERMINANTS; ANTECEDENTS; LEADERSHIP; REGRESSION</t>
  </si>
  <si>
    <t>Building on the sensemaking perspective, we theorize and test conditions under which perceived innovation job requirement increases employee innovative behavior. Using data consisting of 311 employee-supervisor pairs from two companies in China, we found that perceived innovation job requirement had a more positive relation with innovative behavior for employees with low intrinsic interest in innovation than for those with high intrinsic interest. In addition, this positive effect for low-intrinsic-interest employees was achieved only when these employees interpreted the job requirement as important either because performance-reward expectancy was high or because perceived value for the organization was high. We discuss the implications of these results for research and practice. Copyright (c) 2016 John Wiley &amp; Sons, Ltd.</t>
  </si>
  <si>
    <t>[Shin, Shung Jae] Portland State Univ, Sch Business Adm, Portland, OR 97207 USA; [Yuan, Feirong] Univ Texas Arlington, Dept Management, Arlington, TX 76019 USA; [Zhou, Jing] Rice Univ, Jesse H Jones Grad Sch Business, Houston, TX USA</t>
  </si>
  <si>
    <t>Portland State University; University of Texas System; University of Texas Arlington; Rice University</t>
  </si>
  <si>
    <t>Shin, SJ (corresponding author), Portland State Univ, Sch Business Adm, Portland, OR 97207 USA.</t>
  </si>
  <si>
    <t>s.shin@pdx.edu</t>
  </si>
  <si>
    <t>National Science Foundation of China [71232002]</t>
  </si>
  <si>
    <t>The first two authors contributed equally to this paper. Jing Zhou's work on this project was partially supported by the National Science Foundation of China Grant 71232002.</t>
  </si>
  <si>
    <t>10.1002/job.2111</t>
  </si>
  <si>
    <t>EI3YV</t>
  </si>
  <si>
    <t>WOS:000392430000004</t>
  </si>
  <si>
    <t>Wales, WJ; Covin, JG; Monsen, E</t>
  </si>
  <si>
    <t>Wales, William J.; Covin, Jeffrey G.; Monsen, Erik</t>
  </si>
  <si>
    <t>Entrepreneurial orientation: The necessity of a multilevel conceptualization</t>
  </si>
  <si>
    <t>STRATEGIC ENTREPRENEURSHIP JOURNAL</t>
  </si>
  <si>
    <t>entrepreneurial orientation; new entry initiatives; organizational configuration; strategic orientation; top management style</t>
  </si>
  <si>
    <t>TOP MANAGEMENT TEAM; FIRM PERFORMANCE; MODERATING ROLE; STRATEGIC ENTREPRENEURSHIP; FAMILY FIRMS; GENERATIONAL INVOLVEMENT; RESOURCE ORCHESTRATION; INNOVATIVE BEHAVIOR; MARKET ORIENTATION; DOMINANT LOGIC</t>
  </si>
  <si>
    <t>Research Summary An original and clarifying conceptualization of entrepreneurial orientation (EO) is advanced based upon three fundamental ways in which entrepreneurship can be manifest as an organizational attribute: as top management style, organizational configuration, and new entry initiatives. We leverage this conceptualization to examine the presumed state of irreconcilable differences between the Miller (1983)/Covin and Slevin (1989) and Lumpkin and Dess (1996) conceptualizations of EO. This research proposes that these conceptualizations are reconcilable when the problem is reframed to consider how EO is manifest as an organizational attribute at and across multiple levels of analysis. Like the blind men and the elephant, these works have drawn attention to different aspects of a broader phenomenon. How EO as a multifaceted organizational attribute shapes future scholarly dialogue is discussed. Managerial Summary The concept of entrepreneurial orientation (EO) has been proposed as a way of envisioning what it means for organizations to be entrepreneurial. There is more than one answer to this question. This paper describes three principal ways entrepreneurship-as-an-organizational attribute has been discussed, including illustrative examples from real-world businesses. One perspective recognizes the entrepreneurial aspect of organizations by considering top management style; a second perspective recognizes that organizations manifest entrepreneurship through a configuration of key organizational elements; and a third perspective looks to evidence of the organization's entry into new offerings and domains of operation as indicative of entrepreneurship. All three manifestations of being entrepreneurial are part of the current conversation on EO. This paper recognizes the conceptual legitimacy and practical interdependence of these distinct perspectives.</t>
  </si>
  <si>
    <t>[Wales, William J.] SUNY Albany, Dept Management, 1400 Washington Ave, Albany, NY 12222 USA; [Covin, Jeffrey G.] Indiana Univ, Kelley Sch Business, Bloomington, IN USA; [Monsen, Erik] Univ Vermont, Grossman Sch Business, Burlington, VT USA</t>
  </si>
  <si>
    <t>State University of New York (SUNY) System; State University of New York (SUNY) Albany; Indiana University System; Indiana University Bloomington; IU Kelley School of Business; University of Vermont</t>
  </si>
  <si>
    <t>Wales, WJ (corresponding author), SUNY Albany, Dept Management, 1400 Washington Ave, Albany, NY 12222 USA.</t>
  </si>
  <si>
    <t>wwales@albany.edu</t>
  </si>
  <si>
    <t>Wales, William/C-3837-2016; Monsen, Erik/B-5495-2009</t>
  </si>
  <si>
    <t>Wales, William/0000-0001-6565-6439; Monsen, Erik/0000-0003-0148-2841</t>
  </si>
  <si>
    <t>1932-4391</t>
  </si>
  <si>
    <t>1932-443X</t>
  </si>
  <si>
    <t>STRATEG ENTREP J</t>
  </si>
  <si>
    <t>Strateg. Entrep. J.</t>
  </si>
  <si>
    <t>10.1002/sej.1344</t>
  </si>
  <si>
    <t>JAN 2020</t>
  </si>
  <si>
    <t>PI1HY</t>
  </si>
  <si>
    <t>WOS:000506870400001</t>
  </si>
  <si>
    <t>Rank, J; Nelson, NE; Allen, TD; Xu, X</t>
  </si>
  <si>
    <t>Rank, Johannes; Nelson, Nicole E.; Allen, Tammy D.; Xu, Xian</t>
  </si>
  <si>
    <t>Leadership predictors of innovation and task performance: Subordinates' self-esteem and self-presentation as moderators</t>
  </si>
  <si>
    <t>19th Annual Conference of the Society-for-Industrial-and-Organizational-Psychology</t>
  </si>
  <si>
    <t>APR 02-04, 2004</t>
  </si>
  <si>
    <t>Chicago, IL</t>
  </si>
  <si>
    <t>Soc Ind &amp; Org Psychol</t>
  </si>
  <si>
    <t>RESEARCH-AND-DEVELOPMENT; TRANSACTIONAL LEADERSHIP; TRANSFORMATIONAL LEADERSHIP; ORGANIZATIONAL CITIZENSHIP; CHARISMATIC LEADERSHIP; INDIVIDUAL INNOVATION; MEMBER EXCHANGE; WORK; PERCEPTIONS; CREATIVITY</t>
  </si>
  <si>
    <t>This study examined self-related subordinate variables as moderators of relationships between supervisors' leadership behaviours (transformational as well as active-corrective transactional leadership) and subordinates' innovative behaviour and task performance. Based on behavioural plasticity and self-monitoring theory, we hypothesized that these associations would be moderated by subordinates' organization-based self-esteem and by their propensity to modify self-presentation, a major facet of the self-monitoring construct. Field survey data (N = 161) collected in research and development, marketing and human resources departments of several German companies revealed that transformational leadership positively predicted both criteria, whereas active-corrective transactional leadership negatively predicted innovation. As hypothesized, transformational leadership related more strongly and positively to innovation for subordinates low in organization-based self-esteem. When subordinates were low in self-presentation propensity, active-corrective transactional leadership was negatively, and transformational leadership was positively associated with task performance.</t>
  </si>
  <si>
    <t>[Rank, Johannes] Univ Konstanz, Dept Psychol, D-78457 Constance, Germany; [Nelson, Nicole E.] Univ Giessen, Giessen, Germany; [Allen, Tammy D.; Xu, Xian] Univ S Florida, Tampa, FL USA</t>
  </si>
  <si>
    <t>University of Konstanz; Justus Liebig University Giessen; State University System of Florida; University of South Florida</t>
  </si>
  <si>
    <t>Rank, J (corresponding author), Univ Konstanz, Dept Psychol, D-78457 Constance, Germany.</t>
  </si>
  <si>
    <t>johannes.rank@uni-konstanz.de</t>
  </si>
  <si>
    <t>Allen, Tammy/0000-0002-0667-6138</t>
  </si>
  <si>
    <t>10.1348/096317908X371547</t>
  </si>
  <si>
    <t>483FH</t>
  </si>
  <si>
    <t>WOS:000268947300001</t>
  </si>
  <si>
    <t>Goldsmith, RE</t>
  </si>
  <si>
    <t>Using the domain specific innovativeness scale to identify innovative Internet consumers</t>
  </si>
  <si>
    <t>INTERNET RESEARCH</t>
  </si>
  <si>
    <t>electronic commerce; Internet; consumer behaviour; shopping; innovation</t>
  </si>
  <si>
    <t>ONLINE</t>
  </si>
  <si>
    <t>A total of 117 student consumers participated in a longitudinal survey of their purchasing behavior for three product categories: snack foods, CDs, and skin care. The Domain Specific Innovativeness Scale was included in the survey to measure how innovative participants were with regard to buying online. It was hypothesized that an innovative predisposition toward online buying would be associated positively with more hours of Internet use, greater Internet purchasing, higher likelihood of future Internet purchase, and use of the Internet to download music. The data analyses confirmed all these hypotheses. Few respondent demographics, however, were related to any of these variables. These results demonstrate that the Domain Specific Innovativeness Scale is a reliable and valid measure of this potentially important construct; and that Internet innovativeness functions as predicted by theories of consumer innovative behavior, thereby increasing the generalizability of these theories and yielding potentially important information for e-commerce managers.</t>
  </si>
  <si>
    <t>Florida State Univ, Coll Business, Tallahassee, FL 32306 USA</t>
  </si>
  <si>
    <t>State University System of Florida; Florida State University</t>
  </si>
  <si>
    <t>Goldsmith, RE (corresponding author), Florida State Univ, Coll Business, Tallahassee, FL 32306 USA.</t>
  </si>
  <si>
    <t>Goldsmith, Ronald/A-3165-2008</t>
  </si>
  <si>
    <t>1066-2243</t>
  </si>
  <si>
    <t>INTERNET RES</t>
  </si>
  <si>
    <t>Internet Res.</t>
  </si>
  <si>
    <t>10.1108/10662240110695098</t>
  </si>
  <si>
    <t>Business; Computer Science, Information Systems; Telecommunications</t>
  </si>
  <si>
    <t>Business &amp; Economics; Computer Science; Telecommunications</t>
  </si>
  <si>
    <t>437RG</t>
  </si>
  <si>
    <t>WOS:000169006900006</t>
  </si>
  <si>
    <t>de Jong, JPJ; Parker, SK; Wennekers, S; Wu, CH</t>
  </si>
  <si>
    <t>de Jong, Jeroen P. J.; Parker, Sharon K.; Wennekers, Sander; Wu, Chia-Huei</t>
  </si>
  <si>
    <t>Entrepreneurial Behavior in Organizations: Does Job Design Matter?</t>
  </si>
  <si>
    <t>ENTREPRENEURSHIP THEORY AND PRACTICE</t>
  </si>
  <si>
    <t>INNOVATIVE BEHAVIOR; SELF-EFFICACY; WORK; ORIENTATION; SUGGESTIONS; CONSTRUCT; MODEL</t>
  </si>
  <si>
    <t>We take a first step to explore how organizational factors influence individual entrepreneurial behavior at work, by investigating the role of job design variables. Drawing on multiple-source survey data of 179 workers in a Dutch research and consultancy organization, we find that entrepreneurial behavior, indicated by innovation, proactivity, and risk-taking items, is a higher order construct. Job autonomy is positively related with entrepreneurial behavior, as well as its innovation and proactivity subdimensions, while job variety is not. This suggests that interventions related to the vertical scope of jobs will promote entrepreneurial behaviors more than horizontal job expansion.</t>
  </si>
  <si>
    <t>[de Jong, Jeroen P. J.] RSM Erasmus Univ, Strateg Management &amp; Entrepreneurship, NL-3062 PA Rotterdam, Netherlands; [Parker, Sharon K.] Univ Western Australia, UWA Business Sch, Management &amp; Organizat, Perth, WA 6009, Australia; [Wennekers, Sander] EIM Business &amp; Policy Res, NL-2701 AA Zoetermeer, Netherlands; [Wu, Chia-Huei] London Sch Econ &amp; Polit Sci, Dept Management, London WC2A 3LJ, England</t>
  </si>
  <si>
    <t>Erasmus University Rotterdam; Erasmus University Rotterdam - Excl Erasmus MC; University of Western Australia; University of London; London School Economics &amp; Political Science</t>
  </si>
  <si>
    <t>de Jong, JPJ (corresponding author), RSM Erasmus Univ, Strateg Management &amp; Entrepreneurship, Burgemeester Oudlaan 50, NL-3062 PA Rotterdam, Netherlands.</t>
  </si>
  <si>
    <t>jjong@rsm.nl; sharon.parker@uwa.edu.au; awe@eim.nl; chiahuei.wu@gmail.com</t>
  </si>
  <si>
    <t>Parker, Sharon Kaye/Y-3687-2019; Wu, Chia-huei/M-8677-2015</t>
  </si>
  <si>
    <t>Parker, Sharon Kaye/0000-0002-0978-1873; Wu, Chia-huei/0000-0002-8011-6323; de Jong, Jeroen/0000-0002-2369-5744</t>
  </si>
  <si>
    <t>1042-2587</t>
  </si>
  <si>
    <t>1540-6520</t>
  </si>
  <si>
    <t>ENTREP THEORY PRACT</t>
  </si>
  <si>
    <t>Entrep. Theory Pract.</t>
  </si>
  <si>
    <t>10.1111/etap.12084</t>
  </si>
  <si>
    <t>CM0SM</t>
  </si>
  <si>
    <t>WOS:000357388800011</t>
  </si>
  <si>
    <t>Ren, FF; Zhang, JH</t>
  </si>
  <si>
    <t>Ren, Feifei; Zhang, Jinghuan</t>
  </si>
  <si>
    <t>Job Stressors, Organizational Innovation Climate, and Employees' Innovative Behavior</t>
  </si>
  <si>
    <t>TIME PRESSURE; INDIVIDUAL INNOVATION; WORK ENVIRONMENTS; CREATIVITY; CHALLENGE; DEMANDS; RESOURCES; CONSCIENTIOUSNESS; IMPLEMENTATION; PERFORMANCE</t>
  </si>
  <si>
    <t>This study attempted to examine the influence of job stressors and organizational innovation climate on employees' innovative behavior. Data were obtained from 282 employees in 4 cities of China. Results indicated that the nature of stressors matters in predicting employees' idea generation. Specifically, stressors that employees tend to appraise as challenges were positively related to idea generation, whereas stressors that employees tend to appraise as hindrances were negatively related to idea generation. In addition, hindrance stressors moderated the relationship between organizational innovation climate and innovative behavior. The beneficial effect of organizational innovation climate on innovative behavior became weaker for idea implementation and totally disappeared for idea generation when confronting with high hindrance stressors. Implications of this study are also discussed.</t>
  </si>
  <si>
    <t>[Ren, Feifei; Zhang, Jinghuan] Shandong Normal Univ, Jinan 250014, Peoples R China</t>
  </si>
  <si>
    <t>Shandong Normal University</t>
  </si>
  <si>
    <t>Zhang, JH (corresponding author), Shandong Normal Univ, Dept Psychol, 88 East Wenhua Rd, Jinan 250014, Peoples R China.</t>
  </si>
  <si>
    <t>zhangjinghuan@sdnu.edu.com</t>
  </si>
  <si>
    <t>JAN 2</t>
  </si>
  <si>
    <t>10.1080/10400419.2015.992659</t>
  </si>
  <si>
    <t>CB5NL</t>
  </si>
  <si>
    <t>WOS:000349674300002</t>
  </si>
  <si>
    <t>Kang, JH; Matusik, JG; Kim, TY; Phillips, JM</t>
  </si>
  <si>
    <t>Kang, Jae Hyeung; Matusik, James G.; Kim, Tae-Yeol; Phillips, J. Mark</t>
  </si>
  <si>
    <t>Interactive effects of multiple organizational climates on employee innovative behavior in entrepreneurial firms: A cross-level investigation</t>
  </si>
  <si>
    <t>Entrepreneurial organizational climate; Innovative climate; Proactive climate; Risk-taking climate; Passion for inventing; Innovative behavior</t>
  </si>
  <si>
    <t>TRANSFORMATIONAL LEADERSHIP; TEAM CLIMATE; CORPORATE ENTREPRENEURSHIP; PROACTIVE PERSONALITY; BUSINESS PERFORMANCE; WORK; ORIENTATION; CREATIVITY; MEDIATION; PASSION</t>
  </si>
  <si>
    <t>Given that organizations need to manage complex situations, multiple organizational climates can coexist and these climates can jointly influence employee behaviors. However, the mechanisms through which the latter relationships operate are poorly understood. We take a multilevel approach to examine the mechanisms that link organizational innovative climate and employee innovative behavior, and the moderating effects of organizational proactive and risk-taking climates on these relationships. Using multisource data from 105 managers and 39 CEOs, we found that innovative climate was positively related to employee innovative behavior indirectly through employee passion for inventing. In addition, the relationship between innovative climate and passion for inventing became stronger as proactive climate increased, and the relationship between passion for inventing and employee innovative behavior became stronger as risk-taking climate increased. Our study contributes to entrepreneurial research by highlighting the interactive effects of multiple organizational climates on employee innovative behavior. (C) 2016 Elsevier Inc All rights reserved.</t>
  </si>
  <si>
    <t>[Kang, Jae Hyeung] Oakland Univ, Sch Business Adm, Dept Management &amp; Mkt, 2200 N Squirrel Rd, Rochester, MI 48309 USA; [Matusik, James G.] Michigan State Univ, Eli Broad Coll Business, Dept Management, 220 Trowbridge Rd, E Lansing, MI 48824 USA; [Kim, Tae-Yeol] China Europe Int Business Sch, 699 Hongfeng Rd, Shanghai, Peoples R China; [Phillips, J. Mark] Belmont Univ, Jack C Massey Coll Business, 1900 Belmont Blvd, Nashville, TN 37212 USA</t>
  </si>
  <si>
    <t>Oakland University; Michigan State University; China Europe International Business School; Belmont University</t>
  </si>
  <si>
    <t>Kang, JH (corresponding author), Oakland Univ, Sch Business Adm, Dept Management &amp; Mkt, 2200 N Squirrel Rd, Rochester, MI 48309 USA.</t>
  </si>
  <si>
    <t>kang@oakland.edu; matusik1@msu.edu; tykim@ceibs.edu; jmarkphillips@gmail.com</t>
  </si>
  <si>
    <t>Kim, Tae-Yeol/K-7380-2015; Matusik, James/AAA-1251-2021</t>
  </si>
  <si>
    <t xml:space="preserve">Kim, Tae-Yeol/0000-0001-6110-5269; </t>
  </si>
  <si>
    <t>10.1016/j.jbusvent.2016.08.002</t>
  </si>
  <si>
    <t>EB3VW</t>
  </si>
  <si>
    <t>WOS:000387298000002</t>
  </si>
  <si>
    <t>Mura, M; Lettieri, E; Radaelli, G; Spiller, N</t>
  </si>
  <si>
    <t>Mura, Matteo; Lettieri, Emanuele; Radaelli, Giovanni; Spiller, Nicola</t>
  </si>
  <si>
    <t>Promoting professionals' innovative behaviour through knowledge sharing: the moderating role of social capital</t>
  </si>
  <si>
    <t>JOURNAL OF KNOWLEDGE MANAGEMENT</t>
  </si>
  <si>
    <t>Knowledge sharing; Innovative behaviour; Social capital; Health care; Hospice and palliative care organizations; Knowledge management; Innovation</t>
  </si>
  <si>
    <t>VALUE CREATION; HEALTH-CARE; WORK; FAILURE; CONSEQUENCES; ANTECEDENTS; NETWORKS</t>
  </si>
  <si>
    <t>Purpose - This study aims to offer new insights to further the understanding on the relevance of engaging employees in knowledge sharing behaviours in order to improve current operations. Design/methodology/approach - The authors' conceptual model proposes a direct relationship between knowledge sharing behaviours and employees' innovative behaviour, moderated by employees' perception of social capital. Six hypotheses were developed from the literature, grounded and tested among 198 employees of four hospices and palliative care organisations (H&amp;PCOs) for dying cancer patients. All constructs were measured using multiple-item scales that were adapted from previous related studies. The authors' hypotheses were tested using seemingly unrelated regression (SUR). Findings - This study has three main results. First, the authors found a positive role of knowledge sharing behaviours in affecting sharers' innovativeness, in terms of propensity and capacity to promote and implement new ideas. Second, sharing best practices and sharing mistakes are two distinct drivers of individuals' innovativeness. Third, individuals' perceptions of social capital have a relevant moderation effect on the linkage between knowledge sharing and innovative behaviour. Originality/value - Past research posited that knowledge sharing is convenient for others, and possibly at the expense of sharers' best interest. The authors' research was grounded on a different notion of knowledge sharing as: a self-interested behaviour, which individuals deploy to generate a norm of reciprocity among knowledge recipients, which might create future benefits in the short term; and an improvement process, which individuals can use to translate new ideas into workable innovations.</t>
  </si>
  <si>
    <t>[Mura, Matteo] Univ Bologna, Dept Management, Bologna, Italy; [Lettieri, Emanuele; Radaelli, Giovanni; Spiller, Nicola] Politecn Milan, Dept Management Econ &amp; Ind Engn, I-20133 Milan, Italy</t>
  </si>
  <si>
    <t>University of Bologna; Polytechnic University of Milan</t>
  </si>
  <si>
    <t>Mura, M (corresponding author), Univ Bologna, Dept Management, Bologna, Italy.</t>
  </si>
  <si>
    <t>matteo.mura@unibo.it</t>
  </si>
  <si>
    <t>Mura, Matteo/K-7726-2016</t>
  </si>
  <si>
    <t>Mura, Matteo/0000-0002-5762-2228; Radaelli, Giovanni/0000-0003-1555-8122</t>
  </si>
  <si>
    <t>1367-3270</t>
  </si>
  <si>
    <t>1758-7484</t>
  </si>
  <si>
    <t>J KNOWL MANAG</t>
  </si>
  <si>
    <t>J. Knowl. Manag.</t>
  </si>
  <si>
    <t>10.1108/JKM-03-2013-0105</t>
  </si>
  <si>
    <t>Information Science &amp; Library Science; Management</t>
  </si>
  <si>
    <t>Information Science &amp; Library Science; Business &amp; Economics</t>
  </si>
  <si>
    <t>299TY</t>
  </si>
  <si>
    <t>WOS:000330419800003</t>
  </si>
  <si>
    <t>Winter, SG</t>
  </si>
  <si>
    <t>Toward a neo-Schumpeterian theory of the firm</t>
  </si>
  <si>
    <t>INDUSTRIAL AND CORPORATE CHANGE</t>
  </si>
  <si>
    <t>This article offers a sketch of what an economic theory of the firm would look like if it were founded on the thought of Joseph Schumpeter, particularly on Chapters 1 and 2 of his Theory of Economic Development. Schumpeterian analysis requires an intuitively appealing and realistic conceptualization of the distinction between routine and innovative behavior, and in particular, a conceptualization relevant to complex organizations and complex tasks. It is argued that the production theory found in mainstream economics does not meet this requirement, particularly because its characterization of productive knowledge involves an overly sharp distinction between technically possible and technically impossible-a distinction which has no counterpart in the realities of organizational knowledge. The main elements of a Schumpeterian view are described and contrasted with those in the mainstream view.</t>
  </si>
  <si>
    <t>Univ Penn, Wharton Sch, Philadelphia, PA 19104 USA</t>
  </si>
  <si>
    <t>University of Pennsylvania</t>
  </si>
  <si>
    <t>Winter, SG (corresponding author), Univ Penn, Wharton Sch, Suite 2000,SH DH,3620 Locust Walk, Philadelphia, PA 19104 USA.</t>
  </si>
  <si>
    <t>winter@wharton.upenn.edu</t>
  </si>
  <si>
    <t>Winter, Sidney/GXG-2470-2022</t>
  </si>
  <si>
    <t>0960-6491</t>
  </si>
  <si>
    <t>IND CORP CHANGE</t>
  </si>
  <si>
    <t>Ind. Corp. Change</t>
  </si>
  <si>
    <t>10.1093/icc/dtj006</t>
  </si>
  <si>
    <t>023SQ</t>
  </si>
  <si>
    <t>WOS:000236146900006</t>
  </si>
  <si>
    <t>Choi, SB; Tran, TBH; Kang, SW</t>
  </si>
  <si>
    <t>Choi, Suk Bong; Thi Bich Hanh Tran; Kang, Seung-Wan</t>
  </si>
  <si>
    <t>Inclusive Leadership and Employee Well-Being: The Mediating Role of Person-Job Fit</t>
  </si>
  <si>
    <t>JOURNAL OF HAPPINESS STUDIES</t>
  </si>
  <si>
    <t>Employee well-being; Inclusive leadership; Person-job fit; Innovative behavior</t>
  </si>
  <si>
    <t>AFFECTIVE ORGANIZATIONAL COMMITMENT; MEMBER EXCHANGE LMX; TRANSFORMATIONAL LEADERSHIP; INNOVATION IMPLEMENTATION; FAIRNESS PERCEPTIONS; CONTEXTUAL FACTORS; SELF-EFFICACY; HEALTH-CARE; WORK; CREATIVITY</t>
  </si>
  <si>
    <t>This study explored the effects of inclusive leadership on employee well-being and innovative behavior. We also investigated the mediating role of person-job fit in these relationships. We tested these effects on a sample of 207 employees in five telecommunication companies in Vietnam, using a questionnaire survey. The results showed that inclusive leadership is positively related to employee well-being and innovative behavior, and that person-job fit mediates these relationships. The study makes theoretical contributions to the literature of leadership and organizational psychology, and suggests useful managerial implications for organizations to boost employee well-being and innovative behavior. Taking a cultural approach, this study provides empirical cross-cultural validity of the effect of inclusive leadership on employee well-being.</t>
  </si>
  <si>
    <t>[Choi, Suk Bong] Korea Univ, Coll Business &amp; Econ, 2511 Sejong Ro, Sejong City 339700, South Korea; [Thi Bich Hanh Tran] Univ Ulsan, Sch Business Adm, 93 Daehak Ro, Ulsan 680749, South Korea; [Kang, Seung-Wan] Gachon Univ, Coll Business, 1342 Seongnamdaero, Seongnam City 461701, Gyeonggi Do, South Korea</t>
  </si>
  <si>
    <t>Korea University; University of Ulsan; Gachon University</t>
  </si>
  <si>
    <t>Choi, SB (corresponding author), Korea Univ, Coll Business &amp; Econ, 2511 Sejong Ro, Sejong City 339700, South Korea.</t>
  </si>
  <si>
    <t>sukchoi@korea.ac.kr; bichhanh@mail.ulsan.ac.kr; global7@gachon.ac.kr</t>
  </si>
  <si>
    <t>Kang, Seung-Wan/K-5716-2019</t>
  </si>
  <si>
    <t>Kang, Seung-Wan/0000-0002-6170-1009</t>
  </si>
  <si>
    <t>1389-4978</t>
  </si>
  <si>
    <t>1573-7780</t>
  </si>
  <si>
    <t>J HAPPINESS STUD</t>
  </si>
  <si>
    <t>J. Happiness Stud.</t>
  </si>
  <si>
    <t>10.1007/s10902-016-9801-6</t>
  </si>
  <si>
    <t>Psychology, Multidisciplinary; Social Sciences, Interdisciplinary</t>
  </si>
  <si>
    <t>Psychology; Social Sciences - Other Topics</t>
  </si>
  <si>
    <t>FM7AY</t>
  </si>
  <si>
    <t>WOS:000415221000016</t>
  </si>
  <si>
    <t>Sanders, K; Yang, HD</t>
  </si>
  <si>
    <t>Sanders, Karin; Yang, Huadong</t>
  </si>
  <si>
    <t>The HRM Process Approach: The Influence of Employees' Attribution to Explain the HRM-Performance Relationship</t>
  </si>
  <si>
    <t>HUMAN RESOURCE MANAGEMENT</t>
  </si>
  <si>
    <t>commitment; HR measurement issues; innovation; research methods and design; research design; strategic HR</t>
  </si>
  <si>
    <t>HUMAN-RESOURCE MANAGEMENT; FIRM PERFORMANCE; WORK SYSTEMS; ORGANIZATIONAL PERFORMANCE; NORMATIVE COMMITMENT; VIGNETTE TECHNIQUE; MEASUREMENT ERROR; IMPACT; CONTINUANCE; STRENGTH</t>
  </si>
  <si>
    <t>In an experimental study and a field study, we studied whether high-commitment human resource management (HC-HRM) is more effective when employees can make sense of HRM (attribute HRM to management). In the experimental study (n = 354), employees' HC-HRM perceptions were evoked by a management case, and their attributions were manipulated with an information pattern based on the three dimensions of the covariation principle of the attribution theory: distinctiveness, consistency, and consensus. As expected, the results showed that the effect of HC-HRM on affective organizational commitment was stronger when employees understood HRM as was intended by management. This experimental finding was confirmed in a cross-level field study (n = 639 employees within 42 organizations): the relationship between HC-HRM, on one hand, and affective organizational commitment and innovative behavior, on the other hand, was stronger under the condition that employees could make sense of HRM. (c) 2015 Wiley Periodicals, Inc.</t>
  </si>
  <si>
    <t>[Sanders, Karin] Univ New S Wales, Australia Business Sch, Sch Management, Org Behav &amp; Human Resource Management HRM, Sydney, NSW 2052, Australia; [Yang, Huadong] Univ Liverpool, Dept Org &amp; Management, Sch Management, Liverpool L69 3BX, Merseyside, England; [Yang, Huadong] Univ New S Wales, Sch Management, Australian Sch Busi ness, Sydney, NSW 2052, Australia</t>
  </si>
  <si>
    <t>University of New South Wales Sydney; N8 Research Partnership; RLUK- Research Libraries UK; University of Liverpool; University of New South Wales Sydney</t>
  </si>
  <si>
    <t>Sanders, K (corresponding author), Univ New S Wales, Australia Business Sch, Sch Management, Room 534C,Level 5,ASB,Kensington Campus, Sydney, NSW 2052, Australia.</t>
  </si>
  <si>
    <t>k.sanders@unsw.edu.au</t>
  </si>
  <si>
    <t>WILEY PERIODICALS, INC</t>
  </si>
  <si>
    <t>ONE MONTGOMERY ST, SUITE 1200, SAN FRANCISCO, CA 94104 USA</t>
  </si>
  <si>
    <t>0090-4848</t>
  </si>
  <si>
    <t>1099-050X</t>
  </si>
  <si>
    <t>HUM RESOUR MANAGE-US</t>
  </si>
  <si>
    <t>Hum. Resour. Manage.</t>
  </si>
  <si>
    <t>MAR-APR</t>
  </si>
  <si>
    <t>10.1002/hrm.21661</t>
  </si>
  <si>
    <t>DG8HJ</t>
  </si>
  <si>
    <t>WOS:000372323500002</t>
  </si>
  <si>
    <t>Gertler, MS; Wolfe, DA; Garkut, D</t>
  </si>
  <si>
    <t>No place like home? The embeddedness of innovation in a regional economy</t>
  </si>
  <si>
    <t>REVIEW OF INTERNATIONAL POLITICAL ECONOMY</t>
  </si>
  <si>
    <t>innovation systems; multinationals; R&amp;D; learning region; NAFTA; Canada</t>
  </si>
  <si>
    <t>RESEARCH-AND-DEVELOPMENT; INTERNATIONALIZATION; TECHNOLOGY; GLOBALIZATION; FIRMS</t>
  </si>
  <si>
    <t>Two views have come to dominate the debate on the globalization of innovation in the emerging knowledge-based economy. The first contends that globalization reduces the significance of the home base as the primary site for innovation, as firms increasingly source and apply their innovations on a global basis. The second view as articulated in the innovation systems approach contends that the institutionally embedded nature of the innovation process, which is a central feature of the new economy, demands a continued, and even accentuated, role for the local context. In this article, we seek to contribute to the debate by evaluating the extent to which the institutional context and local setting play an important role in determining the innovative behaviour of manufacturing firms in Ontario, Canada. Specifically, we compare the practices of 242 indigenous and multinational establishments with respect to in-house technological capabilities, innovative processes, external sources of innovative ideas, and the nature and the extent of innovative inter-firm practices. Our findings indicate that indigenous firms are more likely to perform innovative activities locally and are more embedded in the Ontario economy than their multinational counterparts, as they exhibit higher R&amp;D intensity, have a larger proportion of scientific, technical and managerial employees, adopt innovative inter-firm practices more extensively, and are more likely to source innovative ideas from local customers. The multinational establishments, in contrast, tend to exhibit lower R&amp;D intensity, are more reliant on their inhouse marketing units, and continue to rely on their parent companies as a primary source for innovative ideas. These results suggest that local context still exerts a significant influence on the nature and extent of innovative activities in the knowledge-based economy.</t>
  </si>
  <si>
    <t>Univ Toronto, Munk Ctr Int Studies, Dept Geog, Toronto, ON, Canada; Univ Toronto, Munk Ctr Int Studies, Program Globalizat &amp; Reg Innovat Syst, Toronto, ON, Canada</t>
  </si>
  <si>
    <t>University of Toronto; University of Toronto</t>
  </si>
  <si>
    <t>Gertler, MS (corresponding author), Univ Toronto, Munk Ctr Int Studies, Dept Geog, Toronto, ON, Canada.</t>
  </si>
  <si>
    <t>Wolfe, David A/A-9383-2008; Gertler, Meric S/E-5521-2013</t>
  </si>
  <si>
    <t>0969-2290</t>
  </si>
  <si>
    <t>1466-4526</t>
  </si>
  <si>
    <t>REV INT POLIT ECON</t>
  </si>
  <si>
    <t>Rev. Int. Polit. Econ.</t>
  </si>
  <si>
    <t>WIN</t>
  </si>
  <si>
    <t>Economics; International Relations; Political Science</t>
  </si>
  <si>
    <t>Business &amp; Economics; International Relations; Government &amp; Law</t>
  </si>
  <si>
    <t>374FU</t>
  </si>
  <si>
    <t>WOS:000165335800005</t>
  </si>
  <si>
    <t>Hughes, M; Rigtering, JPC; Covin, JG; Bouncken, RB; Kraus, S</t>
  </si>
  <si>
    <t>Hughes, Mathew; Rigtering, J. P. Coen; Covin, Jeffrey G.; Bouncken, Ricarda B.; Kraus, Sascha</t>
  </si>
  <si>
    <t>Innovative Behaviour, Trust and Perceived Workplace Performance</t>
  </si>
  <si>
    <t>BRITISH JOURNAL OF MANAGEMENT</t>
  </si>
  <si>
    <t>SOCIAL-EXCHANGE THEORY; ORGANIZATIONAL CITIZENSHIP BEHAVIORS; STRUCTURAL EQUATION MODELS; ENTREPRENEURIAL ORIENTATION; TRANSFORMATIONAL LEADERSHIP; PSYCHOLOGICAL OWNERSHIP; INTEGRATIVE MODEL; MEASUREMENT ERROR; TEAM PERFORMANCE; JOB-SATISFACTION</t>
  </si>
  <si>
    <t>Building on theories of social exchange, enactment and trust, we provide a theorization of innovative work behaviour at the individual (IB) and team (IBT) levels and explain how desirable performance returns occur for individuals and teams. We further propose that horizontal (between team members) and vertical (between teams and their supervisor) team trust moderate the relationship between IBT and team performance. The results, based on surveys conducted at two points in time in a large insurance company in the Netherlands, show that employees' IB is positively associated with perceived workplace performance at the individual and team levels and that the effects vary based on the forms of trust at play. Our findings offer important new knowledge about the consequences of entrepreneurship and innovation in the workplace and the significant role that trust plays in enabling such behaviour to promote perceived workplace performance, particularly in the vital financial services sector.</t>
  </si>
  <si>
    <t>[Hughes, Mathew] Loughborough Univ Technol, Sch Business &amp; Econ, Loughborough LE11 3TU, Leics, England; [Rigtering, J. P. Coen] Univ Utrecht, Sch Econ Strategy Org &amp; Entrepreneurship, POB 80125, NL-3508 TC Utrecht, Netherlands; [Covin, Jeffrey G.] Indiana Univ, Kelley Sch Business, 1309 East Tenth St, Bloomington, IN 47405 USA; [Bouncken, Ricarda B.] Univ Bayreuth, Lehrstuhl Strateg Management &amp; Org, Univ Str 30, D-95440 Bayreuth, Germany; [Kraus, Sascha] ESCE, Int Business Sch, 10 Rue Sextius Michel, F-75015 Paris, France</t>
  </si>
  <si>
    <t>Loughborough University; Utrecht University; Indiana University System; Indiana University Bloomington; IU Kelley School of Business; University of Bayreuth</t>
  </si>
  <si>
    <t>Hughes, M (corresponding author), Loughborough Univ Technol, Sch Business &amp; Econ, Loughborough LE11 3TU, Leics, England.</t>
  </si>
  <si>
    <t>m.hughes2@lboro.ac.uk</t>
  </si>
  <si>
    <t>Bouncken, Ricarda B/E-3507-2016</t>
  </si>
  <si>
    <t>Bouncken, Ricarda B/0000-0003-0510-7491; Kraus, Sascha/0000-0003-4886-7482; Hughes, Mathew/0000-0001-6859-558X</t>
  </si>
  <si>
    <t>1045-3172</t>
  </si>
  <si>
    <t>1467-8551</t>
  </si>
  <si>
    <t>BRIT J MANAGE</t>
  </si>
  <si>
    <t>BRIT. J. MANAGE.</t>
  </si>
  <si>
    <t>10.1111/1467-8551.12305</t>
  </si>
  <si>
    <t>GW7CY</t>
  </si>
  <si>
    <t>WOS:000447123100009</t>
  </si>
  <si>
    <t>Panaccio, A; Henderson, DJ; Liden, RC; Wayne, SJ; Cao, XY</t>
  </si>
  <si>
    <t>Panaccio, Alexandra; Henderson, David J.; Liden, Robert C.; Wayne, Sandy J.; Cao, Xiaoyun</t>
  </si>
  <si>
    <t>Toward an Understanding of When and Why Servant Leadership Accounts for Employee Extra-Role Behaviors</t>
  </si>
  <si>
    <t>Leadership; Servant leadership; Psychological contract; Organizational citizenship behaviors; Innovative behaviors; Employee dispositions</t>
  </si>
  <si>
    <t>ORGANIZATIONAL CITIZENSHIP BEHAVIOR; PSYCHOLOGICAL CONTRACT FULFILLMENT; PROCEDURAL JUSTICE CLIMATE; MEMBER EXCHANGE; TRANSFORMATIONAL LEADERSHIP; INDIVIDUALISM COLLECTIVISM; PROACTIVE PERSONALITY; EMPIRICAL-ASSESSMENT; SOCIAL-EXCHANGE; PERFORMANCE</t>
  </si>
  <si>
    <t>This research aims to contribute to servant leadership theory by applying social exchange theory to examine why and under what conditions servant leadership is related to employee extra-role behaviors. Specifically, we examined the psychological contract (PC) as a mediating mechanism between servant leader behaviors and two forms of employee extra-role behaviors: organizational citizenship behaviors (OCBs) and innovative behaviors. Furthermore, we examined employee extraversion, collectivism, and proactive personality as boundary conditions. We used time-lagged data collected from 101 supervisor-subordinate dyads. We found that PC fulfillment mediated the relationships of servant leadership with innovative behaviors, and with individual initiative and loyal boosterism forms of OCB. In addition, extraversion and collectivism moderated the relationship between servant leadership and PC fulfillment, such that it was stronger among individuals low on these characteristics. This study suggests that PC fulfillment is a key process through which servant leadership influences follower engagement in extra-role behaviors, and sheds light as to when leadership matters most in terms of motivating employee outcomes through behaviors associated with greater PC fulfillment. This is an important contribution, as servant leadership research has been largely void of clarifying the psychological mechanisms and boundary conditions through which servant leader behaviors influence follower well-being and associated outcomes.</t>
  </si>
  <si>
    <t>[Panaccio, Alexandra] Concordia Univ, Dept Management, John Molson Sch Business, Montreal, PQ H3G IM8, Canada; [Henderson, David J.] Cass Business Sch, London, England; [Liden, Robert C.; Wayne, Sandy J.; Cao, Xiaoyun] Univ Illinois, Chicago, IL USA</t>
  </si>
  <si>
    <t>Concordia University - Canada; City University London; University of Illinois System; University of Illinois Chicago; University of Illinois Chicago Hospital</t>
  </si>
  <si>
    <t>Panaccio, A (corresponding author), Concordia Univ, Dept Management, John Molson Sch Business, 1455 Maisonneuve Blvd West, Montreal, PQ H3G IM8, Canada.</t>
  </si>
  <si>
    <t>alexandra.panaccio@concordia.ca</t>
  </si>
  <si>
    <t>Silva, Gleibson/AAA-8482-2021; Liden, Robert/AAM-5366-2020</t>
  </si>
  <si>
    <t xml:space="preserve">Silva, Gleibson/0000-0003-0945-2567; </t>
  </si>
  <si>
    <t>10.1007/s10869-014-9388-z</t>
  </si>
  <si>
    <t>CX5RP</t>
  </si>
  <si>
    <t>WOS:000365760400003</t>
  </si>
  <si>
    <t>Triguero, A; Corcoles, D</t>
  </si>
  <si>
    <t>Triguero, Angela; Corcoles, David</t>
  </si>
  <si>
    <t>Understanding innovation: An analysis of persistence for Spanish manufacturing firms</t>
  </si>
  <si>
    <t>R&amp;D; Innovation; Persistence; Panel data; Firm heterogeneity; Market characteristics</t>
  </si>
  <si>
    <t>RESEARCH-AND-DEVELOPMENT; EMPIRICAL-ANALYSIS; DYNAMIC CAPABILITIES; OPPORTUNITIES; PATTERNS; SIZE; INDUSTRIES; MANAGEMENT; COUNTRIES</t>
  </si>
  <si>
    <t>This study focuses on the persistence of innovation in a panel of Spanish manufacturing firms for the period 1990-2008. In particular, we analyse whether persistence in firms' innovation activities over time is the result of previous experience, the dynamic capabilities of the firm or industry-market related characteristics. We find that R&amp;D (input) and innovation (output) are highly persistent at the firm level. After controlling for unobserved heterogeneity and initial conditions and by using a dynamic random effects probit, we conclude that there are similar determinants of persistence in R&amp;D and innovative activities. Among external/environmental factors, market dynamism affects R&amp;D and innovation. Regarding firm specific characteristics, size and outsourcing also have a positive impact on both processes. Past innovative behaviour is clearly more decisive in explaining the current state of R&amp;D and innovation activities than external factors or firm-level heterogeneity. (C) 2012 Elsevier B.V. All rights reserved.</t>
  </si>
  <si>
    <t>[Triguero, Angela; Corcoles, David] Univ Castilla La Mancha, Fac CC Econ &amp; Empresariales, Albacete 02071, Spain</t>
  </si>
  <si>
    <t>Universidad de Castilla-La Mancha</t>
  </si>
  <si>
    <t>Triguero, A (corresponding author), Univ Castilla La Mancha, Fac CC Econ &amp; Empresariales, Plaza Univ 1, Albacete 02071, Spain.</t>
  </si>
  <si>
    <t>Angela.Triguero@uclm.es; Corcoles@uclm.es</t>
  </si>
  <si>
    <t>Corcoles, David/S-5831-2016; Triguero, Angela/F-3204-2014</t>
  </si>
  <si>
    <t>Corcoles, David/0000-0003-3523-0976; Triguero, Angela/0000-0002-1126-4429</t>
  </si>
  <si>
    <t>10.1016/j.respol.2012.08.003</t>
  </si>
  <si>
    <t>111OK</t>
  </si>
  <si>
    <t>WOS:000316530400004</t>
  </si>
  <si>
    <t>Bos-Nehles, AC; Veenendaal, AAR</t>
  </si>
  <si>
    <t>Bos-Nehles, Anna. C.; Veenendaal, Andre A. R.</t>
  </si>
  <si>
    <t>Perceptions of HR practices and innovative work behavior: the moderating effect of an innovative climate</t>
  </si>
  <si>
    <t>Innovative work behavior; perceived HR practices; innovative climate</t>
  </si>
  <si>
    <t>HUMAN-RESOURCE MANAGEMENT; ORGANIZATIONAL SUPPORT; SIGNALING THEORY; PERFORMANCE; COMMITMENT; DIMENSIONS; IMPACT; EMPOWERMENT; ATTITUDES; SERVICES</t>
  </si>
  <si>
    <t>The purposes of this paper are to explore the effect that perceived HR practices have on the innovative work behavior (IWB) of individual workers and to examine the role that an innovative climate plays in this relationship. We hypothesize that employees will show greater IWB if they perceive the organizational climate to support innovation and perceive the presence of HR practices related to a compensation system, training and development, information sharing, and supportive supervision. Using data from 463 individuals in four Dutch manufacturing companies, the study tests the effects of employees' perceptions of HR practices and of an innovative climate on their innovative behaviors. We found that employee perceptions of a compensation system are negatively related to IWB, and that employee perceptions of information sharing and supportive supervision are positively related to IWB. The effect of perceptions of information sharing and training and development on IWB are moderated by an innovative climate, in such a way that information sharing has a stronger effect on IWB and training and development a weaker one. Managers can stimulate innovative behavior by investing in information sharing, supportive supervision, and establishing an innovative climate.</t>
  </si>
  <si>
    <t>[Bos-Nehles, Anna. C.; Veenendaal, Andre A. R.] Univ Twente, Sch Behav Management &amp; Social Sci, Enschede, Netherlands</t>
  </si>
  <si>
    <t>University of Twente</t>
  </si>
  <si>
    <t>Bos-Nehles, AC (corresponding author), Univ Twente, Sch Behav Management &amp; Social Sci, Enschede, Netherlands.</t>
  </si>
  <si>
    <t>a.c.nehles@utwente.nl</t>
  </si>
  <si>
    <t>OCT 11</t>
  </si>
  <si>
    <t>10.1080/09585192.2017.1380680</t>
  </si>
  <si>
    <t>IT5XB</t>
  </si>
  <si>
    <t>hybrid, Green Published</t>
  </si>
  <si>
    <t>WOS:000482940600004</t>
  </si>
  <si>
    <t>Kang, JH; Solomon, GT; Choi, DY</t>
  </si>
  <si>
    <t>Kang, Jae Hyeung; Solomon, George T.; Choi, David Y.</t>
  </si>
  <si>
    <t>CEOs' Leadership Styles and Managers' Innovative Behaviour: Investigation of Intervening Effects in an Entrepreneurial Context</t>
  </si>
  <si>
    <t>innovative behaviour; innovative climate; transactional leadership; transformational leadership</t>
  </si>
  <si>
    <t>TRANSFORMATIONAL LEADERSHIP; TRANSACTIONAL LEADERSHIP; MODERATING ROLE; PERFORMANCE; IMPACT; ORIENTATION; ENVIRONMENT; CONGRUENCE; CREATIVITY; FRAMEWORK</t>
  </si>
  <si>
    <t>We examine the relationships and intervening mechanisms between founding CEOs' transformational/transactional leadership and the innovative behaviour of managers. We develop and test our hypotheses on a sample of 39 participating CEOs and 105 managers with the use of a multilevel structural equation model. The results show that both transformational and transactional leadership on the part of the CEO relate positively to managers' innovative behaviour. We also discover that firm's innovative climate mediates the relationship between transformational leadership and innovative behaviour. However, we fail to find the mediating effect of innovative climate between transactional leadership and innovative behaviour. Our findings contribute to an improved understanding of how founding CEOs' different leadership styles affect employees' innovative behaviour in start-ups and to what extent the innovative climate influences the relationship.</t>
  </si>
  <si>
    <t>Oakland Univ, Rochester, MI 48309 USA; George Washington Univ, Washington, DC 20052 USA; Loyola Marymount Univ, Los Angeles, CA 90045 USA</t>
  </si>
  <si>
    <t>Oakland University; George Washington University; Loyola Marymount University</t>
  </si>
  <si>
    <t>Kang, JH (corresponding author), Oakland Univ, Sch Business Adm, Entrepreneurship, Dept Management &amp; Mkt, 2200 N Squirrel Rd, Rochester, MI 48309 USA.</t>
  </si>
  <si>
    <t>kang@oakland.edu</t>
  </si>
  <si>
    <t>1467-6486</t>
  </si>
  <si>
    <t>10.1111/joms.12125</t>
  </si>
  <si>
    <t>CH3TU</t>
  </si>
  <si>
    <t>WOS:000353954000004</t>
  </si>
  <si>
    <t>Wang, YL; Ellinger, AD; Wu, YCJ</t>
  </si>
  <si>
    <t>Wang, Yu-Lin; Ellinger, Andrea D.; Wu, Yen-Chun Jim</t>
  </si>
  <si>
    <t>Entrepreneurial opportunity recognition: an empirical study of R&amp;D personnel</t>
  </si>
  <si>
    <t>MANAGEMENT DECISION</t>
  </si>
  <si>
    <t>Entrepreneurship; Innovation; Performance; High technology; Taiwan; Entrepreneurialism</t>
  </si>
  <si>
    <t>CORPORATE ENTREPRENEURSHIP; INNOVATION; IDENTIFICATION; PERFORMANCE; DISCOVERY; INDUSTRY; INFORMATION; PERSPECTIVE; DIMENSIONS; KNOWLEDGE</t>
  </si>
  <si>
    <t>Purpose - The purpose of this paper is to examine the antecedents of, and the relationships between, entrepreneurial opportunity recognition, and individual-level innovation performance. Design/methodology/approach - Questionnaire data were collected from 268 senior R&amp;D project team members (response rate 64.58 percent) along with 83 R&amp;D managers who evaluated their employees' innovative behaviors in one science park in Taiwan. Findings - The results show that an individual's self-efficacy, prior knowledge, social networks, and perception about the industrial environment on opportunities all had positive effects on entrepreneurial opportunity recognition. Also entrepreneurial opportunity recognition contributed significantly to individual-level innovation performance. Research limitations/implications - The findings show that perception about the industrial environment on opportunities variable was the most important predictor among all four of the antecedents of entrepreneurial opportunity recognition. That is, individual characteristics and traits cannot fully explain the entrepreneurial opportunity recognition process. Because the data were limited to high technology industry, future studies need to validate these findings in other industries. Practical implications - Findings of this study suggest that to increase R&amp;D employee's innovation performance, it is critical for high technology firms to invest in developing and enhancing employees' entrepreneurial opportunity recognition ability. Originality/value - The process of entrepreneurial opportunity recognition has been viewed as a black box. Although the literature has explored various antecedents that influence entrepreneurial opportunity recognition, there is limited empirical research that has examined the linkage between entrepreneurial opportunity recognition and potential outcome variables.</t>
  </si>
  <si>
    <t>[Wang, Yu-Lin] Natl Cheng Kung Univ, Dept Business Adm, Tainan 70101, Taiwan; [Ellinger, Andrea D.] Univ Texas Tyler, Coll Business &amp; Technol, Tyler, TX 75799 USA; [Wu, Yen-Chun Jim] Natl Sun Yat Sen Univ, Dept Business Adm, Kaohsiung 80424, Taiwan</t>
  </si>
  <si>
    <t>National Cheng Kung University; University of Texas System; University of Texas at Tyler; National Sun Yat Sen University</t>
  </si>
  <si>
    <t>Wu, YCJ (corresponding author), Natl Sun Yat Sen Univ, Dept Business Adm, Kaohsiung 80424, Taiwan.</t>
  </si>
  <si>
    <t>ycwu@faculty.nsysu.edu.tw</t>
  </si>
  <si>
    <t>Wu, Yen-Chun Jim/F-6648-2010; Wu, Yenchun Jim/GQO-8578-2022; 吳, 書平/GXG-9770-2022</t>
  </si>
  <si>
    <t xml:space="preserve">Wu, Yen-Chun Jim/0000-0001-5479-2873; Wu, Yenchun Jim/0000-0001-5479-2873; </t>
  </si>
  <si>
    <t>0025-1747</t>
  </si>
  <si>
    <t>1758-6070</t>
  </si>
  <si>
    <t>MANAGE DECIS</t>
  </si>
  <si>
    <t>Manag. Decis.</t>
  </si>
  <si>
    <t>1-2</t>
  </si>
  <si>
    <t>10.1108/00251741311301803</t>
  </si>
  <si>
    <t>106OH</t>
  </si>
  <si>
    <t>WOS:000316153900014</t>
  </si>
  <si>
    <t>Haase, J; Hoff, EV; Hanel, PHP; Innes-Ker, A</t>
  </si>
  <si>
    <t>Haase, Jennifer; Hoff, Eva V.; Hanel, Paul H. P.; Innes-Ker, Ase</t>
  </si>
  <si>
    <t>A Meta-Analysis of the Relation between Creative Self-Efficacy and Different Creativity Measurements</t>
  </si>
  <si>
    <t>EMPLOYEE CREATIVITY; TRANSFORMATIONAL LEADERSHIP; POTENTIAL ANTECEDENTS; INDIVIDUAL CREATIVITY; INNOVATIVE BEHAVIOR; MEDIATING ROLE; ROLE-IDENTITY; P-CURVE; PERSONALITY; STUDENTS</t>
  </si>
  <si>
    <t>This meta-analysis investigated the relations between creative self-efficacy (CSE) and creativity measures and hypothesized that self-assessed questionnaires would have a different relation to self-efficacy beliefs compared to other creativity tests. The meta-analysis synthesized 60 effect sizes from 41 papers (overall N=17226). Taken as a whole, the relation between CSE and creativity measures was of medium size (r=.39). Subgroup analyses revealed that self-rated creativity correlated higher with self-efficacy (r=.53). The relation with divergent thinking (DT) tests was weak (r=.23). Creativity scales had a medium size relation (r=.43), and was stronger than the relation to verbal performance tasks (r=.27) and figural performance tasks (r=.19). In a comparison between measures focusing on the creative person (r=.47), the creative product (r=.32), and the creative process (r=.27), the person aspect was most strongly linked to CSE. Thus, the relation between self-efficacy and creativity measures is dependent on the type of measurement used, emphasizing the need for researchers to distinguish between different instrumentsnot the least between self-report scales and more objective test procedures. Conceptual implications are discussed and critique concerning the creativity concept is brought up.</t>
  </si>
  <si>
    <t>[Haase, Jennifer; Hoff, Eva V.; Innes-Ker, Ase] Lund Univ, Lund, Sweden; [Hanel, Paul H. P.] Univ Bath, Bath, Avon, England</t>
  </si>
  <si>
    <t>Lund University; University of Bath</t>
  </si>
  <si>
    <t>Hoff, EV (corresponding author), Box 213, S-22100 Lund, Sweden.</t>
  </si>
  <si>
    <t>eva.hoff@psy.lu.se</t>
  </si>
  <si>
    <t>Hanel, Paul/AAB-3287-2020; Haase, Jennifer/V-3596-2019</t>
  </si>
  <si>
    <t>Hanel, Paul/0000-0002-3225-1395; Haase, Jennifer/0000-0001-8450-7252; Hoff, Eva/0000-0001-9858-6027</t>
  </si>
  <si>
    <t>10.1080/10400419.2018.1411436</t>
  </si>
  <si>
    <t>FU2ZK</t>
  </si>
  <si>
    <t>WOS:000423718400001</t>
  </si>
  <si>
    <t>Orth, M; Volmer, J</t>
  </si>
  <si>
    <t>Orth, Maximilian; Volmer, Judith</t>
  </si>
  <si>
    <t>Daily within-person effects of job autonomy and work engagement on innovative behaviour: The cross-level moderating role of creative self-efficacy</t>
  </si>
  <si>
    <t>EUROPEAN JOURNAL OF WORK AND ORGANIZATIONAL PSYCHOLOGY</t>
  </si>
  <si>
    <t>Innovation; job autonomy; work engagement; creative self-efficacy; diary study</t>
  </si>
  <si>
    <t>ORGANIZATIONAL RESEARCH; INDIVIDUAL INNOVATION; PROACTIVE BEHAVIOR; POSITIVE EMOTIONS; MODEL; DIARY; PERFORMANCE; MOTIVATION; ANTECEDENTS; LEADERSHIP</t>
  </si>
  <si>
    <t>Adopting a dynamic within-person perspective on employee innovation, the present study investigates the role of situational job autonomy and momentary work engagement as day-level correlates of innovative behaviour. Anticipating individual differences in the strength of these intraindividual associations, we propose dispositional creative self-efficacy (CSE) to serve as a cross-level moderating influence amplifying the day-specific predictive power of autonomy and work engagement for innovative behaviour. Hierarchical linear modelling analyses of the nested data from 123 employees surveyed over 5 consecutive work days suggest that both autonomy and work engagement positively predict self-reported innovative behaviour on a daily basis. Whereas the engagement-innovation link emerges as homogenous across persons, results indicate that the daily within-person effect of autonomy on innovative behaviour varies significantly as a function of CSE such that it is greater for individuals who hold higher rather than lower CSE beliefs. Implications for future research, limitations, and practical implications are discussed.</t>
  </si>
  <si>
    <t>[Orth, Maximilian; Volmer, Judith] Univ Bamberg, Work &amp; Org Psychol Grp, Bamberg, Germany</t>
  </si>
  <si>
    <t>Otto Friedrich University Bamberg</t>
  </si>
  <si>
    <t>Volmer, J (corresponding author), Univ Bamberg, Work &amp; Org Psychol Grp, Bamberg, Germany.</t>
  </si>
  <si>
    <t>judith.volmer@uni-bamberg.de</t>
  </si>
  <si>
    <t>Volmer, Judith/J-6132-2019</t>
  </si>
  <si>
    <t>Volmer, Judith/0000-0003-4476-6537; Orth, Maximilian/0000-0002-1704-2229</t>
  </si>
  <si>
    <t>Friedrich Alexander University of Erlangen Nuremberg</t>
  </si>
  <si>
    <t>This research was supported by a research grant from the Friedrich Alexander University of Erlangen Nuremberg.</t>
  </si>
  <si>
    <t>1359-432X</t>
  </si>
  <si>
    <t>1464-0643</t>
  </si>
  <si>
    <t>EUR J WORK ORGAN PSY</t>
  </si>
  <si>
    <t>Eur. J. Work Organ. Psychol.</t>
  </si>
  <si>
    <t>10.1080/1359432X.2017.1332042</t>
  </si>
  <si>
    <t>EZ3CZ</t>
  </si>
  <si>
    <t>WOS:000404588700009</t>
  </si>
  <si>
    <t>Bertolote, JM; Fleischmann, A; De Leo, D; Phillips, MR; Botega, NJ; Vijayakumar, L; De Silva, D; Schlebusch, L; Van, TN; Sisask, M; Bolhari, J; Wasserman, D</t>
  </si>
  <si>
    <t>Bertolote, Jose M.; Fleischmann, Alexandra; De Leo, Diego; Phillips, Michael R.; Botega, Neury J.; Vijayakumar, Lakshmi; De Silva, Damani; Schlebusch, Lourens; Van Tuong Nguyen; Sisask, Merike; Bolhari, Jafar; Wasserman, Danuta</t>
  </si>
  <si>
    <t>Repetition of Suicide Attempts Data from Emergency Care Settings in Five Culturally Different Low- and Middle-Income Countries Participating in the WHO SUPRE-MISS Study</t>
  </si>
  <si>
    <t>CRISIS-THE JOURNAL OF CRISIS INTERVENTION AND SUICIDE PREVENTION</t>
  </si>
  <si>
    <t>suicide; repeated suicide attempts; brief intervention; randomized controlled trial; low- and middle-income countries</t>
  </si>
  <si>
    <t>RANDOMIZED CONTROLLED-TRIAL; DELIBERATE SELF-HARM; FOLLOW-UP; BRIEF INTERVENTION; RISK; PREVENTION; STRATEGIES; INPATIENT; IDEATION; PLANS</t>
  </si>
  <si>
    <t>Background: Attempted suicide is a strong risk factor for subsequent suicidal behaviors. Innovative strategies to deal with people who have attempted suicide are needed, particularly in resource-poor settings. Aims: To evaluate a brief educational intervention and periodic follow-up contacts (BIC) for suicide attempters in five culturally different sites (Campinas, Brazil; Chennai, India; Colombo, Sri Lanka; Karaj, Islamic Republic of Iran; and Yuncheng, People's Republic of China) as part of the WHO Multisite Intervention Study on Suicidal Behaviors (SUPRE-MISS). Methods: Among the 1,867 suicide attempters enrolled in the emergency departments of the participating sites, 922 (49.4%) were randomly assigned to a brief intervention and contact (BIC) group and 945 (50.6%) to a treatment as usual (TAU) group. Repeated suicide attempts over the 18 months following the index attempt - the secondary outcome measure presented in this paper - were identified by follow-up calls or visits. Subsequent completed suicide - the primary outcome measure has been reported in a previous paper. Results: Overall, the proportion of subjects with repeated suicide attempts was similar in the BIC and TAU groups (7.6% vs. 7.5%, chi(2) = 0.013; p = .909), but there were differences in rates across the five sites. Conclusions: This study from five low-and middle-income countries does not confirm the effectiveness of brief educational intervention and follow-up contacts for suicide attempters in reducing subsequent repetition of suicide attempts up to 18 months after discharge from emergency departments.</t>
  </si>
  <si>
    <t>[Fleischmann, Alexandra] WHO, Dept Mental Hlth &amp; Subst Abuse, CH-1211 Geneva 27, Switzerland; [Bertolote, Jose M.] UNESP, Botucatu Med Sch, Botucatu, SP, Brazil; [De Leo, Diego] Griffith Univ, WHO Collaborating Ctr Res &amp; Training Suicide Prev, Australian Inst Suicide Res &amp; Prevent, Nathan, Qld 4111, Australia; [Phillips, Michael R.] Beijing Hui Long Guan Hosp, WHO Collaborating Ctr Res &amp; Training Suicide Prev, Beijing Suicide Res &amp; Prevent Ctr, Beijing, Peoples R China; [Botega, Neury J.] Univ Estadual Campinas, FCM, Dept Psychiat, Campinas, SP, Brazil; [Vijayakumar, Lakshmi] Adyar Hosp, Dept Psychiat, Voluntary Hlth Serv, Madras, Tamil Nadu, India; [Vijayakumar, Lakshmi] SNEHA, Madras, Tamil Nadu, India; [De Silva, Damani] Univ Colombo, Fac Med, Dept Psychol Med, Colombo, Sri Lanka; [Schlebusch, Lourens] Univ KwaZulu Natal, Nelson R Mandela Sch Med, Fac Hlth Sci, Dept Behav Med,Sch Family &amp; Publ Hlth Med, Durban, South Africa; [Van Tuong Nguyen] Hanoi Med Univ, Hanoi, Vietnam; [Sisask, Merike] Estonian Ctr Behav &amp; Hlth Sci, Estonian Swedish Mental Hlth &amp; Suicidol Inst, Tallinn, Estonia; [Bolhari, Jafar] Tehran Psychiat Inst, Mental Hlth Res Ctr, Tehran, Iran; [Wasserman, Danuta] Karolinska Inst, Dept Publ Hlth Sci, Swedish Natl Prevent Suicide &amp; Mental Ill Hlth NA, WHO Collaborating Ctr Res &amp; Training Suicide Prev, Stockholm, Sweden</t>
  </si>
  <si>
    <t>World Health Organization; Universidade Estadual Paulista; Griffith University; Universidade Estadual de Campinas; University of Colombo; University of Kwazulu Natal; Hanoi Medical University; Karolinska Institutet</t>
  </si>
  <si>
    <t>Fleischmann, A (corresponding author), WHO, Dept Mental Hlth &amp; Subst Abuse, CH-1211 Geneva 27, Switzerland.</t>
  </si>
  <si>
    <t>fleischmanna@who.int</t>
  </si>
  <si>
    <t>Brådvik, Louise/I-4586-2019; Bolhari, Jafar/L-4049-2018; Phillips, Michael Robert/AAE-7585-2021</t>
  </si>
  <si>
    <t>Brådvik, Louise/0000-0002-5176-1294; Phillips, Michael Robert/0000-0002-5973-2439; Sisask, Merike/0000-0001-6821-6367; Bolhari, Jafar/0000-0001-5360-7541</t>
  </si>
  <si>
    <t>HOGREFE PUBLISHING CORP</t>
  </si>
  <si>
    <t>BOSTON</t>
  </si>
  <si>
    <t>361 NEWBURY ST, 5 FL, BOSTON, MA, UNITED STATES</t>
  </si>
  <si>
    <t>0227-5910</t>
  </si>
  <si>
    <t>2151-2396</t>
  </si>
  <si>
    <t>CRISIS</t>
  </si>
  <si>
    <t>Crisis</t>
  </si>
  <si>
    <t>10.1027/0227-5910/a000052</t>
  </si>
  <si>
    <t>Psychiatry; Psychology, Multidisciplinary</t>
  </si>
  <si>
    <t>Psychiatry; Psychology</t>
  </si>
  <si>
    <t>644GT</t>
  </si>
  <si>
    <t>WOS:000281362600004</t>
  </si>
  <si>
    <t>Kang, M; Lee, MJ</t>
  </si>
  <si>
    <t>Kang, Minhyung; Lee, Mi-Jung</t>
  </si>
  <si>
    <t>Absorptive capacity, knowledge sharing, and innovative behaviour of R&amp;D employees</t>
  </si>
  <si>
    <t>TECHNOLOGY ANALYSIS &amp; STRATEGIC MANAGEMENT</t>
  </si>
  <si>
    <t>Absorptive capacity; knowledge sharing; innovative behaviour; individual-level</t>
  </si>
  <si>
    <t>MODERATING ROLE; CREATIVITY; ANTECEDENTS; DETERMINANTS; CAPABILITY; LEADERSHIP; WORK</t>
  </si>
  <si>
    <t>This study explores the interrelationship between absorptive capacity and knowledge sharing, which are innovation-specific antecedents of innovative behaviour. By differentiating the two sub-dimensions of absorptive capacity, potential and realised absorptive capacity, previous contradictory findings on the relationship between absorptive capacity and knowledge sharing are reconciled. To verify the research hypotheses, the survey responses from 138 R&amp;D employees of a multinational electronics company are analysed through structural equation modelling. The results show that both sub-dimensions of absorptive capacity directly influence innovative behaviour. However, knowledge sharing's effect on innovative behaviour is indirect through realised absorptive capacity. The research findings imply employees' absorptive capacity and knowledge sharing among them should be nurtured simultaneously to facilitate innovative behaviour. In addition to providing employees with many opportunities to be exposed to external knowledge, internal communications among employees and exploratory trials exploiting external knowledge along with internal knowledge should be encouraged.</t>
  </si>
  <si>
    <t>[Kang, Minhyung] Konkuk Univ, Dept Adv Ind Fus, Seoul, South Korea; [Lee, Mi-Jung] LStone Inc, Investment Planning Team, Seoul, South Korea</t>
  </si>
  <si>
    <t>Konkuk University</t>
  </si>
  <si>
    <t>Kang, M (corresponding author), Konkuk Univ, Dept Adv Ind Fus, Seoul, South Korea.</t>
  </si>
  <si>
    <t>minhkang@konkuk.ac.kr</t>
  </si>
  <si>
    <t>Kang, Minhyung/HMU-9589-2023</t>
  </si>
  <si>
    <t>Kang, Minhyung/0000-0001-9208-6443</t>
  </si>
  <si>
    <t>Konkuk University [2014-A019-0096]</t>
  </si>
  <si>
    <t>This work was supported by Konkuk University [grant number 2014-A019-0096].</t>
  </si>
  <si>
    <t>0953-7325</t>
  </si>
  <si>
    <t>1465-3990</t>
  </si>
  <si>
    <t>TECHNOL ANAL STRATEG</t>
  </si>
  <si>
    <t>Technol. Anal. Strateg. Manage.</t>
  </si>
  <si>
    <t>10.1080/09537325.2016.1211265</t>
  </si>
  <si>
    <t>Management; Multidisciplinary Sciences</t>
  </si>
  <si>
    <t>Business &amp; Economics; Science &amp; Technology - Other Topics</t>
  </si>
  <si>
    <t>EI4AJ</t>
  </si>
  <si>
    <t>WOS:000392434500008</t>
  </si>
  <si>
    <t>Capitanio, F; Coppola, A; Pascucci, S</t>
  </si>
  <si>
    <t>Capitanio, Fabian; Coppola, Adele; Pascucci, Stefano</t>
  </si>
  <si>
    <t>Indications for drivers of innovation in the food sector</t>
  </si>
  <si>
    <t>BRITISH FOOD JOURNAL</t>
  </si>
  <si>
    <t>Innovation; Competitive strategy; Italy; Food industry</t>
  </si>
  <si>
    <t>RESEARCH-AND-DEVELOPMENT; FIRM SIZE; PATTERNS; BEHAVIOR; DETERMINANTS; ORGANIZATION; PERFORMANCE; NETWORKING; INDUSTRY</t>
  </si>
  <si>
    <t>Purpose - The purpose of the paper is to analyse the main dynamics of the Italian food system, focusing on the relationships between the inclination to innovate and a set of firm characteristics. Design/methodology/approach - The empirical analysis includes two steps. In the first, principal component analysis is carried out in order to identify factors that can explain the features that differentiate Italian food firms. In the second phase the role of such factors on innovation behaviour is quantified by means of a logit model. Findings - The empirical analysis showed that, in the Italian food sector, innovation adoption follows different patterns when product or process innovation is considered. In particular, the probability of introducing product innovation is influenced by the quality of human capital, the geographical context and, to a lesser extent, the age of the firm. Research limitations/implications - The research is restricted in so far as it only considers the Italian food sector. Because the data survey is representative only at the level of the manufacturing industry as a whole and excludes firms with fewer than ten employees, the analysis for the food sector can only be indicative. Practical implications - This paper provides a useful source of knowledge on the innovative behaviour of Italian firms. This highlights the need to provide for diversified intervention strategies to stimulate and enforce innovation in the Italian food sector. Originality/value - The research provides some initial insight into firm perspectives in the role of innovations to enhance firms market competitiveness.</t>
  </si>
  <si>
    <t>[Capitanio, Fabian; Coppola, Adele] Univ Naples Federico II, Dept Agr Econ &amp; Policy, Naples, Italy</t>
  </si>
  <si>
    <t>University of Naples Federico II</t>
  </si>
  <si>
    <t>Capitanio, F (corresponding author), Univ Naples Federico II, Dept Agr Econ &amp; Policy, Naples, Italy.</t>
  </si>
  <si>
    <t>capitani@unina.it</t>
  </si>
  <si>
    <t>Capitanio, Fabian/E-7806-2011; Capitanio, Fabian/J-2815-2016; Coppola, Adele/AAV-6741-2021</t>
  </si>
  <si>
    <t>Coppola, Adele/0000-0002-9201-7859; Capitanio, Fabian/0000-0003-0327-8019</t>
  </si>
  <si>
    <t>EMERALD GROUP PUBLISHING LIMITED</t>
  </si>
  <si>
    <t>0007-070X</t>
  </si>
  <si>
    <t>BRIT FOOD J</t>
  </si>
  <si>
    <t>Br. Food J.</t>
  </si>
  <si>
    <t>10.1108/00070700910980946</t>
  </si>
  <si>
    <t>Agricultural Economics &amp; Policy; Food Science &amp; Technology</t>
  </si>
  <si>
    <t>Agriculture; Food Science &amp; Technology</t>
  </si>
  <si>
    <t>517DX</t>
  </si>
  <si>
    <t>WOS:000271594500007</t>
  </si>
  <si>
    <t>Zach, FJ; Hill, TL</t>
  </si>
  <si>
    <t>Zach, Florian J.; Hill, T. L.</t>
  </si>
  <si>
    <t>Network, knowledge and relationship impacts on innovation in tourism destinations</t>
  </si>
  <si>
    <t>Destination management; Innovation; Network structure; Knowledge; Relational trust</t>
  </si>
  <si>
    <t>PRODUCT DEVELOPMENT; STRUCTURAL HOLES; TRUST; GOVERNANCE; FIRMS; COLLABORATION; ORGANIZATION; MANAGEMENT; BUSINESS; STRENGTH</t>
  </si>
  <si>
    <t>We combine network structure and firm-level relationship measures to explore the association between innovative behavior, firm position within the network of a destination, and the knowledge and relational trust characteristics of a firm's innovation-oriented relationships. We find current collaboration, shared knowledge and trust are associated with innovative behavior with partner firms, but that betweenness centrality indicates which partners are the Most prominent innovators in a population. That is, relationship-level characteristics facilitate innovation partnerships, but network structure characteristics identify the most successful innovative partners. To theory, our findings contribute to efforts in the tourism, innovation and network literature to evaluate the differential effects of knowledge stocks and flows on innovation. For practice, our results suggest that promoters of innovation within a destination should leverage brokerage positions to improve the in-flow of ideas while encouraging the firms that share knowledge and trust to collaborate to apply those ideas. (C) 2017 The Authors. Published by Elsevier Ltd.</t>
  </si>
  <si>
    <t>[Zach, Florian J.] Washington State Univ, Carson Coll Business, Sch Hospitality Business Management, 14204 NE Salmon Creek Ave, Vancouver, WA 98686 USA; [Hill, T. L.] Temple Univ, Fox Sch Business, Dept Strateg Management, 1801 Liacouras Walk, Philadelphia, PA 19122 USA</t>
  </si>
  <si>
    <t>Washington State University; Pennsylvania Commonwealth System of Higher Education (PCSHE); Temple University</t>
  </si>
  <si>
    <t>Zach, FJ (corresponding author), Washington State Univ, Carson Coll Business, Sch Hospitality Business Management, 14204 NE Salmon Creek Ave, Vancouver, WA 98686 USA.</t>
  </si>
  <si>
    <t>florian.zach@wsu.edu; tl.hill@temple.edu</t>
  </si>
  <si>
    <t>Zach, Florian/AAK-3728-2021; Zach, Florian J/GQP-2459-2022</t>
  </si>
  <si>
    <t>Zach, Florian/0000-0003-0243-4913; Zach, Florian J/0000-0003-0243-4913</t>
  </si>
  <si>
    <t>10.1016/j.tourman.2017.04.001</t>
  </si>
  <si>
    <t>EY4YR</t>
  </si>
  <si>
    <t>WOS:000403984600019</t>
  </si>
  <si>
    <t>Yu, C; Yu, TF; Yu, CC</t>
  </si>
  <si>
    <t>Yu, Chien; Yu, Tsai-Fang; Yu, Chin-Cheh</t>
  </si>
  <si>
    <t>KNOWLEDGE SHARING, ORGANIZATIONAL CLIMATE, AND INNOVATIVE BEHAVIOR: A CROSS-LEVEL ANALYSIS OF EFFECTS</t>
  </si>
  <si>
    <t>SOCIAL BEHAVIOR AND PERSONALITY</t>
  </si>
  <si>
    <t>knowledge sharing; organizational innovation climate; innovative behavior; hierarchical linear modeling</t>
  </si>
  <si>
    <t>PERFORMANCE; CITIZENSHIP; MANAGEMENT; CREATIVITY; MODEL</t>
  </si>
  <si>
    <t>We investigated individual-level knowledge sharing and innovative behavior of employees, organizational innovation climate, and interactions between the individual level of knowledge sharing and the climate of innovation within the organization as a whole. Employees of public corporations in the Taiwanese finance and insurance industries participated in this study. Hierarchical linear modeling (HLM) indicated a positive association between knowledge sharing and innovative behavior and a positive association between organizational innovation climate and innovative behavior. According to the results of HLM organizational innovation climate did not act as a moderator on the impact of knowledge sharing on innovative behavior.</t>
  </si>
  <si>
    <t>[Yu, Chien; Yu, Tsai-Fang; Yu, Chin-Cheh] Natl Taiwan Normal Univ, Taipei, Taiwan</t>
  </si>
  <si>
    <t>National Taiwan Normal University</t>
  </si>
  <si>
    <t>Yu, TF (corresponding author), 11F,8-12,Guangming 9th Rd, Zhubei City 302, Hsinchu County, Taiwan.</t>
  </si>
  <si>
    <t>fun.economics@gmail.com</t>
  </si>
  <si>
    <t>SOC PERSONALITY RES INC</t>
  </si>
  <si>
    <t>PALMERSTON NORTH</t>
  </si>
  <si>
    <t>P O BOX 1539, PALMERSTON NORTH 5330, NEW ZEALAND</t>
  </si>
  <si>
    <t>0301-2212</t>
  </si>
  <si>
    <t>1179-6391</t>
  </si>
  <si>
    <t>SOC BEHAV PERSONAL</t>
  </si>
  <si>
    <t>Soc. Behav. Pers.</t>
  </si>
  <si>
    <t>10.2224/sbp.2013.41.1.143</t>
  </si>
  <si>
    <t>105GJ</t>
  </si>
  <si>
    <t>WOS:000316054200014</t>
  </si>
  <si>
    <t>Romero, I; Martinez-Roman, JA</t>
  </si>
  <si>
    <t>Romero, Isidoro; Martinez-Roman, Juan A.</t>
  </si>
  <si>
    <t>Self-employment and innovation. Exploring the determinants of innovative behavior in small businesses</t>
  </si>
  <si>
    <t>Small business; Innovation; Process innovation; Product innovation; Self-employment; Entrepreneur</t>
  </si>
  <si>
    <t>FIRM SIZE; ENTREPRENEURS; KNOWLEDGE; OPPORTUNITY; TECHNOLOGY; EDUCATION; PATTERNS</t>
  </si>
  <si>
    <t>This paper explores the determinants of innovation in small businesses from a survey of more than 700 self-employed workers in Andalusia (Spain). Self-employed people running businesses with and without employees were included in the study and two types of innovation - product and process innovation were differentiated. The theoretical framework adopted distinguishes between three levels of factors affecting the innovative activities of the self-employed: (1) the personal characteristics of the self-employed - such as their motivations and their educational and professional background. (2) The organization characteristics such as the sector, the number of employees, the dependence on suppliers or clients and the management styles. (3) The characteristics of the external environment. Education appears as a key factor whose impact on innovation comes through two main sources: its effect on self-employed motivations and its influence on the management style of small businesses. Also previous experience as an employee and the comparative level of income in the area where the business is located are shown to be influential factors explaining innovation. Though firm size favors innovation, it does not play a determining role. Furthermore, results show significant differences between the factors explaining product and process innovation. The determinants for innovation in small businesses also vary substantially across sectors. (C) 2011 Elsevier B.V. All rights reserved.</t>
  </si>
  <si>
    <t>[Romero, Isidoro; Martinez-Roman, Juan A.] Univ Seville, Fac Econ &amp; Business Sci, Dept Appl Econ, E-41018 Seville, Spain</t>
  </si>
  <si>
    <t>University of Sevilla</t>
  </si>
  <si>
    <t>Romero, I (corresponding author), Univ Seville, Fac Econ &amp; Business Sci, Dept Appl Econ, Av Ramon y Cajal 1, E-41018 Seville, Spain.</t>
  </si>
  <si>
    <t>isidoro@us.es</t>
  </si>
  <si>
    <t>Martínez-Román, Juan A./N-6819-2013; Romero, Isidoro/E-8160-2010</t>
  </si>
  <si>
    <t>Martínez-Román, Juan A./0000-0001-5013-6748; Romero, Isidoro/0000-0001-8764-2599</t>
  </si>
  <si>
    <t>10.1016/j.respol.2011.07.005</t>
  </si>
  <si>
    <t>873UY</t>
  </si>
  <si>
    <t>WOS:000298909700014</t>
  </si>
  <si>
    <t>FRAGASZY, DM; VISALBERGHI, E</t>
  </si>
  <si>
    <t>SOCIAL PROCESSES AFFECTING THE APPEARANCE OF INNOVATIVE BEHAVIORS IN CAPUCHIN MONKEYS</t>
  </si>
  <si>
    <t>FOLIA PRIMATOLOGICA</t>
  </si>
  <si>
    <t>WASHINGTON STATE UNIV,DEPT VET &amp; COMPARAT ANAT PHARMACOL &amp; PHYSIOL,PULLMAN,WA 99164; CNR,IST PSICOL,ROME,ITALY</t>
  </si>
  <si>
    <t>Washington State University; Consiglio Nazionale delle Ricerche (CNR)</t>
  </si>
  <si>
    <t>FRAGASZY, DM (corresponding author), WASHINGTON STATE UNIV,DEPT PSYCHOL,PULLMAN,WA 99164, USA.</t>
  </si>
  <si>
    <t>Visalberghi, Elisabetta/0000-0001-7407-5468</t>
  </si>
  <si>
    <t>NIMH NIH HHS [MH-00694] Funding Source: Medline; PHS HHS [R01-41543] Funding Source: Medline</t>
  </si>
  <si>
    <t>NIMH NIH HHS(United States Department of Health &amp; Human ServicesNational Institutes of Health (NIH) - USANIH National Institute of Mental Health (NIMH)); PHS HHS(United States Department of Health &amp; Human ServicesUnited States Public Health Service)</t>
  </si>
  <si>
    <t>KARGER</t>
  </si>
  <si>
    <t>BASEL</t>
  </si>
  <si>
    <t>ALLSCHWILERSTRASSE 10, CH-4009 BASEL, SWITZERLAND</t>
  </si>
  <si>
    <t>0015-5713</t>
  </si>
  <si>
    <t>FOLIA PRIMATOL</t>
  </si>
  <si>
    <t>Folia Primatol.</t>
  </si>
  <si>
    <t>10.1159/000156439</t>
  </si>
  <si>
    <t>Zoology</t>
  </si>
  <si>
    <t>DP300</t>
  </si>
  <si>
    <t>WOS:A1990DP30000007</t>
  </si>
  <si>
    <t>Ogbonnaya, C; Messersmith, J</t>
  </si>
  <si>
    <t>Ogbonnaya, Chidiebere; Messersmith, Jake</t>
  </si>
  <si>
    <t>Employee performance, well-being, and differential effects of human resource management subdimensions: Mutual gains or conflicting outcomes?</t>
  </si>
  <si>
    <t>HUMAN RESOURCE MANAGEMENT JOURNAL</t>
  </si>
  <si>
    <t>affective commitment; HRM practices; innovative behaviours; job demands; stress; well-being</t>
  </si>
  <si>
    <t>INVOLVEMENT WORK PROCESSES; HR PRACTICES; INTENSIFICATION; COMMITMENT; SYSTEMS; ATTRIBUTIONS; EMPOWERMENT; CONTINUANCE; BEHAVIORS; MEDIATION</t>
  </si>
  <si>
    <t>The human resource management (HRM) literature supports the idea that coherent systems of HRM practices can induce attitudinal effects when perceived subjectively by employees. Recently, scholars have proposed that subdimensions of HRM systems exist and account for variance in outcomes. This study explores differential effects of three subdimensions of HRM systems (skill-, motivation-, and opportunity-enhancing HRM practices) on employee innovative behaviours and well-being. Our predictions are based on the mutual gains perspective, which specifies positive relationships between HRM practices and employee performance, and the conflicting outcomes perspective that links HRM practices to higher job demands and stress. Using data from the Finnish 2012 Practices of Working Life Survey, we find support for both the mutual gains and conflicting outcomes perspectives; however, we also show that the effects of the subsets of HRM practices are heterogeneous.</t>
  </si>
  <si>
    <t>[Ogbonnaya, Chidiebere] Univ East Anglia, Norwich Business Sch, Norwich Res Pk, Norwich, Norfolk, England; [Messersmith, Jake] Univ Nebraska, Coll Business, Lincoln, NE USA</t>
  </si>
  <si>
    <t>RLUK- Research Libraries UK; University of East Anglia; University of Nebraska System; University of Nebraska Lincoln</t>
  </si>
  <si>
    <t>Ogbonnaya, C (corresponding author), Univ East Anglia, Norwich Business Sch, Norwich Res Pk, Norwich, Norfolk, England.</t>
  </si>
  <si>
    <t>c.ogbonnaya@uea.ac.uk</t>
  </si>
  <si>
    <t>Ogbonnaya, Chidiebere/AFL-4760-2022</t>
  </si>
  <si>
    <t>Ogbonnaya, Chidiebere/0000-0002-0704-5717</t>
  </si>
  <si>
    <t>0954-5395</t>
  </si>
  <si>
    <t>1748-8583</t>
  </si>
  <si>
    <t>HUM RESOUR MANAG J</t>
  </si>
  <si>
    <t>Hum. Resour. Manag. J.</t>
  </si>
  <si>
    <t>10.1111/1748-8583.12203</t>
  </si>
  <si>
    <t>IJ1AK</t>
  </si>
  <si>
    <t>Green Published, Green Accepted</t>
  </si>
  <si>
    <t>WOS:000475630900011</t>
  </si>
  <si>
    <t>Dul, J; Ceylan, C</t>
  </si>
  <si>
    <t>Dul, Jan; Ceylan, Canan</t>
  </si>
  <si>
    <t>The Impact of a Creativity-supporting Work Environment on a Firm's Product Innovation Performance</t>
  </si>
  <si>
    <t>MARKET ORIENTATION; TRANSFORMATIONAL LEADERSHIP; ORGANIZATIONAL INNOVATION; PERCEIVED SUPPORT; TASK-PERFORMANCE; SUCCESS FACTORS; SELF-ESTEEM; CLIMATE; CULTURE; MOOD</t>
  </si>
  <si>
    <t>Many scholars and practitioners have suggested that a creativity-supporting work environment contributes to a firm's product innovation performance. Although there is evidence that such an environment enhances innovative behavior at individual level, very few studies address the effect of a creativity-supporting work environment on product innovation performance at firm level, and the results are inconsistent. This paper examines the relationship between a firm's creativity-supporting work environment and a firm's product innovation performance in a sample of 103 firms. For measuring a firm's creativity-supporting work environment, a comprehensive and creativity-focused framework is used. The framework consists of 9 social-organizational and 12 physical work environment characteristics that are likely to enhance employee creativity. These characteristics contribute to the firm's overall work environment that supports creativity. The firm's product innovation performance is defined by two distinct concepts: new product productivity (NP productivity), which is the extent to which the firm introduces new products to the market, and new product success (NP success), which is the percentage of the firm's sales from new products. In most firms, different knowledgeable informants provided the data for the variables. The results show that firms with creativity-supporting work environments introduce more new products to the market (NP productivity), and have more NP success in terms of new product sales (NP success). NP productivity partly mediates the relationship between creativity-supporting work environment and NP success. The mediation model shows that the two paths from a creativity-supporting work environment to NP success are about equally important: the direct path between creativity-supporting work environment and NP success has a coefficient of .22, and the coefficient of the indirect path via NP productivity is .23. The creativity-supporting work environment framework can be used in managerial practice to enhance employee creativity for product innovation. It allows applying a flexible and broad approach by influencing both social-organizational and physical characteristics of the work environment.</t>
  </si>
  <si>
    <t>[Dul, Jan] Erasmus Univ, Rotterdam Sch Management, NL-3062 PA Rotterdam, Netherlands; [Dul, Jan] Erasmus Univ, Rotterdam Sch Management, Technol &amp; Operat Management Dept, NL-3062 PA Rotterdam, Netherlands; [Ceylan, Canan] Uludag Univ, Dept Business Adm, Sch Social Sci, Bursa, Turkey</t>
  </si>
  <si>
    <t>Erasmus University Rotterdam; Erasmus University Rotterdam - Excl Erasmus MC; Erasmus University Rotterdam; Erasmus University Rotterdam - Excl Erasmus MC; Uludag University</t>
  </si>
  <si>
    <t>Dul, J (corresponding author), Erasmus Univ, Rotterdam Sch Management, Burgemeester Oudlaan 50, NL-3062 PA Rotterdam, Netherlands.</t>
  </si>
  <si>
    <t>jdul@rsm.nl</t>
  </si>
  <si>
    <t>10.1111/jpim.12149</t>
  </si>
  <si>
    <t>AR9AP</t>
  </si>
  <si>
    <t>WOS:000343863400009</t>
  </si>
  <si>
    <t>Vinarski-Peretz, H; Binyamin, G; Carmeli, A</t>
  </si>
  <si>
    <t>Vinarski-Peretz, Hedva; Binyamin, Galy; Carmeli, Abraham</t>
  </si>
  <si>
    <t>Subjective relational experiences and employee innovative behaviors in the workplace</t>
  </si>
  <si>
    <t>JOURNAL OF VOCATIONAL BEHAVIOR</t>
  </si>
  <si>
    <t>Subjective relational experiences; Positive work relationships; Engagement; Creativity; Innovative behaviors; Positive regard; Mutuality; Relational vitality</t>
  </si>
  <si>
    <t>SELF-EFFICACY; TRANSFORMATIONAL LEADERSHIP; POSITIVE RELATIONSHIPS; MEDIATING ROLE; ORGANIZATIONAL COMMITMENT; PSYCHOLOGICAL SAFETY; CONTEXTUAL FACTORS; WORK; CREATIVITY; PERFORMANCE</t>
  </si>
  <si>
    <t>This paper presents two studies that explore the implications of subjective relational experiences (positive regard, mutuality and vitality) on employee engagement in innovative behaviors at work. Data collected at two points in time were used to test two mediation models that link subjective relational experiences and innovative behaviors. The results of Study 1 indicate that subjective relational experiences directly and indirectly, through affective commitment, are associated with employee engagement in innovative behaviors. The results of Study 2 indicate that subjective relational experiences are positively related to psychological availability, creative self-efficacy, and engagement in innovative behaviors. In addition, the findings of Study 2 indicate that creative self-efficacy fully mediates the relationship between psychological availability and engagement in innovative behaviors, and partially mediates the link between subjective relational experiences and employee engagement in innovative behaviors. The findings of both studies provide further support to the theoretical distinction between psychological state engagement and behavioral engagement at work. (C) 2010 Elsevier Inc. All rights reserved.</t>
  </si>
  <si>
    <t>[Binyamin, Galy; Carmeli, Abraham] Bar Ilan Univ, Grad Sch Business Adm, IL-52900 Ramat Gan, Israel; [Vinarski-Peretz, Hedva] Bar Ilan Univ, Dept Polit Sci, IL-52900 Ramat Gan, Israel</t>
  </si>
  <si>
    <t>vinarsh@mail.biu.ac.il; galy.binyamin@gmail.com; carmelia@mail.biu.ac.il</t>
  </si>
  <si>
    <t>Carmeli, Abraham/B-5351-2013; Vinarski Peretz, Hedva/ABA-9827-2021; Carmeli, Abraham/H-5586-2011</t>
  </si>
  <si>
    <t>Carmeli, Abraham/0000-0002-1968-8998</t>
  </si>
  <si>
    <t>0001-8791</t>
  </si>
  <si>
    <t>1095-9084</t>
  </si>
  <si>
    <t>J VOCAT BEHAV</t>
  </si>
  <si>
    <t>J. Vocat. Behav.</t>
  </si>
  <si>
    <t>10.1016/j.jvb.2010.09.005</t>
  </si>
  <si>
    <t>736EY</t>
  </si>
  <si>
    <t>WOS:000288474700015</t>
  </si>
  <si>
    <t>Karatepe, OM; Aboramadan, M; Dahleez, KA</t>
  </si>
  <si>
    <t>Karatepe, Osman M.; Aboramadan, Mohammed; Dahleez, Khalid Abed</t>
  </si>
  <si>
    <t>Does climate for creativity mediate the impact of servant leadership on management innovation and innovative behavior in the hotel industry?</t>
  </si>
  <si>
    <t>Innovative behavior; Servant leadership; Hotel employees; Management innovation; Climate for creativity</t>
  </si>
  <si>
    <t>ORGANIZATIONAL CITIZENSHIP BEHAVIOR; HOSPITALITY INDUSTRY; SERVICE; PERFORMANCE; WORK; IDENTIFICATION; PARTICIPATION; DETERMINANTS; ATTITUDES; DRIVERS</t>
  </si>
  <si>
    <t>Purpose Drawing from theory of organizational creativity, servant leadership (SEL), social exchange and social learning theories, this paper aims to propose a research model where climate for creativity mediates the influence of SEL on management innovation and innovative behavior. The model also investigates the linkage between innovative behavior and management innovation. Design/methodology/approach Data collected from Arab hotel employees in Palestine were used to gauge the aforesaid linkages through structural equation modeling. Common method variance was checked through an unmeasured latent method factor. Findings The results reveal that climate for creativity mediates the impact of SEL on management innovation and innovative behavior. Successful SEL practices enable the organization to have climate for creativity, which, in turn, leads to management innovation and innovative behavior. Furthermore, hotel employees' innovative behavior fosters management innovation. Practical implications Top management should have a high level of commitment to the SEL philosophy, which boosts climate for creativity and innovative behavior. It should also capitalize on climate for creativity to activate management innovation. In such an environment, management has to ensure that the supervisors are servant leaders and non-managerial employees are the potential servant leaders. Once employees are trained, empowered and rewarded in an environment which highlights effective SEL practices, they will be more eager to contribute to the company by exhibiting innovative behavior at elevated levels. Originality/value Despite a number of studies in the current literature, evidence concerning the effect of SEL on management innovation and innovative behavior simultaneously is scarce. There is still a dearth of evidence pertaining to the underlying mechanism through which SEL fosters management innovation and innovative behavior. In addition, evidence appertaining to the impact of innovative behavior on management innovation is scarce. The study fills in these voids.</t>
  </si>
  <si>
    <t>[Karatepe, Osman M.] Eastern Mediterranean Univ, Fac Tourism, Famagusta, Turkey; [Aboramadan, Mohammed] Univ Milano Bicocca, Dept Econ Management &amp; Stat, Milan, Italy; [Dahleez, Khalid Abed] ASharqiyah Univ, Coll Business Adm, Ibra, Oman</t>
  </si>
  <si>
    <t>Eastern Mediterranean University; University of Milano-Bicocca</t>
  </si>
  <si>
    <t>Karatepe, OM (corresponding author), Eastern Mediterranean Univ, Fac Tourism, Famagusta, Turkey.</t>
  </si>
  <si>
    <t>osman.karatepe@emu.edu.tr; mohammed.aboramadan@unimib.it; khalid.dahleez@asu.edu.om</t>
  </si>
  <si>
    <t>Silva, Gleibson/AAA-8482-2021; Dahleez, Khalid Abed/M-6157-2017; Karatepe, Osman M./H-7108-2012; Aboramadan, Mohammed/AAJ-3001-2021</t>
  </si>
  <si>
    <t>Silva, Gleibson/0000-0003-0945-2567; Dahleez, Khalid Abed/0000-0002-1526-8750; Karatepe, Osman M./0000-0003-3120-8755; Aboramadan, Mohammed/0000-0002-3826-0559</t>
  </si>
  <si>
    <t>AUG 4</t>
  </si>
  <si>
    <t>10.1108/IJCHM-03-2020-0219</t>
  </si>
  <si>
    <t>JUN 2020</t>
  </si>
  <si>
    <t>NA4WR</t>
  </si>
  <si>
    <t>WOS:000541585700001</t>
  </si>
  <si>
    <t>Gorgievski, MJ; Moriano, JA; Bakker, AB</t>
  </si>
  <si>
    <t>Gorgievski, Marjan J.; Antonio Moriano, Juan; Bakker, Arnold B.</t>
  </si>
  <si>
    <t>Relating work engagement and workaholism to entrepreneurial performance</t>
  </si>
  <si>
    <t>JOURNAL OF MANAGERIAL PSYCHOLOGY</t>
  </si>
  <si>
    <t>Entrepreneurship; Business performance; Work engagement; Motivation (psychology); Affective psychology; Workaholism</t>
  </si>
  <si>
    <t>POSITIVE EMOTIONS; OBSESSIVE PASSION; CONSEQUENCES; CROSSOVER; QUESTIONNAIRE; ANTECEDENTS; CREATIVITY; PSYCHOLOGY; MOTIVATION; BROADEN</t>
  </si>
  <si>
    <t>Purpose - Building on the dualistic approach to passion, the aim of this paper was to examine how work engagement and workaholism relate to entrepreneurs' performance (innovative behavior, business growth, and subjective business performance). Design/methodology/approach - Cross-sectional survey data of 180 Spanish entrepreneurs were analyzed using partial least squares modeling. Findings - Evidence was found for a dual affective pathway to performance. Work engagement related favorably to performance through its relationship with more positive affect and less negative affect. Workaholism related to more negative affect, which in turn related negatively to performance. After controlling for affective states, both work engagement and workaholism still had a direct and positive association with innovative behavior. Research limitations/implications - Limitations are the cross-sectional design and the reliance on self-report measures; although self-reports of business growth can be considered indicative of objective business performance. Bi-directional relationships between the study variables seem plausible. The dualistic approach to passion is a sound theoretical basis for future research on drivers and consequences of work engagement and workaholism. Practical implications - The findings imply that entrepreneurial success can be enhanced by improving entrepreneurs' emotion-regulation strategies to manage their affective states. Workaholics especially would benefit from such strategies. Social implications - Improving entrepreneurial performance has value for society via counteracting economic decline and creation of wealth and jobs. Originality/value - This study adds to our limited understanding of the consequences of work engagement and workaholism. It addresses entrepreneurs, who are an under researched occupational group.</t>
  </si>
  <si>
    <t>[Gorgievski, Marjan J.; Bakker, Arnold B.] Erasmus Univ, Dept Work &amp; Org Psychol, Rotterdam, Netherlands; [Antonio Moriano, Juan] Univ Nacl Educ Distancia, Dept Social &amp; Org Psychol, E-28040 Madrid, Spain</t>
  </si>
  <si>
    <t>Erasmus University Rotterdam; Erasmus University Rotterdam - Excl Erasmus MC; Universidad Nacional de Educacion a Distancia (UNED)</t>
  </si>
  <si>
    <t>Gorgievski, MJ (corresponding author), Erasmus Univ, Dept Work &amp; Org Psychol, Rotterdam, Netherlands.</t>
  </si>
  <si>
    <t>Gorgievski@fsw.eur.nl</t>
  </si>
  <si>
    <t>Moriano, Juan A./L-7607-2014; Jansik, Attila/AAG-8335-2019; Bakker, Arnold B./F-8494-2010</t>
  </si>
  <si>
    <t>Moriano, Juan A./0000-0002-8332-1314; Bakker, Arnold B./0000-0003-1489-1847; Gorgievski - Duijvesteijn, Maria Johanna/0000-0001-8939-0321</t>
  </si>
  <si>
    <t>0268-3946</t>
  </si>
  <si>
    <t>1758-7778</t>
  </si>
  <si>
    <t>J MANAGE PSYCHOL</t>
  </si>
  <si>
    <t>J. Manage. Psychol.</t>
  </si>
  <si>
    <t>10.1108/JMP-06-2012-0169</t>
  </si>
  <si>
    <t>AC8YG</t>
  </si>
  <si>
    <t>WOS:000332820400001</t>
  </si>
  <si>
    <t>Russo, M; Buonocore, F; Carmeli, A; Guo, L</t>
  </si>
  <si>
    <t>Russo, Marcello; Buonocore, Filomena; Carmeli, Abraham; Guo, Liang</t>
  </si>
  <si>
    <t>When Family Supportive Supervisors Meet Employees' Need for Caring: Implications for Work-Family Enrichment and Thriving</t>
  </si>
  <si>
    <t>FSSB; psychological availability; work-family enrichment; thriving at work; need for caring; Italy; China</t>
  </si>
  <si>
    <t>MEDIATING ROLE; ORGANIZATION PERCEPTIONS; PSYCHOLOGICAL CONDITIONS; INNOVATIVE BEHAVIORS; CONFLICT; ENGAGEMENT; MODEL; RESOURCES; SATISFACTION; VALIDATION</t>
  </si>
  <si>
    <t>This article presents two studies that examine the moderated multiple mediation model between Family Supportive Supervisors Behaviors (FSSB) and individual's thriving at work through psychological availability and work-family enrichment at conditional levels of need for caring. Drawing on the Resource-Gain-Development framework and self-determination theory, the results of the 6-month time-lagged data demonstrate, in Study 1 (Italian sample = 156), that FSSB is associated with greater individual thriving at work via work-family enrichment and that this indirect relationship is significant exclusively for those who perceive a higher need for caring. In Study 2 (Chinese sample = 356), the results demonstrate the relationship between FSSB and thriving at work is serially mediated by both psychological availability and work-family enrichment at the conditional level of need for caring. In particular, the results demonstrate that individuals with a higher need for caring responded more favorably to the presence of a family supportive supervisor than those experiencing a lower need for caring. Implications for research and practice are discussed.</t>
  </si>
  <si>
    <t>[Russo, Marcello] Kedge Business Sch, Talence, France; [Buonocore, Filomena] Univ Naples Parthenope, Naples, Italy; [Carmeli, Abraham] Tel Aviv Univ, Tel Aviv, Israel; [Guo, Liang] Neoma Business Sch, Mont St Aignan, France</t>
  </si>
  <si>
    <t>Kedge Business School; Parthenope University Naples; Tel Aviv University; NEOMA Business School</t>
  </si>
  <si>
    <t>Russo, M (corresponding author), Kedge Business Sch, Dept Management, 680 Cours Liberat, F-33405 Talence, France.</t>
  </si>
  <si>
    <t>marcello.russo@kedgebs.com</t>
  </si>
  <si>
    <t>Russo, Marcello MR/B-5319-2013; Carmeli, Abraham/B-5351-2013</t>
  </si>
  <si>
    <t>10.1177/0149206315618013</t>
  </si>
  <si>
    <t>GC6DB</t>
  </si>
  <si>
    <t>WOS:000429879200019</t>
  </si>
  <si>
    <t>Garg, S; Dhar, R</t>
  </si>
  <si>
    <t>Garg, Shreya; Dhar, Rajib</t>
  </si>
  <si>
    <t>Employee service innovative behavior The roles of leader-member exchange (LMX), work engagement, and job autonomy</t>
  </si>
  <si>
    <t>Employee behaviour; Innovation; Leaders; Service industries</t>
  </si>
  <si>
    <t>MEDIATING ROLE; PRODUCT INNOVATION; SECTORAL PATTERNS; MODERATING ROLE; PERFORMANCE; ORIENTATION; MANAGEMENT; EFFICACY; QUALITY; IMPACT</t>
  </si>
  <si>
    <t>Purpose - The purpose of this paper is to extend the under-researched work on service innovation by examining employee service innovative behavior in the Indian banking industry. In doing so, this study addresses the call for carrying out context-based research to advance service innovation literature. Design/methodology/approach - Using convenience sampling and self-administered survey methods, data were obtained from professionals employed in Indian public sector banks (n = 294). Findings - Findings reveal that leader-member exchange (LMX) shares a positive relationship with employee service innovative behavior via work engagement. Results also indicate that job autonomy as moderator strengthened the relationship between LMX and employee service innovative behavior mediated by work engagement. Practical implications - This study recommends that higher levels of LMX quality should be combined with enhanced levels of job autonomy for significantly influencing employee service innovative behavior. Originality/value - Even though previous studies on service innovation have produced a significant piece of work, this study is among the first to propose and analyze a comprehensive and theoretically grounded structure of LMX, work engagement, job autonomy and employee service innovative behavior by incorporating social exchange and job characteristics theories.</t>
  </si>
  <si>
    <t>[Garg, Shreya; Dhar, Rajib] Indian Inst Technol Roorkee, Dept Management Studies, Roorkee, Uttar Pradesh, India</t>
  </si>
  <si>
    <t>Garg, S (corresponding author), Indian Inst Technol Roorkee, Dept Management Studies, Roorkee, Uttar Pradesh, India.</t>
  </si>
  <si>
    <t>shreyagarg5189@gmail.com</t>
  </si>
  <si>
    <t>10.1108/IJM-04-2015-0060</t>
  </si>
  <si>
    <t>EU4UK</t>
  </si>
  <si>
    <t>WOS:000401027000008</t>
  </si>
  <si>
    <t>Bysted, R; Hansen, JR</t>
  </si>
  <si>
    <t>Bysted, Rune; Hansen, Jesper Rosenberg</t>
  </si>
  <si>
    <t>Comparing Public and Private Sector Employees' Innovative Behaviour: Understanding the role of job and organizational characteristics, job types, and subsectors</t>
  </si>
  <si>
    <t>PUBLIC MANAGEMENT REVIEW</t>
  </si>
  <si>
    <t>comparing public and private; Innovation; innovative behaviour</t>
  </si>
  <si>
    <t>LEADER-MEMBER EXCHANGE; PSYCHOLOGICAL EMPOWERMENT; FAIRNESS PERCEPTIONS; MANAGEMENT REFORM; PERFORMANCE; QUALITY; DETERMINANTS; CREATIVITY; MOTIVATION; WORKPLACE</t>
  </si>
  <si>
    <t>Innovation is argued to be of key importance in the public sector. Little is known about possible sector differences in innovative behaviour. The stereotype in literature is that public employees are less innovative. We analyse whether sector is associated with innovative behaviour and the influence of job/organizational characteristics. We test this by using a three-country representative survey in Scandinavia with 8,310 respondents. We control for subsectors/industries and job functions. We do not find that public employees are less innovative. Furthermore, the study emphasizes the importance of understanding the major differences in innovative behaviour between different subsectors/industries and job types.</t>
  </si>
  <si>
    <t>[Bysted, Rune] Aarhus Univ, Dept Econ &amp; Business, Aarhus, Denmark; [Hansen, Jesper Rosenberg] Aarhus Univ, Dept Econ &amp; Business, Dept Polit Sci &amp; Govt, Aarhus, Denmark</t>
  </si>
  <si>
    <t>Aarhus University; Aarhus University</t>
  </si>
  <si>
    <t>Bysted, R (corresponding author), Aarhus Univ, Dept Econ &amp; Business, Aarhus, Denmark.</t>
  </si>
  <si>
    <t>rbysted@econ.au.dk; jhansen@econ.au.dk</t>
  </si>
  <si>
    <t>Hansen, Jesper Rosenberg/ABD-8301-2020</t>
  </si>
  <si>
    <t>Ennova A/S</t>
  </si>
  <si>
    <t>We are grateful for comments at CLIPS conference on 'Innovation in the Public Sector' held at the Ringsted (Denmark) in 2011 and the ISRPM conferences in Rome 2012. Especially, the comments from Jean Hartley improved the article substantially. Ennova A/S is acknowledged as an important supportive partner for the research project.</t>
  </si>
  <si>
    <t>1471-9037</t>
  </si>
  <si>
    <t>1471-9045</t>
  </si>
  <si>
    <t>PUBLIC MANAG REV</t>
  </si>
  <si>
    <t>Public Manag. Rev.</t>
  </si>
  <si>
    <t>MAY 28</t>
  </si>
  <si>
    <t>10.1080/14719037.2013.841977</t>
  </si>
  <si>
    <t>Management; Public Administration</t>
  </si>
  <si>
    <t>Business &amp; Economics; Public Administration</t>
  </si>
  <si>
    <t>CC5BR</t>
  </si>
  <si>
    <t>WOS:000350372700005</t>
  </si>
  <si>
    <t>Kissi, J; Dainty, A; Tuuli, M</t>
  </si>
  <si>
    <t>Kissi, John; Dainty, Andrew; Tuuli, Martin</t>
  </si>
  <si>
    <t>Examining the role of transformational leadership of portfolio managers in project performance</t>
  </si>
  <si>
    <t>INTERNATIONAL JOURNAL OF PROJECT MANAGEMENT</t>
  </si>
  <si>
    <t>Championing behaviour; Climate for innovation; Portfolio managers; Project performance; Transformational leadership</t>
  </si>
  <si>
    <t>INNOVATIVE BEHAVIOR; CONTEXTUAL FACTORS; DETERMINANTS; DISTANCE; CLIMATE; MODEL</t>
  </si>
  <si>
    <t>Research into the role of transformational leadership in project based organisations has generally focused on project managers or senior managers and less so on portfolio managers who oversee multiple projects to achieve business objectives. This study examines the impact of transformational leadership behaviour of portfolio managers on project performance directly and indirectly through other intervening variables such as climate for innovation and innovation championing. Using a questionnaire survey, data were obtained from 112 project managers in a UK project based organisation. Transformational leadership behaviour of portfolio managers was found to have a positive and significant relationship with project performance. Innovation championing and climate for innovation both partially mediated the relationship between transformational leadership and project performance. The study confirms the importance of portfolio managers in enhancing project performance and identifies the need for project based organisations to cultivate transformational leadership behaviour among them for enhanced performance. It also highlights the need for further exploration of the role of portfolio managers in improving project performance. (C) 2012 Elsevier Ltd. APM and IPMA. All rights reserved.</t>
  </si>
  <si>
    <t>[Kissi, John] Mouchel Grp Ltd, Woking GU21 6QX, Surrey, England; [Dainty, Andrew; Tuuli, Martin] Univ Loughborough, Dept Civil &amp; Bldg Engn, Loughborough LE11 3TU, Leics, England</t>
  </si>
  <si>
    <t>Loughborough University</t>
  </si>
  <si>
    <t>Kissi, J (corresponding author), Mouchel Grp Ltd, Export House,Cawsey Way, Woking GU21 6QX, Surrey, England.</t>
  </si>
  <si>
    <t>john.kissi@mouchel.com</t>
  </si>
  <si>
    <t>Dainty, Andrew/0000-0002-9317-1356</t>
  </si>
  <si>
    <t>0263-7863</t>
  </si>
  <si>
    <t>1873-4634</t>
  </si>
  <si>
    <t>INT J PROJ MANAG</t>
  </si>
  <si>
    <t>Int. J. Proj. Manag.</t>
  </si>
  <si>
    <t>10.1016/j.ijproman.2012.09.004</t>
  </si>
  <si>
    <t>123FC</t>
  </si>
  <si>
    <t>Green Accepted, Green Published</t>
  </si>
  <si>
    <t>WOS:000317372800001</t>
  </si>
  <si>
    <t>Verhoest, K; Verschuere, B; Bouckaert, G</t>
  </si>
  <si>
    <t>Verhoest, Koen; Verschuere, Bram; Bouckaert, Geert</t>
  </si>
  <si>
    <t>Pressure, legitimacy, and innovative behavior by public organizations</t>
  </si>
  <si>
    <t>GOVERNANCE-AN INTERNATIONAL JOURNAL OF POLICY ADMINISTRATION AND INSTITUTIONS</t>
  </si>
  <si>
    <t>AUTONOMY</t>
  </si>
  <si>
    <t>According to New Public Management (NPM) doctrines, public organizations involved in service delivery and policy implementation will be induced to innovative behavior if they have enough managerial autonomy and simultaneously are subjected to managerial pressure, such as result control by government or competition of other providers. This NPM pressure-response model is tested by using survey data on 84 Flemish public organizations. These tests provide evidence for the assumed effect of NPM-like pressure on the innovative behavior of public organizations. However, the empirical model shows more complex relationships as is assumed by NPM doctrine. These complex relationships are corroborated and explained by making reference to a multiple-case study of four Flemish public organizations. An expanded political/administrative pressure-response model, referring to legitimacy as a motivational force, is suggested in order to explain innovative behavior by public organizations. This model may help to understand the preconditions for spontaneous adaptation of public organizations.</t>
  </si>
  <si>
    <t>Verschuere, Bram/AAK-3864-2020</t>
  </si>
  <si>
    <t>Verschuere, Bram/0000-0002-7273-608X</t>
  </si>
  <si>
    <t>0952-1895</t>
  </si>
  <si>
    <t>1468-0491</t>
  </si>
  <si>
    <t>GOVERNANCE</t>
  </si>
  <si>
    <t>Governance-Int. J. Policy Adm. I.</t>
  </si>
  <si>
    <t>10.1111/j.1468-0491.2007.00367.x</t>
  </si>
  <si>
    <t>205QU</t>
  </si>
  <si>
    <t>WOS:000249130500005</t>
  </si>
  <si>
    <t>MIDGLEY, DF</t>
  </si>
  <si>
    <t>SIMPLE MATHEMATICAL-THEORY OF INNOVATIVE BEHAVIOR</t>
  </si>
  <si>
    <t>UNIV NEW S WALES,GRAD SCH MANAGEMENT,ADELAIDE,AUSTRALIA</t>
  </si>
  <si>
    <t>University of New South Wales Sydney</t>
  </si>
  <si>
    <t>Midgley, David F/B-3718-2010</t>
  </si>
  <si>
    <t>UNIV CHICAGO PRESS</t>
  </si>
  <si>
    <t>5720 S WOODLAWN AVE, CHICAGO, IL 60637</t>
  </si>
  <si>
    <t>10.1086/208648</t>
  </si>
  <si>
    <t>CC675</t>
  </si>
  <si>
    <t>WOS:A1976CC67500004</t>
  </si>
  <si>
    <t>Wisse, B; Barelds, DPH; Rietzschel, EF</t>
  </si>
  <si>
    <t>Wisse, Barbara; Barelds, Dick P. H.; Rietzschel, Eric F.</t>
  </si>
  <si>
    <t>How innovative is your employee? The role of employee and supervisor Dark Triad personality traits in supervisor perceptions of employee innovative behavior</t>
  </si>
  <si>
    <t>PERSONALITY AND INDIVIDUAL DIFFERENCES</t>
  </si>
  <si>
    <t>Dark Triad; Innovative behavior; Creativity; Narcissism; Machiavellianism; Psychopathy</t>
  </si>
  <si>
    <t>DIRTY DOZEN; NARCISSISM; MODEL; CREATIVITY; MACHIAVELLIANISM; PSYCHOPATHY; EMERGENCE; VALIDITY; LEADER; COSTS</t>
  </si>
  <si>
    <t>Organizational researchers have focused on the potential benefits of the Dark Triad personality traits (i.e., psychopathy, Machiavellianism, and narcissism) in organizational contexts. The current research builds on this research, examining the link between employee and supervisor Dark Triad traits and perceived employee innovative behavior (idea generation, idea promotion, and idea implementation) on the work-floor. Regression analysis on the data of 306 pairs of employees and their supervisors revealed that employee Machiavellianism was negatively related and employee psychopathy was not related to supervisor ratings of employee innovative behavior. In addition, a positive relationship between employee narcissism and supervisor ratings of employee innovative behavior emerged. However, this effect was weakened by supervisor narcissism: only when supervisors themselves were low on narcissism did employee narcissism foster positive perceptions of employee innovative behavior (specifically idea promotion). We discuss the value of differentiating between the three Dark Triad traits and the subscales of innovative behavior in order to more fully understand supervisors' assessments of their employees. (C) 2015 Elsevier Ltd. All rights reserved.</t>
  </si>
  <si>
    <t>[Wisse, Barbara; Barelds, Dick P. H.; Rietzschel, Eric F.] Univ Groningen, NL-9712 TS Groningen, Netherlands</t>
  </si>
  <si>
    <t>Wisse, B (corresponding author), Univ Groningen, Fac Behav &amp; Social Sci, Dept Psychol, Grote Kruisstr 2-1, NL-9712 TS Groningen, Netherlands.</t>
  </si>
  <si>
    <t>b.m.wisse@rug.nl</t>
  </si>
  <si>
    <t>PERGAMON-ELSEVIER SCIENCE LTD</t>
  </si>
  <si>
    <t>THE BOULEVARD, LANGFORD LANE, KIDLINGTON, OXFORD OX5 1GB, ENGLAND</t>
  </si>
  <si>
    <t>0191-8869</t>
  </si>
  <si>
    <t>PERS INDIV DIFFER</t>
  </si>
  <si>
    <t>Pers. Individ. Differ.</t>
  </si>
  <si>
    <t>10.1016/j.paid.2015.03.020</t>
  </si>
  <si>
    <t>CH6OZ</t>
  </si>
  <si>
    <t>WOS:000354157200028</t>
  </si>
  <si>
    <t>Ng, TWH; Feldman, DC</t>
  </si>
  <si>
    <t>Ng, Thomas W. H.; Feldman, Daniel C.</t>
  </si>
  <si>
    <t>Does longer job tenure help or hinder job performance?</t>
  </si>
  <si>
    <t>Job tenure; Job performance; Meta-analysis</t>
  </si>
  <si>
    <t>ORGANIZATIONAL COMMITMENT; WORK; BOREDOM; EXPERIENCE; ABSENTEEISM; SENIORITY; MODERATOR; BEHAVIOR; PREDICTORS; WORKPLACE</t>
  </si>
  <si>
    <t>There are two competing theoretical perspectives on how job tenure might affect job performance. Human capital theory suggests that as knowledge and skill increase with greater tenure, job performance will improve as well. In contrast, the literature on job design suggests that as job tenure increases, employees are likely to become more bored and less motivated at work. Consequently, the gains from human capital acquisition might be offset by losses of motivation. To examine these competing perspectives, we conducted meta-analyses on the relationships of job tenure with four types of job performance: core task performance, citizenship behavior, creativity and innovative behavior, and counterproductive work behavior. The results support the second perspective, as both the linear and curvilinear relationships of job tenure with the four types of job performance are weak. Further, the results do not change in strength across type of research design, job industry, age, or gender. (C) 2013 Elsevier Inc. All rights reserved.</t>
  </si>
  <si>
    <t>[Ng, Thomas W. H.] Univ Hong Kong, Fac Business &amp; Econ, Pok Fu Lam, Hong Kong, Peoples R China; [Feldman, Daniel C.] Univ Georgia, Terry Coll Business, Athens, GA 30602 USA</t>
  </si>
  <si>
    <t>University of Hong Kong; University System of Georgia; University of Georgia</t>
  </si>
  <si>
    <t>tng@business.hku.hk; dfeldman@terry.uga.edu</t>
  </si>
  <si>
    <t>10.1016/j.jvb.2013.06.012</t>
  </si>
  <si>
    <t>255GH</t>
  </si>
  <si>
    <t>WOS:000327226900010</t>
  </si>
  <si>
    <t>FOXALL, GR</t>
  </si>
  <si>
    <t>COGNITIVE STYLES OF CONSUMER INITIATORS</t>
  </si>
  <si>
    <t>TECHNOVATION</t>
  </si>
  <si>
    <t>Accounts of consumer innovativeness show two trends: theoretical sophistication in which innovative behaviour is attributed to abstract personality constructs such as innate and inherent innovativeness, and a resounding lack of empirical evidence that innovative behaviour is more than weakly related to traits of personality. The difficulty is compounded by terminological confusion. This article proposes that Kirton's theory of adaptive-innovative cognitive style suggests solutions to both the terminology issue and the problem of equivocal empirical findings. It describes Jive studies of innovative consumer behaviour, three relating to the purchase of new food brands and products, and two to the use of computer software. The findings indicate a more complex psychographic composition of consumer innovator segments than is generally appreciated in the marketing and new product development literatures.</t>
  </si>
  <si>
    <t>FOXALL, GR (corresponding author), UNIV BIRMINGHAM,CONSUMER BEHAV RES CTR,DEPT COMMERCE,BIRMINGHAM B15 2TT,W MIDLANDS,ENGLAND.</t>
  </si>
  <si>
    <t>THE BOULEVARD, LANGFORD LANE, KIDLINGTON, OXFORD, OXON, ENGLAND OX5 1GB</t>
  </si>
  <si>
    <t>0166-4972</t>
  </si>
  <si>
    <t>Technovation</t>
  </si>
  <si>
    <t>10.1016/0166-4972(95)96600-X</t>
  </si>
  <si>
    <t>Engineering, Industrial; Management; Operations Research &amp; Management Science</t>
  </si>
  <si>
    <t>RD256</t>
  </si>
  <si>
    <t>WOS:A1995RD25600001</t>
  </si>
  <si>
    <t>Montani, F; Vandenberghe, C; Khedhaouria, A; Courcy, F</t>
  </si>
  <si>
    <t>Montani, Francesco; Vandenberghe, Christian; Khedhaouria, Anis; Courcy, Francois</t>
  </si>
  <si>
    <t>Examining the inverted U-shaped relationship between workload and innovative work behavior: The role of work engagement and mindfulness</t>
  </si>
  <si>
    <t>HUMAN RELATIONS</t>
  </si>
  <si>
    <t>curvilinearity; innovative work behavior; mindfulness; work engagement; workload</t>
  </si>
  <si>
    <t>DEMANDS-RESOURCES MODEL; JOB DEMANDS; MODERATING ROLE; CURVILINEAR RELATIONSHIPS; FAIRNESS PERCEPTIONS; ACTIVATION THEORY; TIME PRESSURE; PERFORMANCE; CREATIVITY; BURNOUT</t>
  </si>
  <si>
    <t>Is workload good or bad for employee innovation? Workload and innovative work behavior are widely studied research topics. However, the relationship between them is not well understood. As a result, there is a lack of evidence-based knowledge that could inform managers and organizations on how to boost workplace innovation in demanding work contexts. Building on the job demands-resources model, the present study posits that workload relates to innovative behavior through work engagement. Specifically, we argue that this indirect relationship exhibits an inverted U-shaped pattern in which workload is most likely to benefit innovative behavior when it is moderate. We further identify mindfulness as an important moderator that influences individuals' ability to manage stress. In support of these predictions, three studies - a two-wave time-lagged study of 160 employees from various Canadian firms, a three-wave time-lagged study of 153 employees from US firms, and a two-wave panel study of 208 employees from US firms - found work engagement mediated the inverted U-shaped relationship between workload and innovative behavior. Moreover, when mindfulness was high, intermediate levels of workload were associated with increased innovative behavior through enhanced work engagement (Studies 1 and 2). We discuss the implications of these findings for theory and practice.</t>
  </si>
  <si>
    <t>[Montani, Francesco] Int Univ Monaco, Human Resource Management &amp; Org Behav, Monte Carlo, Monaco; [Vandenberghe, Christian] HEC Montreal, Org Behav, Montreal, PQ, Canada; [Khedhaouria, Anis] Montpellier Business Sch, Technol &amp; Innovat Management, Montpellier, France; [Courcy, Francois] Univ Sherbrooke, Org Psychol, Dept Psychol, Sherbrooke, PQ, Canada</t>
  </si>
  <si>
    <t>International University of Monaco; Universite de Montreal; HEC Montreal; Montpellier Business School; University of Sherbrooke</t>
  </si>
  <si>
    <t>Montani, F (corresponding author), Int Univ Monaco, IUM INSEEC Res Ctr, 2 Ave Albert II, MC-98000 Monte Carlo, Monaco.</t>
  </si>
  <si>
    <t>fmontani@inseec.com; christian.vandenberghe@hec.ca; a.khedhaouria@montpellier-bs.com; francois.courcy@usherbrooke.ca</t>
  </si>
  <si>
    <t>Vandenberghe, Christian/AAD-8737-2020</t>
  </si>
  <si>
    <t>Social Sciences and Humanities Research Council of Canada [430-2015-00476]</t>
  </si>
  <si>
    <t>Social Sciences and Humanities Research Council of Canada(Social Sciences and Humanities Research Council of Canada (SSHRC))</t>
  </si>
  <si>
    <t>This research was supported by funding from the Social Sciences and Humanities Research Council of Canada (grant number 430-2015-00476).</t>
  </si>
  <si>
    <t>SAGE PUBLICATIONS LTD</t>
  </si>
  <si>
    <t>1 OLIVERS YARD, 55 CITY ROAD, LONDON EC1Y 1SP, ENGLAND</t>
  </si>
  <si>
    <t>0018-7267</t>
  </si>
  <si>
    <t>1741-282X</t>
  </si>
  <si>
    <t>HUM RELAT</t>
  </si>
  <si>
    <t>Hum. Relat.</t>
  </si>
  <si>
    <t>10.1177/0018726718819055</t>
  </si>
  <si>
    <t>Management; Social Sciences, Interdisciplinary</t>
  </si>
  <si>
    <t>Business &amp; Economics; Social Sciences - Other Topics</t>
  </si>
  <si>
    <t>JR2WB</t>
  </si>
  <si>
    <t>WOS:000499490600003</t>
  </si>
  <si>
    <t>Brem, A; Bilgram, V; Marchuk, A</t>
  </si>
  <si>
    <t>Brem, Alexander; Bilgram, Volker; Marchuk, Anna</t>
  </si>
  <si>
    <t>How crowdfunding platforms change the nature of user innovation - from problem solving to entrepreneurship</t>
  </si>
  <si>
    <t>TECHNOLOGICAL FORECASTING AND SOCIAL CHANGE</t>
  </si>
  <si>
    <t>User innovation; Crowdfunding; Crowdsourcing; Crowdfunding platform; Entrepreneurship; User communities; User entrepreneur</t>
  </si>
  <si>
    <t>LEAD USERS; SOCIAL MEDIA; CO-CREATION; COMMUNITIES; NETNOGRAPHY; FIELD; INFORMATION; EQUIPMENT; PRODUCTS; PARADIGM</t>
  </si>
  <si>
    <t>Crowdfunding has become a key research trend in recent years providing a new form of acquiring funding for innovation projects from users prior to the realization of the product in a 'market before the market'. In this paper, we link the concept of crowdfunding with the user innovation phenomenon and show how user innovators harness crowdfunding to complement their innovative behavior and obtain funding to build firms and produce products in a more professional way. Conducting three case studies ranging from low- to high-tech crowdfunding campaigns, we investigate how crowdfunding impacts constituent dimensions of user innovation theory such as user motivation, user role, user community, collaboration between users and user investments. In particular, we argue that crowdfunding platforms (CFPs) may give rise to a more widespread occurrence of user entrepreneurs, who found a firm to commercialize their product or service in a marketplace they have created for their own need. Hence, we show the development from traditional user innovation to crowdfunding-enabled user innovation, which democratizes not only the creation but also the more large-scale commercialization of new products and services.</t>
  </si>
  <si>
    <t>[Brem, Alexander] Friedrich Alexander Univ Erlangen Nurnberg, Chair Technol Management, Further Str 246c, D-90429 Nurnberg, Germany; [Brem, Alexander] Univ Southern Denmark, Mads Clausen Inst, Alsion 2, DK-6400 Sonderborg, Denmark; [Bilgram, Volker; Marchuk, Anna] HYVE Innovat Co, Schellingstr 45, D-80799 Munich, Germany</t>
  </si>
  <si>
    <t>University of Erlangen Nuremberg; University of Southern Denmark</t>
  </si>
  <si>
    <t>Brem, A (corresponding author), Friedrich Alexander Univ Erlangen Nurnberg, Chair Technol Management, Further Str 246c, D-90429 Nurnberg, Germany.;Brem, A (corresponding author), Univ Southern Denmark, Mads Clausen Inst, Alsion 2, DK-6400 Sonderborg, Denmark.</t>
  </si>
  <si>
    <t>Alexander.Brem@fau.de; Volker.Bilgram@hyve.net; Anna.Marchuk@hyve.net</t>
  </si>
  <si>
    <t>Bilgram, Volker/HNC-4721-2023; Brem, Alexander/F-8452-2011</t>
  </si>
  <si>
    <t>Brem, Alexander/0000-0002-6901-7498; Bilgram, Volker/0000-0001-9600-5655</t>
  </si>
  <si>
    <t>0040-1625</t>
  </si>
  <si>
    <t>1873-5509</t>
  </si>
  <si>
    <t>TECHNOL FORECAST SOC</t>
  </si>
  <si>
    <t>Technol. Forecast. Soc. Chang.</t>
  </si>
  <si>
    <t>10.1016/j.techfore.2017.11.020</t>
  </si>
  <si>
    <t>Business; Regional &amp; Urban Planning</t>
  </si>
  <si>
    <t>ID5SG</t>
  </si>
  <si>
    <t>WOS:000471735700030</t>
  </si>
  <si>
    <t>Afsar, B; Badir, YF; Saeed, BB; Hafeez, S</t>
  </si>
  <si>
    <t>Afsar, Bilal; Badir, Yuosre F.; Saeed, Bilal Bin; Hafeez, Shakir</t>
  </si>
  <si>
    <t>Transformational and transactional leadership and employee's entrepreneurial behavior in knowledge-intensive industries</t>
  </si>
  <si>
    <t>Transformational leadership; transactional leadership; entrepreneurial behavior; psychological empowerment</t>
  </si>
  <si>
    <t>CREATIVE SELF-EFFICACY; PSYCHOLOGICAL EMPOWERMENT; MEDIATING ROLE; INNOVATIVE BEHAVIOR; SOCIAL IDENTITY; MODERATING ROLE; WORK ATTITUDES; PERFORMANCE; CLIMATE; MODEL</t>
  </si>
  <si>
    <t>Leaders play a vital role in encouraging and supporting the initiatives of individual employees to explore new opportunities, to develop new products or to improve work procedures for the benefit of the organization. Entrepreneurial behavior is imperative for innovation, growth, and organizational success. Transformational leadership, in contrast to transactional leadership, has been argued to be particularly effective in engendering entrepreneurial behavior. However, empirical evidence for this relationship is scarce and inconsistent. Addressing this issue, the current study examines the moderating role of psychological empowerment on the relationship among transformational leadership, transactional leadership, and entrepreneurial behavior. Data were gathered from a cross-industry sample of 557 employees and 64 leaders from eight different knowledge-intensive organizations. The results show that transformational leadership is positively related to entrepreneurial behavior, whereas transactional leadership negatively influences it. We found that transformational leadership is positively related to entrepreneurial behavior only when psychological empowerment is high, whereas transactional leadership has a negative relationship with entrepreneurial behavior only under these conditions.</t>
  </si>
  <si>
    <t>[Afsar, Bilal] Hazara Univ Mansehra, Dept Management Sci, Mansehra, Pakistan; [Badir, Yuosre F.] Asian Inst Technol, Sch Management, Pathum Thani, Thailand; [Saeed, Bilal Bin; Hafeez, Shakir] COMSATS Abbottabad, Dept Management Scit, Abbottabad, Pakistan</t>
  </si>
  <si>
    <t>Hazara University; Asian Institute of Technology; COMSATS University Islamabad (CUI)</t>
  </si>
  <si>
    <t>Afsar, B (corresponding author), Hazara Univ Mansehra, Dept Management Sci, Mansehra, Pakistan.</t>
  </si>
  <si>
    <t>bilalafsar@hu.edu.pk</t>
  </si>
  <si>
    <t>Afsar, Bilal/AAU-6522-2020; Bin Saeed, Bilal/AAQ-2783-2020; Badir, Yuosre F./G-7717-2013</t>
  </si>
  <si>
    <t>Badir, Yuosre F./0000-0001-6267-2257; , Bilal/0000-0002-7718-0690</t>
  </si>
  <si>
    <t>10.1080/09585192.2016.1244893</t>
  </si>
  <si>
    <t>EM1OZ</t>
  </si>
  <si>
    <t>WOS:000395088200004</t>
  </si>
  <si>
    <t>Barkai, R; Rosell, J; Blasco, R; Gopher, A</t>
  </si>
  <si>
    <t>Barkai, Ran; Rosell, Jordi; Blasco, Ruth; Gopher, Avi</t>
  </si>
  <si>
    <t>Fire for a Reason: Barbecue at Middle Pleistocene Qesem Cave, Israel</t>
  </si>
  <si>
    <t>CURRENT ANTHROPOLOGY</t>
  </si>
  <si>
    <t>GESHER-BENOT-YAAQOV; USE-WEAR ANALYSIS; MORPHOMETRIC-ANALYSIS; LITHIC ASSEMBLAGES; SPATIAL-ANALYSIS; BLADE PRODUCTION; AMUDIAN LAYERS; CENTRAL HEARTH; ESR/U-SERIES; HAYONIM CAVE</t>
  </si>
  <si>
    <t>Qesem Cave is a Middle Pleistocene site in Israel occupied between 420 and 200 ka. Excavations have revealed a wealth of innovative behaviors most likely practiced by a new hominin lineage. These include early evidence for the habitual and continuous use of fire, the repeated use of a central hearth, systematic flint and bone recycling, early blade production technologies, social hunting strategies and meat-sharing practices, and more. Fire was used throughout the 200,000 years of human occupation of the cave primarily for meat roasting and cooking. Roasting and cooking, we argue, had an important role in providing the necessary caloric intake of the cave's inhabitants. We see fire as an essential element of the new post-Acheulian human adaptation in the Levant. The ample recurring evidence for focused and repeated use of fire for dietary purposes suggests that fire production, control, use, and maintenance were habitually practiced by the cave's inhabitants and that fire-induced calories became central for their survival. We present an integrative view regarding the use of fire at Qesem Cave and discuss the role of fire within the framework of the significant cultural and biological transformations that took shape in the post-Acheulian Levant during the Middle Pleistocene.</t>
  </si>
  <si>
    <t>[Barkai, Ran; Blasco, Ruth; Gopher, Avi] Tel Aviv Univ, Inst Archaeol, POB 39040, IL-69978 Tel Aviv, Israel; [Rosell, Jordi] Univ Rovira &amp; Virgili, Area Prehist, Ave Catalunya 35, Tarragona, Spain; [Rosell, Jordi] Inst Catala Paleoecol Humana &amp; Evolucio Social IP, Zona Educ 4,Campus Sescelades URV,Edifici W3, Tarragona 43007, Spain; [Blasco, Ruth] Ctr Nacl Invest Evoluc Humana, Paseo Sierra Atapuerca 3, Burgos 09002, Spain</t>
  </si>
  <si>
    <t>Tel Aviv University; Universitat Rovira i Virgili; Universitat Rovira i Virgili; Catalan Institute of Human Paleo-Ecology &amp; Social Evolution (IPHES); Centro Nacional de Investigacion de La Evolucion Humana (CENIEH)</t>
  </si>
  <si>
    <t>Barkai, R (corresponding author), Tel Aviv Univ, Inst Archaeol, POB 39040, IL-69978 Tel Aviv, Israel.</t>
  </si>
  <si>
    <t>barkaran@post.tau.ac.il; jordi.rosellardevol@gmail.com; rblascolopez@gmail.com; agopher@post.tau.ac.il</t>
  </si>
  <si>
    <t>Rosell, Jordi/G-8705-2015; Barkai, Ran/L-6495-2019; Blasco, Ruth/AAG-8200-2019</t>
  </si>
  <si>
    <t>Rosell, Jordi/0000-0002-6758-6291; Blasco, Ruth/0000-0001-9804-739X; BARKAI, RAN/0000-0002-8125-8788</t>
  </si>
  <si>
    <t>Israel Science Foundation; CARE Archaeological Foundation; Leakey Foundation; Wenner-Gren Foundation; Dan David Foundation; German Research Foundation; Spanish Ministerio de Economia y Competitividad/Fondo Europeo de Desarrollo Regional [CGL2015-65387-C3-1-P, CGL2015-68604-P]; Generalitat de Catalunya-Agencia de Gestio d'Adjuts Universitaris I de Recerca [2014 SGR 900, 2014/100573]; SENECA Foundation [19434/PI/14]</t>
  </si>
  <si>
    <t>Israel Science Foundation(Israel Science Foundation); CARE Archaeological Foundation; Leakey Foundation; Wenner-Gren Foundation; Dan David Foundation; German Research Foundation(German Research Foundation (DFG)); Spanish Ministerio de Economia y Competitividad/Fondo Europeo de Desarrollo Regional; Generalitat de Catalunya-Agencia de Gestio d'Adjuts Universitaris I de Recerca; SENECA Foundation(Fundacion Seneca)</t>
  </si>
  <si>
    <t>We would like to thank Dennis Sandgathe and Francesco Berna, the organizers of the symposium, for their warm hospitality and kindness during the symposium and for the opportunity to publish our work. We thank Leslie Aiello and Laurie Obbink for a perfectly organized and planned symposium carried out in good spirit and with dedication. Special thanks go to the workshop participants for many hours of discussions, laughter, and even some disagreements that made the time enjoyable and fruitful. The Qesem Cave excavation project is supported by the Israel Science Foundation, the CARE Archaeological Foundation, the Leakey Foundation, the Wenner-Gren Foundation, the Dan David Foundation, and the German Research Foundation. J. Rosell and R. Blasco develop their work within the Spanish Ministerio de Economia y Competitividad/Fondo Europeo de Desarrollo Regional projects CGL2015-65387-C3-1-P and CGL2015-68604-P, the Generalitat de Catalunya-Agencia de Gestio d'Adjuts Universitaris I de Recerca projects 2014 SGR 900 and 2014/100573, and the SENECA Foundation project 19434/PI/14. We thank Andrea Zupanchich and Flavia Venditti for providing us illustrative material from their experimental work.</t>
  </si>
  <si>
    <t>1427 E 60TH ST, CHICAGO, IL 60637-2954 USA</t>
  </si>
  <si>
    <t>0011-3204</t>
  </si>
  <si>
    <t>1537-5382</t>
  </si>
  <si>
    <t>CURR ANTHROPOL</t>
  </si>
  <si>
    <t>Curr. Anthropol.</t>
  </si>
  <si>
    <t>S314</t>
  </si>
  <si>
    <t>S328</t>
  </si>
  <si>
    <t>10.1086/691211</t>
  </si>
  <si>
    <t>Anthropology</t>
  </si>
  <si>
    <t>FE0HC</t>
  </si>
  <si>
    <t>WOS:000407900400014</t>
  </si>
  <si>
    <t>Birdi, K; Leach, D; Magadley, W</t>
  </si>
  <si>
    <t>Birdi, Kamal; Leach, Desmond; Magadley, Wissam</t>
  </si>
  <si>
    <t>The Relationship of Individual Capabilities and Environmental Support with Different Facets of Designers' Innovative Behavior</t>
  </si>
  <si>
    <t>RESEARCH-AND-DEVELOPMENT; EMPLOYEE CREATIVITY; CONTEXTUAL FACTORS; SOCIAL-PSYCHOLOGY; WORK-ENVIRONMENT; KNOWLEDGE; IMPLEMENTATION; ORIENTATION; PERCEPTIONS; PERSONALITY</t>
  </si>
  <si>
    <t>Theoretical perspectives on employee creativity have tended to focus on an individual's capability to generate original and potentially useful ideas, whereas definitions of innovation also include the process of putting those new ideas into practice. This field study therefore set out to test how theoretically distinct types of individual knowledge and skills are related to different aspects of employees' innovative behavior in terms of both their new idea generation and idea implementation. Using a sample of design engineers (n = 169) in a multinational engineering company, measures were taken of different aspects of innovative work behavior (patent submission, real-time idea submission, idea implementation) and a range of individual capabilities (creativity-relevant skills, job expertise, operational skills, contextual knowledge, and motivation) and environmental features (job control, departmental support for innovation). Analyses showed that creativity-relevant skills were positively related to indices of idea generation but not to idea implementation. Instead, employees' job expertise, operational skills, and motivation to innovate demonstrated a stronger role in idea implementation. In terms of environmental factors, job control showed no positive relationship with innovative work behavior while departmental support for innovation was related to employees' idea generation but not idea implementation. The theoretical perspective that correlates of idea generation differ in certain aspects to those for idea implementation are confirmed by the study. Practical implications for organizations wishing to improve their innovativeness are discussed in terms of tailored training, development, motivational, and environmental interventions designed to improve the capabilities of individuals to engage in all parts of the innovation process.</t>
  </si>
  <si>
    <t>[Birdi, Kamal] Univ Sheffield, Sch Management, Inst Work Psychol, Occupat Psychol, Sheffield S10 2TN, S Yorkshire, England; [Leach, Desmond] Univ Leeds, Sch Business, Org Psychol, Leeds LS2 9JT, W Yorkshire, England; [Magadley, Wissam] Sheffield Hallam Univ, Org Psychol, Sheffield S1 1WB, S Yorkshire, England; [Magadley, Wissam] Al Qasemi Acad Coll Educ, Org Psychol, Baqa Al Gharbiyye, Israel; [Magadley, Wissam] Dirasat Arab Ctr Law &amp; Policy, Nazareth, Israel</t>
  </si>
  <si>
    <t>N8 Research Partnership; RLUK- Research Libraries UK; White Rose University Consortium; University of Sheffield; N8 Research Partnership; RLUK- Research Libraries UK; White Rose University Consortium; University of Leeds; Sheffield Hallam University</t>
  </si>
  <si>
    <t>Birdi, K (corresponding author), Univ Sheffield, Sch Management, Inst Work Psychol, Sheffield S10 1FL, S Yorkshire, England.</t>
  </si>
  <si>
    <t>k.birdi@sheffield.ac.uk</t>
  </si>
  <si>
    <t>Birdi, Kamal/0000-0001-9954-0979</t>
  </si>
  <si>
    <t>10.1111/jpim.12250</t>
  </si>
  <si>
    <t>DB5YL</t>
  </si>
  <si>
    <t>Green Accepted, hybrid</t>
  </si>
  <si>
    <t>WOS:000368589800003</t>
  </si>
  <si>
    <t>Adarves-Yorno, I; Postmes, T; Haslam, SA</t>
  </si>
  <si>
    <t>Adarves-Yorno, Inmaculada; Postmes, Tom; Haslam, S. Alexander</t>
  </si>
  <si>
    <t>Creative innovation or crazy irrelevance? The contribution of group norms and social identity to creative behavior</t>
  </si>
  <si>
    <t>JOURNAL OF EXPERIMENTAL SOCIAL PSYCHOLOGY</t>
  </si>
  <si>
    <t>creativity; social identity; norms; group behavior</t>
  </si>
  <si>
    <t>ANONYMITY; SELF</t>
  </si>
  <si>
    <t>This paper develops an analysis of innovative behavior and creativity that is informed by the social identity perspective. Two studies manipulated group norms and analyzed their impact on creative behavior. The results of Study I show that when people are asked to make a creative product collectively they display conformity to ingroup norms, but that they deviate from ingroup norms when group members make the same products on their own. A parallel result was found in group members' private perceptions of what they consider creative. In Study 2, the social identity of participants was made salient. Results showed conformity to group norms even when group members worked on their own creations. Findings suggest that innovative behavior is informed by normative context, and that in contexts in which people operate as members of a group (either physically through collective action, or psychologically through social identity salience) innovation will respect normative boundaries. (c) 2006 Elsevier Inc. All rights reserved.</t>
  </si>
  <si>
    <t>Univ Exeter, Exeter EX4 4QJ, Devon, England</t>
  </si>
  <si>
    <t>RLUK- Research Libraries UK; University of Exeter</t>
  </si>
  <si>
    <t>Adarves-Yorno, I (corresponding author), Univ Exeter, Exeter EX4 4QJ, Devon, England.</t>
  </si>
  <si>
    <t>I.Adarves-Yorno@exeter.ac.uk</t>
  </si>
  <si>
    <t>Postmes, Tom/A-9004-2010; Haslam, Alex/AAA-2512-2019</t>
  </si>
  <si>
    <t>Postmes, Tom/0000-0002-8029-7398; Haslam, Alex/0000-0001-9523-7921; Adarves-Yorno, Inmaculada/0000-0002-6899-9979</t>
  </si>
  <si>
    <t>Economic and Social Research Council [RES-000-27-0050] Funding Source: researchfish</t>
  </si>
  <si>
    <t>Economic and Social Research Council(UK Research &amp; Innovation (UKRI)Economic &amp; Social Research Council (ESRC))</t>
  </si>
  <si>
    <t>0022-1031</t>
  </si>
  <si>
    <t>1096-0465</t>
  </si>
  <si>
    <t>J EXP SOC PSYCHOL</t>
  </si>
  <si>
    <t>J. Exp. Soc. Psychol.</t>
  </si>
  <si>
    <t>10.1016/j.jesp.2006.02.013</t>
  </si>
  <si>
    <t>164JD</t>
  </si>
  <si>
    <t>WOS:000246229000008</t>
  </si>
  <si>
    <t>Yu, MC; Mai, Q; Tsai, SB; Dai, Y</t>
  </si>
  <si>
    <t>Yu, Ming-Chuan; Mai, Qiang; Tsai, Sang-Bing; Dai, Yi</t>
  </si>
  <si>
    <t>An Empirical Study on the Organizational Trust, Employee-Organization Relationship and Innovative Behavior from the Integrated Perspective of Social Exchange and Organizational Sustainability</t>
  </si>
  <si>
    <t>SUSTAINABILITY</t>
  </si>
  <si>
    <t>organizational trust; employee-organization relationship; innovative climate; innovative behavior; organizational sustainability; sustainability</t>
  </si>
  <si>
    <t>LEADER-MEMBER EXCHANGE; PSYCHOLOGICAL CONTRACT; TRANSFORMATIONAL LEADERSHIP; CREATIVE PERFORMANCE; TEAM CREATIVITY; CLIMATE; RECIPROCITY; JOB; SUPPORT; MODEL</t>
  </si>
  <si>
    <t>Combining social exchange and inducement-contribution theory as our overarching theoretical framework, we examine innovative climate as a boundary condition and organizational trust as a mediating mechanism to explain when and how the employee-organization relationship (EOR) is associated with workplace innovative behavior. We conducted a field study using multi-source data to test our hypotheses. The results indicated that creativity positively predicted innovative behavior through organizational trust, and an innovative climate moderated the indirect effect of EOR on innovative behavior via organizational trust. The theoretical and practical implications of these findings and directions for future research are discussed.</t>
  </si>
  <si>
    <t>[Yu, Ming-Chuan] Shanghai Normal Univ, Sch Finance &amp; Business, Shanghai 200234, Peoples R China; [Yu, Ming-Chuan] Shanghai Jiao Tong Univ, Antai Coll Econ &amp; Management, Shanghai 200030, Peoples R China; [Mai, Qiang] Harbin Inst Technol, Sch Management, Harbin 150001, Heilongjiang, Peoples R China; [Tsai, Sang-Bing] Univ Elect Sci &amp; Technol China, Zhongshan Inst, Zhongshan 528400, Peoples R China; [Tsai, Sang-Bing] Civil Aviat Univ China, Econ &amp; Management Coll, Tianjin 300300, Peoples R China; [Dai, Yi] Shanghai Dianji Univ, Sch Business, Shanghai 201306, Peoples R China; [Dai, Yi] Shanghai Univ, Sch Management, Shanghai 200444, Peoples R China</t>
  </si>
  <si>
    <t>Shanghai Normal University; Shanghai Jiao Tong University; Harbin Institute of Technology; University of Electronic Science &amp; Technology of China; Civil Aviation University of China; Shanghai Dianji University; Shanghai University</t>
  </si>
  <si>
    <t>Tsai, SB (corresponding author), Univ Elect Sci &amp; Technol China, Zhongshan Inst, Zhongshan 528400, Peoples R China.;Tsai, SB (corresponding author), Civil Aviat Univ China, Econ &amp; Management Coll, Tianjin 300300, Peoples R China.</t>
  </si>
  <si>
    <t>yumingchuan712@shnu.edu.cn; maiqiang@hit.edu.cn; sangbing@hotmail.com; daiy@sdju.edu.cn</t>
  </si>
  <si>
    <t>Tsai, Sang-Bing/C-2978-2014</t>
  </si>
  <si>
    <t>Tsai, Sang-Bing/0000-0001-6988-5829; Yu, Mingchuan/0000-0001-7576-509X</t>
  </si>
  <si>
    <t>MDPI</t>
  </si>
  <si>
    <t>ST ALBAN-ANLAGE 66, CH-4052 BASEL, SWITZERLAND</t>
  </si>
  <si>
    <t>2071-1050</t>
  </si>
  <si>
    <t>SUSTAINABILITY-BASEL</t>
  </si>
  <si>
    <t>Sustainability</t>
  </si>
  <si>
    <t>10.3390/su10030864</t>
  </si>
  <si>
    <t>Green &amp; Sustainable Science &amp; Technology; Environmental Sciences; Environmental Studies</t>
  </si>
  <si>
    <t>Science &amp; Technology - Other Topics; Environmental Sciences &amp; Ecology</t>
  </si>
  <si>
    <t>GA8DA</t>
  </si>
  <si>
    <t>gold</t>
  </si>
  <si>
    <t>WOS:000428567100291</t>
  </si>
  <si>
    <t>Marcon, A; de Medeiros, JF; Ribeiro, JLD</t>
  </si>
  <si>
    <t>Marcon, Arthur; de Medeiros, Janine Fleith; Duarte Ribeiro, Jose Luis</t>
  </si>
  <si>
    <t>Innovation and environmentally sustainable economy: Identifying the best practices developed by multinationals in Brazil</t>
  </si>
  <si>
    <t>Sustainability; Sustainable innovation; Product innovation; Process innovation; Organizational innovation; Marketing innovation</t>
  </si>
  <si>
    <t>RESEARCH-AND-DEVELOPMENT; ECO-INNOVATION; MANAGEMENT-PRACTICES; PRODUCT INNOVATION; EMPIRICAL-EVIDENCE; FIRM PERFORMANCE; BUSINESS MODELS; SYSTEMS; DETERMINANTS; TRANSITION</t>
  </si>
  <si>
    <t>In view of the constant demand for environmentally sustainable innovations and considering the impact that multinational organizations' activities have to speed up or slow down the sustainable development process both locally and globally, this paper identifies and discusses the best environmentally sustainable innovation practices developed by multinationals operating in Brazil. To identify the best practices, we conducted a content analysis based on secondary data of a sustainability report prepared by Fundacao Getillio Vargas and published by a business magazine that annually appoints companies that stand out for their sustainable management practices. The results found in this study allow us to state that the sampled multinationals have been developing product, process, organizational and marketing innovation practices to balance business interests and environmentally sustainable growth. In short, the findings show that multinationals have developed a broad set of actions that cover most of the practices described in the literature. However, considering the practices observed, we note that those related to process innovation appeared more frequently, followed by activities related to organizational innovation, product innovation and marketing innovation. Such observations may be justified once that the shift from a reactive environmental behavior towards a proactive managerial posture involves evolutionary stages. Finally; this paper provides a synthesis of the product, process, organizational and marketing innovations developed by multinationals that may especially benefit researchers and practitioners in search of potential insights towards more sustainable processes, businesses and societies, as well as a framework that describes the transition of multinationals to an environmentally sustainable innovative behavior. (C) 2017 Elsevier Ltd. All rights reserved.</t>
  </si>
  <si>
    <t>[Marcon, Arthur; de Medeiros, Janine Fleith; Duarte Ribeiro, Jose Luis] Univ Fed Rio Grande do Sul, Ind Engn Dept, Av Osvaldo Aranha 99,5 Andar, BR-90035190 Porto Alegre, RS, Brazil</t>
  </si>
  <si>
    <t>Universidade Federal do Rio Grande do Sul</t>
  </si>
  <si>
    <t>Marcon, A (corresponding author), Univ Fed Rio Grande do Sul, Ind Engn Dept, Av Osvaldo Aranha 99,5 Andar, BR-90035190 Porto Alegre, RS, Brazil.</t>
  </si>
  <si>
    <t>arthunmarcon@ufrgs.br; janine@upf.br; ribeiro@producao.ufrgs.br</t>
  </si>
  <si>
    <t>de Medeiros, Janine Fleith/M-4013-2014; Marcon, Arthur/D-7185-2017; Ribeiro, Jose Luis Duarte/I-4276-2016; Marcon, Arthur/ABC-7570-2021; Ribeiro, Jose Luis/AAS-9382-2021; Hallstedt, Sophie I./A-4669-2015</t>
  </si>
  <si>
    <t xml:space="preserve">de Medeiros, Janine Fleith/0000-0002-5060-0632; Marcon, Arthur/0000-0003-0334-3853; Ribeiro, Jose Luis Duarte/0000-0002-5795-4468; Marcon, Arthur/0000-0003-0334-3853; Ribeiro, Jose Luis/0000-0002-5795-4468; </t>
  </si>
  <si>
    <t>10.1016/j.jclepro.2017.02.101</t>
  </si>
  <si>
    <t>EY7XD</t>
  </si>
  <si>
    <t>WOS:000404204600007</t>
  </si>
  <si>
    <t>Choi, SB; Kim, K; Ullah, SME; Kang, SW</t>
  </si>
  <si>
    <t>Choi, Suk Bong; Kim, Kihwan; Ullah, S. M. Ebrahim; Kang, Seung-Wan</t>
  </si>
  <si>
    <t>How transformational leadership facilitates innovative behavior of Korean workers Examining mediating and moderating processes</t>
  </si>
  <si>
    <t>PERSONNEL REVIEW</t>
  </si>
  <si>
    <t>Transformational leadership; Perceived organizational support; Knowledge sharing; Korean workers; Innovative behaviour</t>
  </si>
  <si>
    <t>PERCEIVED ORGANIZATIONAL SUPPORT; TRANSACTIONAL LEADERSHIP; MEMBER EXCHANGE; JOB DEMANDS; PERFORMANCE; CREATIVITY; MANAGEMENT; METAANALYSIS; EMPOWERMENT; ORIENTATION</t>
  </si>
  <si>
    <t>Purpose - The purpose of this paper is to investigate the relationship between transformational leadership (TL) and the innovative behavior of Korean workers. To this end, this paper also examines whether knowledge sharing and perceived organizational support (POS) influence the above causal relationship. Design/methodology/approach - The paper used a cross-sectional design, with questionnaires administered to 356 employees working in Korea manufacturing firms to test the relationship between TL and innovative behavior through knowledge sharing and the moderating role of POS. Findings - TL was significantly related to both employee innovative behavior and knowledge sharing. The results also shown that knowledge sharing mediated and POS positively moderated the relationship between TL and innovative behavior of employees. Research limitations/implications - Future research should examine antecedents of knowledge sharing and measure the effect of TL in other level such as team level, to enhance generalizability. Data should be also collected longitudinally, to extend the current cross-sectional design. Practical implications - Understanding the link between TL and innovative behavior with mediating and moderating factors can provide useful information to increase positive leadership outcomes and innovation performance. Originality/value - The findings point toward a positive relationship between TL and innovative behavior with mediating and moderating factors. In doing so, the paper adds to a body of work where innovative behavior was connected with leaders' behavior and organizational-level predictors.</t>
  </si>
  <si>
    <t>[Choi, Suk Bong; Kang, Seung-Wan] Korea Univ, Coll Business &amp; Econ, Sejong City, South Korea; [Kim, Kihwan] Buena Vista Univ, Sch Business, Storm Lake, IA USA; [Ullah, S. M. Ebrahim] Samsung R&amp;D Inst Bangladesh Ltd, Dept Human Resources, Dhaka, Bangladesh</t>
  </si>
  <si>
    <t>Korea University</t>
  </si>
  <si>
    <t>Kang, SW (corresponding author), Korea Univ, Coll Business &amp; Econ, Sejong City, South Korea.</t>
  </si>
  <si>
    <t>global7@gachon.ac.kr</t>
  </si>
  <si>
    <t>0048-3486</t>
  </si>
  <si>
    <t>1758-6933</t>
  </si>
  <si>
    <t>PERS REV</t>
  </si>
  <si>
    <t>Pers. Rev.</t>
  </si>
  <si>
    <t>10.1108/PR-03-2014-0058</t>
  </si>
  <si>
    <t>Industrial Relations &amp; Labor; Psychology, Applied; Management</t>
  </si>
  <si>
    <t>DJ4MU</t>
  </si>
  <si>
    <t>WOS:000374180600002</t>
  </si>
  <si>
    <t>Choi, JN</t>
  </si>
  <si>
    <t>Choi, Jin Nam</t>
  </si>
  <si>
    <t>Group composition and employee creative behaviour in a Korean electronics company: Distinct effects of relational demography and group diversity</t>
  </si>
  <si>
    <t>TOP MANAGEMENT; INNOVATIVE BEHAVIOR; WORK-ENVIRONMENT; BLACK-BOX; PERFORMANCE; TEAM; CONFLICT; ORGANIZATIONS; DISSIMILARITY; DIFFERENCE</t>
  </si>
  <si>
    <t>Work group composition is one of the key variables that influence individual behaviour in a group setting. This study investigates the effect of individual-level dissimilarities (relational demography) as well as group-level membership heterogeneity (group diversity) on creative behaviour of individual employees. Multi-level analyses of data from 188 work units of a Korean electronics company showed that relational demography in terms of gender and hierarchical status and group diversity in hierarchical status and performance level were negatively related to employee creative behaviour. In contrast, relational demography in terms of age and performance level and group diversity in functional background increased creative behaviour. The results indicate that demographic composition variables have different individual- and cross-level effects on individual employees' creative behaviour. This study demonstrates the need for a multi-level approach to the study of organizational demography.</t>
  </si>
  <si>
    <t>Seoul Natl Univ, Coll Business Adm, Seoul 151742, South Korea</t>
  </si>
  <si>
    <t>Seoul National University (SNU)</t>
  </si>
  <si>
    <t>Choi, JN (corresponding author), Seoul Natl Univ, Coll Business Adm, Shinlim Dong,San 56-1, Seoul 151742, South Korea.</t>
  </si>
  <si>
    <t>jnchoi@snu.ac.kr</t>
  </si>
  <si>
    <t>10.1348/096317906X110250</t>
  </si>
  <si>
    <t>181IP</t>
  </si>
  <si>
    <t>WOS:000247430700003</t>
  </si>
  <si>
    <t>Brouwer, E; Budil-Nadvornikova, H; Kleinknecht, A</t>
  </si>
  <si>
    <t>Are urban agglomerations a better breeding place for product innovation? An analysis of new product announcements</t>
  </si>
  <si>
    <t>REGIONAL STUDIES</t>
  </si>
  <si>
    <t>urban hierarchy and filter down; determinants of product innovation; R&amp;D; regional knowledge spillovers</t>
  </si>
  <si>
    <t>RESEARCH-AND-DEVELOPMENT; REGIONAL-DEVELOPMENT; TECHNOLOGY; INDUSTRY; UK</t>
  </si>
  <si>
    <t>Regions matter for innovative behaviour. Compared to firms in rural regions, firms in urban agglomerations of the Netherlands dedicate a higher share of their R&amp;D to product (rather than process) development. Moreover, in our Hurdle Count Data estimate of determinants of new product announcements we find that, with a given product R&amp;D intensity, firms in central regions have higher probabilities of announcing at least one new product in a journal and they also announce new products in larger numbers. The results add to the literature on regional knowledge spillovers.</t>
  </si>
  <si>
    <t>Univ Amsterdam, Fdn Econ Res, SEO, NL-1018 WB Amsterdam, Netherlands; Delft Univ Technol, Dept Econ, NL-2628 EB Delft, Netherlands</t>
  </si>
  <si>
    <t>University of Amsterdam; Delft University of Technology</t>
  </si>
  <si>
    <t>Brouwer, E (corresponding author), Univ Amsterdam, Fdn Econ Res, SEO, Roetersstr 11, NL-1018 WB Amsterdam, Netherlands.</t>
  </si>
  <si>
    <t>4 PARK SQUARE, MILTON PARK, ABINGDON OX14 4RN, OXFORDSHIRE, ENGLAND</t>
  </si>
  <si>
    <t>0034-3404</t>
  </si>
  <si>
    <t>REG STUD</t>
  </si>
  <si>
    <t>Reg. Stud.</t>
  </si>
  <si>
    <t>10.1080/00343409950078233</t>
  </si>
  <si>
    <t>Economics; Environmental Studies; Geography; Regional &amp; Urban Planning</t>
  </si>
  <si>
    <t>Business &amp; Economics; Environmental Sciences &amp; Ecology; Geography; Public Administration</t>
  </si>
  <si>
    <t>230MQ</t>
  </si>
  <si>
    <t>WOS:000082255300004</t>
  </si>
  <si>
    <t>Scott, SG; Bruce, RA</t>
  </si>
  <si>
    <t>Following the leader in R &amp; D: The joint effect of subordinate problem-solving style and leader-member relations on innovative behavior</t>
  </si>
  <si>
    <t>IEEE TRANSACTIONS ON ENGINEERING MANAGEMENT</t>
  </si>
  <si>
    <t>innovative behavior; leader-member relations; leadership</t>
  </si>
  <si>
    <t>EXCHANGE; MODEL</t>
  </si>
  <si>
    <t>There have been relatively few theoretically based empirical studies of leadership in research and development (R&amp;D) settings despite theoretical indications of its importance, Some recent studies have found support for a relationship between transformational leadership and R&amp;D project success, In the current study, we discuss the transactional and transformational nature of leader-member-exchange (LMX) theory. We then develop hypotheses regarding the relationship of LMX and problem-solving style to individual innovative behavior, We tested these hypotheses in two independent samples of R&amp;D professionals. The results of hierarchical regression supported the hypotheses; innovative behavior was negatively related to associative and positively related to bisociative problem-solving style, and innovative behavior was positively related to LMX. Further, LMX explained variance in innovative behavior beyond that explained by problem-solving style alone, This relationship was shown to hold regardless of the type of task in which the R&amp;D professionals were engaged, Implications for theory and for practicing managers are discussed.</t>
  </si>
  <si>
    <t>Univ Colorado, Coll Business Adm, Colorado Springs, CO 80919 USA; Univ Louisville, Coll Business &amp; Publ Adm, Louisville, KY 40292 USA</t>
  </si>
  <si>
    <t>University of Colorado System; University of Colorado at Colorado Springs; University of Louisville</t>
  </si>
  <si>
    <t>Scott, SG (corresponding author), Univ Colorado, Coll Business Adm, Colorado Springs, CO 80919 USA.</t>
  </si>
  <si>
    <t>IEEE-INST ELECTRICAL ELECTRONICS ENGINEERS INC</t>
  </si>
  <si>
    <t>345 E 47TH ST, NEW YORK, NY 10017-2394 USA</t>
  </si>
  <si>
    <t>0018-9391</t>
  </si>
  <si>
    <t>IEEE T ENG MANAGE</t>
  </si>
  <si>
    <t>IEEE Trans. Eng. Manage.</t>
  </si>
  <si>
    <t>10.1109/17.658656</t>
  </si>
  <si>
    <t>YT518</t>
  </si>
  <si>
    <t>WOS:000071615100001</t>
  </si>
  <si>
    <t>Woods, SA; Mustafa, MJ; Anderson, N; Sayer, B</t>
  </si>
  <si>
    <t>Woods, Stephen A.; Mustafa, Michael James; Anderson, Neil; Sayer, Benjamin</t>
  </si>
  <si>
    <t>Innovative work behavior and personality traits: Examining the moderating effects of organizational tenure</t>
  </si>
  <si>
    <t>Innovation; Big Five; Personality; Tenure; Innovative work behaviour; Openness; Conscientiousness; IWB</t>
  </si>
  <si>
    <t>PREDICTING JOB-PERFORMANCE; CREATIVITY; MODEL; PERCEPTIONS; INVOLVEMENT; EMPLOYEE; DEMANDS; CONSCIENTIOUSNESS; IMPLEMENTATION; DETERMINANTS</t>
  </si>
  <si>
    <t>Purpose The literature on individual differences in innovative work behavior (IWB) reveals inconsistencies in the relations of personality traits and tenure on innovation at work. To provide greater clarity about the effects of these antecedents, the purpose of this paper is to report a study of the moderating effects of tenure on the associations of traits and IWB, and apply a theoretical lens based on the trait-activation theory. Design/methodology/approach In all, 146 employees of a UK-based financial institution completed measures of conscientiousness and openness, and had three aspects of IWB (idea generation, promotion, and realization) rated by their line-supervisor. All participants were on graduate training programs. Hierarchical regression analyses were used to test the moderating effects of tenure on the associations of the self-reported traits with the supervisor-rated IWB outcomes. Findings Tenure moderated the effects of conscientiousness on IWB, with highly conscientious employees being less innovative with longer tenure. Tenure moderated the effect of openness with idea generation with highly open employees generating more ideas if they were longer tenured. Practical implications Management of innovation requires differentiated strategies based on the personality traits and tenure of individual employees. Implications for recruitment, socialization and development are discussed. Originality/value This is the first study to examine empirically the interactions of traits and contextual factors (i.e. organizational tenure) on IWB, framed around a strong theoretical foundation (i.e. trait activation theory). The study also makes notable contributions by measuring innovative behavior using a supervisor-rated and multidimensional approach.</t>
  </si>
  <si>
    <t>[Woods, Stephen A.] Univ Surrey, Surrey Business Sch, Guildford, Surrey, England; [Mustafa, Michael James] Univ Nottingham Malaysia Campus, Nottingham Univ Business Sch, Semenyih, Malaysia; [Anderson, Neil] Brunel Univ London, London, England; [Sayer, Benjamin] Aston Univ, Aston Business Sch, Birmingham, W Midlands, England</t>
  </si>
  <si>
    <t>University of Surrey; University of Nottingham Malaysia; Brunel University; Aston University</t>
  </si>
  <si>
    <t>Woods, SA (corresponding author), Univ Surrey, Surrey Business Sch, Guildford, Surrey, England.</t>
  </si>
  <si>
    <t>s.a.woods@surrey.ac.uk; michael.mustafa@nottingham.edu.my; Neil.Anderson@brunel.ac.uk; benjamin_sayer@hotmail.co.uk</t>
  </si>
  <si>
    <t>Woods, Stephen A/0000-0003-3331-2329</t>
  </si>
  <si>
    <t>10.1108/JMP-01-2017-0016</t>
  </si>
  <si>
    <t>FY4TO</t>
  </si>
  <si>
    <t>WOS:000426819300003</t>
  </si>
  <si>
    <t>Bogliacino, F; Pianta, M</t>
  </si>
  <si>
    <t>Bogliacino, Francesco; Pianta, Mario</t>
  </si>
  <si>
    <t>The Pavitt Taxonomy, revisited: patterns of innovation in manufacturing and services</t>
  </si>
  <si>
    <t>ECONOMIA POLITICA</t>
  </si>
  <si>
    <t>Innovation; Innovation surveys; Pavitt Taxonomy</t>
  </si>
  <si>
    <t>RESEARCH-AND-DEVELOPMENT; FOREIGN DIRECT-INVESTMENT; SECTORAL PATTERNS; TECHNOLOGICAL PARADIGMS; EMPIRICAL-EVIDENCE; KNOWLEDGE-BASE; DYNAMICS; FIRMS; DETERMINANTS; EXPLOITATION</t>
  </si>
  <si>
    <t>In this article we discuss how to summarize the persistent and large heterogeneity in innovative behaviour and economic performance. A revision of the Pavitt (1984) Taxonomy-covering manufacturing and services, as well as ICT activities-is proposed as a key tool for identifying common characteristics and diversities in patterns. An extensive analysis of innovation survey data, on sources, objectives, inputs and outcomes of innovation, allows us to test alternative industry groupings, leading to an extensive assessment of a Revised Pavitt Taxonomy that is able to capture major structural differences in the relationship between innovation and performance. As industries' classifications has changed from NACE Rev. 1 to NACE Rev. 2 in 2008, a revised Pavitt Taxonomy is also provided for the new industries.</t>
  </si>
  <si>
    <t>[Bogliacino, Francesco] Univ Nacl Colombia, Carrera 30,45-03, Bogota, Colombia; [Pianta, Mario] Univ Urbino, Urbino, Italy</t>
  </si>
  <si>
    <t>Universidad Nacional de Colombia; University of Urbino</t>
  </si>
  <si>
    <t>Bogliacino, F (corresponding author), Univ Nacl Colombia, Carrera 30,45-03, Bogota, Colombia.</t>
  </si>
  <si>
    <t>francesco.bogliacino@gmail.com</t>
  </si>
  <si>
    <t>Bogliacino, Francesco/0000-0001-8874-8846</t>
  </si>
  <si>
    <t>SPRINGER INTERNATIONAL PUBLISHING AG</t>
  </si>
  <si>
    <t>CHAM</t>
  </si>
  <si>
    <t>GEWERBESTRASSE 11, CHAM, CH-6330, SWITZERLAND</t>
  </si>
  <si>
    <t>1120-2890</t>
  </si>
  <si>
    <t>1973-820X</t>
  </si>
  <si>
    <t>ECON POLIT-ITALY</t>
  </si>
  <si>
    <t>Econ. Polit.</t>
  </si>
  <si>
    <t>10.1007/s40888-016-0035-1</t>
  </si>
  <si>
    <t>Economics</t>
  </si>
  <si>
    <t>DU0WL</t>
  </si>
  <si>
    <t>WOS:000381925400003</t>
  </si>
  <si>
    <t>Bokony, V; Lendvai, AZ; Vagasi, CI; Patras, L; Pap, PL; Nemeth, J; Vincze, E; Papp, S; Preiszner, B; Seress, G; Liker, A</t>
  </si>
  <si>
    <t>Bokony, Veronika; Lendvai, Adam Z.; Vagasi, Csongor I.; Patras, Laura; Pap, Peter L.; Nemeth, Jozsef; Vincze, Erno; Papp, Sandor; Preiszner, Balint; Seress, Gabor; Liker, Andras</t>
  </si>
  <si>
    <t>Necessity or capacity? Physiological state predicts problem-solving performance in house sparrows</t>
  </si>
  <si>
    <t>BEHAVIORAL ECOLOGY</t>
  </si>
  <si>
    <t>animal innovation; coccidiosis; learning; oxidative status; stress physiology</t>
  </si>
  <si>
    <t>OXIDATIVE STRESS; INDIVIDUAL VARIATION; PASSER-DOMESTICUS; COGNITIVE-ABILITY; GREAT TITS; LONG-TERM; BEHAVIOR; WILD; CORTICOSTERONE; INFECTION</t>
  </si>
  <si>
    <t>Innovative behaviors such as exploiting novel food sources can grant significant fitness benefits for animals, yet little is known about the mechanisms driving such phenomena, and the role of physiology is virtually unexplored in wild species. Two hypotheses predict opposing effects of physiological state on innovation success. On one hand, poor physiological condition may promote innovations by forcing individuals with poor competitive abilities to invent alternative solutions. On the other hand, superior physiological condition may ensure greater cognitive capacity and thereby better problem-solving and learning performance. To test these hypotheses, we studied the behavior of wild-caught house sparrows (Passer domesticus) in 4 novel tasks of food acquisition, one of which was presented to the birds in repeated trials, and we investigated the relationships of individual performance with relevant physiological traits. We found that problem-solving performance across the 4 tasks was moderately consistent within individuals. Birds with lower integrated levels of corticosterone, the main avian stress hormone, solved the most difficult task faster and were more efficient learners in the repeated task than birds with higher corticosterone levels. Birds with higher concentration of total glutathione, a key antioxidant, solved 2 relatively easy tasks faster, whereas birds with fewer coccidian parasites tended to solve the difficult task more quickly. Our results, thus, indicate that aspects of physiological state influence problem-solving performance in a context-dependent manner, and these effects on problem-solving capacity, probably including cognitive abilities, are more likely to drive individual innovation success than necessity due to poor condition.</t>
  </si>
  <si>
    <t>[Bokony, Veronika; Vincze, Erno; Papp, Sandor; Preiszner, Balint; Seress, Gabor; Liker, Andras] Univ Pannonia, Dept Limnol, H-8200 Veszprem, Hungary; [Lendvai, Adam Z.] Coll Nyiregyhaza, Dept Biol, H-4400 Nyiregyhaza, Hungary; [Lendvai, Adam Z.] Virginia Tech, Dept Biol, Blacksburg, VA 24060 USA; [Vagasi, Csongor I.; Patras, Laura; Pap, Peter L.] Univ Babes Bolyai, Hungarian Dept Biol &amp; Ecol, Evolutionary Ecol Grp, RO-400006 Cluj Napoca, Romania; [Vagasi, Csongor I.] Univ Debrecen, Dept Evolutionary Zool, MTA DE Lendulet Behav Ecol Res Grp, H-4032 Debrecen, Hungary; [Nemeth, Jozsef] Univ Debrecen, Dept Pharmacol &amp; Pharmacotherapy, H-4029 Debrecen, Hungary; [Liker, Andras] Univ Sheffield, Dept Anim &amp; Plant Sci, Sheffield S10 2TN, S Yorkshire, England</t>
  </si>
  <si>
    <t>University of Pannonia; Virginia Polytechnic Institute &amp; State University; Babes Bolyai University from Cluj; University of Debrecen; University of Debrecen; N8 Research Partnership; RLUK- Research Libraries UK; White Rose University Consortium; University of Sheffield</t>
  </si>
  <si>
    <t>Bokony, V (corresponding author), Univ Pannonia, Dept Limnol, Pf 158, H-8200 Veszprem, Hungary.</t>
  </si>
  <si>
    <t>vbokony@almos.uni-pannon.hu</t>
  </si>
  <si>
    <t>Bókony, Veronika/AAH-7679-2020; Lendvai, Adam Z/B-8546-2008; Vágási, Csongor I./AAU-4548-2020; Vincze, Ernő/Q-8857-2018; Preiszner, Bálint/AAB-7659-2020; Patras, Laura/C-4477-2017</t>
  </si>
  <si>
    <t>Bókony, Veronika/0000-0002-2136-5346; Lendvai, Adam Z/0000-0002-8953-920X; Vágási, Csongor I./0000-0002-8736-2391; Vincze, Ernő/0000-0002-2493-5551; Preiszner, Bálint/0000-0002-3352-2169; Patras, Laura/0000-0002-6981-3881; Seress, Gabor/0000-0001-9828-4934</t>
  </si>
  <si>
    <t>Hungarian Scientific Research Fund (OTKA) [K84132, PD76862, K75965]; Romanian Ministry of Education and Research [PN II RU TE 291/2010]; National Science Foundation [1145625]; Marie Curie Intra-European Fellowship;  [TAMOP-4.2.2.A-11/1/KONV-2012-0064]; Division Of Integrative Organismal Systems; Direct For Biological Sciences [1145625] Funding Source: National Science Foundation</t>
  </si>
  <si>
    <t>Hungarian Scientific Research Fund (OTKA)(Orszagos Tudomanyos Kutatasi Alapprogramok (OTKA)); Romanian Ministry of Education and Research(Ministry of Education and Research - Romania); National Science Foundation(National Science Foundation (NSF)); Marie Curie Intra-European Fellowship(European Commission); ; Division Of Integrative Organismal Systems; Direct For Biological Sciences(National Science Foundation (NSF)NSF - Directorate for Biological Sciences (BIO))</t>
  </si>
  <si>
    <t>We were supported by the Hungarian Scientific Research Fund (OTKA, K84132 to A. L., PD76862 to A.Z.L., and K75965 to J.N.), TAMOP-4.2.2.A-11/1/KONV-2012-0064 to A. L., the Romanian Ministry of Education and Research (PN II RU TE 291/2010 to P. L. P., C. I. V., and L. P.); A.Z.L was supported by the National Science Foundation (1145625) and A. L. by a Marie Curie Intra-European Fellowship.</t>
  </si>
  <si>
    <t>1045-2249</t>
  </si>
  <si>
    <t>1465-7279</t>
  </si>
  <si>
    <t>BEHAV ECOL</t>
  </si>
  <si>
    <t>Behav. Ecol.</t>
  </si>
  <si>
    <t>10.1093/beheco/art094</t>
  </si>
  <si>
    <t>Behavioral Sciences; Biology; Ecology; Zoology</t>
  </si>
  <si>
    <t>Behavioral Sciences; Life Sciences &amp; Biomedicine - Other Topics; Environmental Sciences &amp; Ecology; Zoology</t>
  </si>
  <si>
    <t>271GO</t>
  </si>
  <si>
    <t>WOS:000328380000018</t>
  </si>
  <si>
    <t>Chang, HT; Hsu, HM; Liou, JW; Tsai, CT</t>
  </si>
  <si>
    <t>Chang, Huo-Tsan; Hsu, Hung-Ming; Liou, Jia-Wen; Tsai, Chi-Tung</t>
  </si>
  <si>
    <t>Psychological contracts and innovative behavior: a moderated path analysis of work engagement and job resources</t>
  </si>
  <si>
    <t>INDIVIDUAL INNOVATION; INTRINSIC MOTIVATION; CREATIVITY; DEMANDS; MODEL; ORGANIZATION; LEADERSHIP; EMPLOYEES; CONSERVATION; PERCEPTIONS</t>
  </si>
  <si>
    <t>This study explored the relationships between psychological contract types and innovative behavior. We focused on the mediating effect of work engagement and the moderating effect of job resources (organizational and social resources). Participants were 267 dyads of research and development engineers and their supervisors from 30 high-tech companies. Moderated path analysis was used to test the hypotheses. Findings showed that: (a) work engagement fully mediated the negative relationship between transactional contracts and innovative behavior; in addition, it also fully mediated the positive relationship between relational contracts and innovative behavior; and (b) job resources attenuated the former and strengthened the latter mediating effects. These findings contribute to understanding how, why, and when psychological contract types lead to innovative behavior via work engagement.</t>
  </si>
  <si>
    <t>[Chang, Huo-Tsan; Hsu, Hung-Ming; Tsai, Chi-Tung] Natl Changhua Univ Educ, Grad Inst Human Resource Management, Changhua 500, Taiwan; [Liou, Jia-Wen] Ling Tung Univ, Grad Inst Mkt &amp; Logist Management, Taichung, Taiwan</t>
  </si>
  <si>
    <t>National Changhua University of Education</t>
  </si>
  <si>
    <t>Hsu, HM (corresponding author), Natl Changhua Univ Educ, Grad Inst Human Resource Management, 2 Shi Da Rd, Changhua 500, Taiwan.</t>
  </si>
  <si>
    <t>shm@mail.ttvs.ntct.edu.tw</t>
  </si>
  <si>
    <t>breidahl, emil w. a./E-9170-2014</t>
  </si>
  <si>
    <t>10.1111/jasp.12165</t>
  </si>
  <si>
    <t>235BG</t>
  </si>
  <si>
    <t>WOS:000325688900014</t>
  </si>
  <si>
    <t>Schermuly, CC; Meyer, B; Dammer, L</t>
  </si>
  <si>
    <t>Schermuly, Carsten Christoph; Meyer, Bertolt; Dammer, Lando</t>
  </si>
  <si>
    <t>Leader-Member Exchange and Innovative Behavior The Mediating Role of Psychological Empowerment</t>
  </si>
  <si>
    <t>JOURNAL OF PERSONNEL PSYCHOLOGY</t>
  </si>
  <si>
    <t>leader-member-exchange; psychological empowerment; innovative work behavior</t>
  </si>
  <si>
    <t>TRANSACTIONAL LEADERSHIP; MODERATING ROLE; PERFORMANCE; MODEL; ANTECEDENTS; JOB; CONSEQUENCES; MULTILEVEL; IMPACT; DETERMINANTS</t>
  </si>
  <si>
    <t>This study investigates the process underlying the relationship between leadership and employees' innovative workplace behavior. By combining findings from leader-member exchange (LMX) theory and from research on psychological empowerment, we propose that empowerment mediates the effects of LMX on innovative behavior. We tested the proposed process model with a structural equation model based on a time-lagged questionnaire study with a sample of 225 employees. This design allowed us to investigate the proposed effects under control of the temporal stability of innovative behavior. In partial support of the hypotheses, the model revealed a full mediation of LMX on subsequent innovation behavior via psychological empowerment. The indirect effect was significant even when controlling for the stability of innovative behavior over time.</t>
  </si>
  <si>
    <t>[Schermuly, Carsten Christoph] SRH Univ Berlin, D-10587 Berlin, Germany; [Meyer, Bertolt] Univ Zurich, CH-8006 Zurich, Switzerland; [Dammer, Lando] Univ Maastricht, Maastricht, Netherlands</t>
  </si>
  <si>
    <t>University of Zurich; Maastricht University</t>
  </si>
  <si>
    <t>Schermuly, CC (corresponding author), SRH Univ Berlin, Ernst Reuter Pl 10, D-10587 Berlin, Germany.</t>
  </si>
  <si>
    <t>carsten.schermuly@srh-hochschule-berlin.de</t>
  </si>
  <si>
    <t>Meyer, Bertolt/0000-0003-4695-9252</t>
  </si>
  <si>
    <t>HOGREFE &amp; HUBER PUBLISHERS</t>
  </si>
  <si>
    <t>GOTTINGEN</t>
  </si>
  <si>
    <t>MERKELSTR 3, D-37085 GOTTINGEN, GERMANY</t>
  </si>
  <si>
    <t>1866-5888</t>
  </si>
  <si>
    <t>2190-5150</t>
  </si>
  <si>
    <t>J PERS PSYCHOL</t>
  </si>
  <si>
    <t>J. Pers. Psychol</t>
  </si>
  <si>
    <t>10.1027/1866-5888/a000093</t>
  </si>
  <si>
    <t>206WC</t>
  </si>
  <si>
    <t>WOS:000323554500004</t>
  </si>
  <si>
    <t>Pan, W; Sun, LY; Chow, IHS</t>
  </si>
  <si>
    <t>Pan, Wen; Sun, Li-Yun; Chow, Irene Hau Siu</t>
  </si>
  <si>
    <t>Leader-Member Exchange and Employee Creativity: Test of a Multilevel Moderated Mediation Model</t>
  </si>
  <si>
    <t>VERTICAL DYAD LINKAGE; PSYCHOLOGICAL EMPOWERMENT; INTRINSIC MOTIVATION; TASK INTERDEPENDENCE; INNOVATIVE BEHAVIOR; JOB CHARACTERISTICS; WORK-ENVIRONMENT; PERFORMANCE; ORGANIZATIONS; PERSPECTIVE</t>
  </si>
  <si>
    <t>Drawing on self-determination and social exchange theories, the study examined the mechanisms through which leader-member exchange (LMX) influences employee creativity. Data were obtained from 367 leader-follower dyads at three manufacturing companies in the People's Republic of China. The results of our study revealed that (a) motivation-oriented psychological empowerment and social exchange-oriented felt obligation fully mediate the relationship between LMX and employee creativity, and (b) work-unit structure moderates the indirect effect of LMX on creativity through psychological empowerment, such that the mediated effect of LMX is stronger in organic than in mechanistic work-unit structure.</t>
  </si>
  <si>
    <t>[Sun, Li-Yun] Macau Univ Sci &amp; Technol, Fac Management &amp; Adm, Taipa, Peoples R China; [Chow, Irene Hau Siu] Chinese Univ Hong Kong, Hong Kong, Hong Kong, Peoples R China</t>
  </si>
  <si>
    <t>Macau University of Science &amp; Technology; Chinese University of Hong Kong</t>
  </si>
  <si>
    <t>Sun, LY (corresponding author), Macau Univ Sci &amp; Technol, Fac Management &amp; Adm, Ave Wai Long, Taipa, Peoples R China.</t>
  </si>
  <si>
    <t>lysun@must.edu.mo</t>
  </si>
  <si>
    <t>1532-7043</t>
  </si>
  <si>
    <t>10.1080/08959285.2012.721833</t>
  </si>
  <si>
    <t>037PO</t>
  </si>
  <si>
    <t>WOS:000311119200004</t>
  </si>
  <si>
    <t>Qi, L; Liu, B; Wei, X; Hu, YH</t>
  </si>
  <si>
    <t>Qi, Lei; Liu, Bing; Wei, Xin; Hu, Yanghong</t>
  </si>
  <si>
    <t>Impact of inclusive leadership on employee innovative behavior: Perceived organizational support as a mediator</t>
  </si>
  <si>
    <t>PLOS ONE</t>
  </si>
  <si>
    <t>TRANSFORMATIONAL LEADERSHIP; EMPOWERING LEADERSHIP; WORK-ENVIRONMENT; MEMBER EXCHANGE; CREATIVITY; PERFORMANCE; WORKPLACE; SATISFACTION; PERCEPTIONS; INVOLVEMENT</t>
  </si>
  <si>
    <t>Despite extensive literature on leadership and its impact employee innovative behavior, few studies have explored the relationship between inclusive leadership and employee innovative behavior. To address this gap, this study aimed to investigate how inclusive leadership influenced employee innovative behavior by examining perceived organizational support (POS) as a mediator. We used multi-wave and multi-source data collected at 15 companies in China to test our theoretical model. Results revealed that inclusive leadership had significantly positive effects on POS and employee innovative behavior. Furthermore, POS was positively related to employee innovative behavior and partially mediated the relationship between inclusive leadership and employee innovative behavior. We discussed implications and limitations of this study as well as avenues for future research.</t>
  </si>
  <si>
    <t>[Qi, Lei; Liu, Bing; Wei, Xin] Shandong Univ, Sch Management, Jinan, Shandong, Peoples R China; [Hu, Yanghong] Univ Aberdeen, Sch Business, Kings Coll, Aberdeen, Scotland</t>
  </si>
  <si>
    <t>Shandong University; RLUK- Research Libraries UK; University of Aberdeen</t>
  </si>
  <si>
    <t>Liu, B (corresponding author), Shandong Univ, Sch Management, Jinan, Shandong, Peoples R China.</t>
  </si>
  <si>
    <t>liubing@sdu.edu.cn</t>
  </si>
  <si>
    <t>National Social Science Foundation [14BGL073]; Ministry of Education Humanities and Social Sciences Research Planning Fund Project [19YJA0056]; Shandong Social Science Planning Fund Program [17CLYJ26]; Major Program of Humanities and Social Sciences of Shandong University [17RWZD21]</t>
  </si>
  <si>
    <t>National Social Science Foundation; Ministry of Education Humanities and Social Sciences Research Planning Fund Project; Shandong Social Science Planning Fund Program; Major Program of Humanities and Social Sciences of Shandong University</t>
  </si>
  <si>
    <t>This research was financially supported by the National Social Science Foundation (14BGL073), Ministry of Education Humanities and Social Sciences Research Planning Fund Project (19YJA0056), Shandong Social Science Planning Fund Program (17CLYJ26), Major Program of Humanities and Social Sciences of Shandong University (17RWZD21), Bing Liu as the funding recipients.</t>
  </si>
  <si>
    <t>1932-6203</t>
  </si>
  <si>
    <t>PLoS One</t>
  </si>
  <si>
    <t>FEB 28</t>
  </si>
  <si>
    <t>e0212091</t>
  </si>
  <si>
    <t>10.1371/journal.pone.0212091</t>
  </si>
  <si>
    <t>HN7LS</t>
  </si>
  <si>
    <t>Green Published, gold, Green Submitted</t>
  </si>
  <si>
    <t>WOS:000460371500016</t>
  </si>
  <si>
    <t>Parush, Y; Assaf, E; Slon, V; Gopher, A; Barkai, R</t>
  </si>
  <si>
    <t>Parush, Yoni; Assaf, Ella; Slon, Viviane; Gopher, Avi; Barkai, Ran</t>
  </si>
  <si>
    <t>Looking for sharp edges: Modes of flint recycling at Middle Pleistocene Qesem Cave, Israel</t>
  </si>
  <si>
    <t>QUATERNARY INTERNATIONAL</t>
  </si>
  <si>
    <t>Qesem Cave; Acheuleo-Yabrudian Cultural Complex; Lithic recycling; Lower Paleolithic; Lithic technology; Use wear</t>
  </si>
  <si>
    <t>SPATIAL-ORGANIZATION; ASSEMBLAGE; VARIABILITY; HEARTH; SERIES; TABUN; END</t>
  </si>
  <si>
    <t>Qesem Cave is a Middle Pleistocene site in Israel assigned to the Acheulo-Yabrudian Cultural Complex (AYCC). The cave reveals a suite of innovative behaviors including intensive flint recycling activities. In this paper, we present a new classification system, developed for the study of lithic recycling at Qesem Cave. Through the careful technological analysis of hundreds of recycled items we have identified several recycling modes at Qesem Cave, including a specific production trajectory of blades and knives recycled from old flakes. We argue that the study of lithic recycling provides a significant glance at human decision-making processes and the technological repertoire of the late Lower Paleolithic, which are particularly pronounced when practiced within a lithic economy that enjoyed abundance rather than scarcity of stone. Our observations provide a more coherent view of AYCC lithic recycling which might be applied to the study of lithic recycling in other Paleolithic contexts. (C) 2014 Elsevier Ltd and INQUA. All rights reserved.</t>
  </si>
  <si>
    <t>[Parush, Yoni; Assaf, Ella; Gopher, Avi; Barkai, Ran] Tel Aviv Univ, Inst Archaeol, IL-69978 Tel Aviv, Israel; [Slon, Viviane] Tel Aviv Univ, Sackler Fac Med, Dept Anat &amp; Anthropol, IL-69978 Tel Aviv, Israel</t>
  </si>
  <si>
    <t>Tel Aviv University; Tel Aviv University; Sackler Faculty of Medicine</t>
  </si>
  <si>
    <t>Parush, Y (corresponding author), Tel Aviv Univ, Inst Archaeol, IL-69978 Tel Aviv, Israel.</t>
  </si>
  <si>
    <t>yoniparush@gmail.com</t>
  </si>
  <si>
    <t>Barkai, Ran/L-6495-2019</t>
  </si>
  <si>
    <t>BARKAI, RAN/0000-0002-8125-8788</t>
  </si>
  <si>
    <t>Israel Science Foundation; Wenner-Gren Foundation; Leakey foundation</t>
  </si>
  <si>
    <t>Israel Science Foundation(Israel Science Foundation); Wenner-Gren Foundation; Leakey foundation</t>
  </si>
  <si>
    <t>This paper was presented in the workshop The Origins of Recycling: A Paleolithic Perspective held at Tel-Aviv University, Israel. The workshop was kindly supported by the Israel Science Foundation and the Wenner-Gren Foundation. The Qesem Cave lithic analysis is partially supported by the Israel Science Foundation, the Leakey foundation and the Wenner-Gren Foundation. We thank Pavel Shrago (TAU) for the photographs in this article.</t>
  </si>
  <si>
    <t>1040-6182</t>
  </si>
  <si>
    <t>1873-4553</t>
  </si>
  <si>
    <t>QUATERN INT</t>
  </si>
  <si>
    <t>Quat. Int.</t>
  </si>
  <si>
    <t>MAR 10</t>
  </si>
  <si>
    <t>10.1016/j.quaint.2014.07.057</t>
  </si>
  <si>
    <t>Geography, Physical; Geosciences, Multidisciplinary</t>
  </si>
  <si>
    <t>Science Citation Index Expanded (SCI-EXPANDED); Arts &amp;amp; Humanities Citation Index (A&amp;amp;HCI)</t>
  </si>
  <si>
    <t>Physical Geography; Geology</t>
  </si>
  <si>
    <t>CD3RN</t>
  </si>
  <si>
    <t>WOS:000350998000006</t>
  </si>
  <si>
    <t>Battistelli, A; Montani, F; Odoardi, C</t>
  </si>
  <si>
    <t>Battistelli, Adalgisa; Montani, Francesco; Odoardi, Carlo</t>
  </si>
  <si>
    <t>The impact of feedback from job and task autonomy in the relationship between dispositional resistance to change and innovative work behaviour</t>
  </si>
  <si>
    <t>Autonomy; Feedback; Innovation; Innovative behaviour; Resistance to change</t>
  </si>
  <si>
    <t>LEADER-MEMBER EXCHANGE; ORGANIZATIONAL-CHANGE; INDIVIDUAL INNOVATION; INTERACTIONIST MODEL; PERFORMANCE FEEDBACK; CONTEXTUAL FACTORS; CREATIVITY; PERSONALITY; PREDICTORS; DEMANDS</t>
  </si>
  <si>
    <t>Building on an interactionist approach, the present study investigated the moderating role of two task design characteristics, namely task autonomy and feedback from job, in the relationship between dispositional resistance to change and innovative work behaviour. Consistent with a trait activation perspective, it was specifically hypothesized that dispositional resistance to change would have a stronger, positive association with innovative performance when autonomy and feedback were high than when they were low. In a sample of 270 employees from the public sector, task autonomy was found to significantly interact with both composite resistance to change and with three of the four dimensions (routine seeking, short-term thinking, and emotional reaction). Simple slope analyses specifically revealed that individuals high in short-term thinking and emotional reaction exhibited positive relationships with innovative behaviour only in the case of high task autonomy, whereas in the case of low autonomy the relationship was nonsignificant. Furthermore, feedback from job was found to moderate the relationship between overarching dispositional resistance to change, short-term thinking, and emotional reaction, on one hand, and innovative performance, on the other, such that a positive and significant association emerged only in the case of high feedback.</t>
  </si>
  <si>
    <t>[Battistelli, Adalgisa; Montani, Francesco] Univ Montpellier 3, Lab Epsylon EA Dynam Human Abil &amp; Hlth Behav 4556, F-34032 Montpellier, France; [Odoardi, Carlo] Univ Florence, Dept Psychol, Florence, Italy</t>
  </si>
  <si>
    <t>Universite de Montpellier; Universite Paul-Valery; University of Florence</t>
  </si>
  <si>
    <t>Montani, F (corresponding author), 4 Blvd Henri 4, F-34000 Montpellier, France.</t>
  </si>
  <si>
    <t>francesco.montani@univr.it</t>
  </si>
  <si>
    <t>Battistelli, Adalgisa/B-5059-2012</t>
  </si>
  <si>
    <t>FEB 1</t>
  </si>
  <si>
    <t>10.1080/1359432X.2011.616653</t>
  </si>
  <si>
    <t>071XJ</t>
  </si>
  <si>
    <t>WOS:000313630400004</t>
  </si>
  <si>
    <t>Thomas, R</t>
  </si>
  <si>
    <t>Thomas, Rhodri</t>
  </si>
  <si>
    <t>Business elites, universities and knowledge transfer in tourism</t>
  </si>
  <si>
    <t>Business elites; Knowledge transfer; Learning; Networks; Universities; Research policy</t>
  </si>
  <si>
    <t>ABSORPTIVE-CAPACITY; LEARNING-THEORY; MANAGEMENT; INNOVATION; INDUSTRY; AUSTRALIA; WOMEN; POWER</t>
  </si>
  <si>
    <t>Policy-makers charged with enhancing the competitiveness of tourism, sometimes draw attention to the potential contribution of universities to strengthening innovative behaviour in the private sector. Business elites (very senior managers of large enterprises) play a key role in determining the propensity of organisations to participate in knowledge transfer with higher education institutions. This paper examines the process of knowledge acquisition among ten British business elites, who between them employ tens of thousands of workers, and the (potential) contribution of universities to that activity. Qualitative data are interpreted using concepts from the literature on knowledge transfer and Mezirow's theory of adult learning. The findings suggest that business elites not only operate within communities of practice but also tend to learn within their own 'meaning perspectives'. As a result, initiatives aimed at strengthening engagement are not likely to succeed unless they are able to influence how elites approach their own learning. (C) 2011 Elsevier Ltd. All rights reserved.</t>
  </si>
  <si>
    <t>Leeds Metropolitan Univ, UK Ctr Events Management, Leeds LS6 3QW, W Yorkshire, England</t>
  </si>
  <si>
    <t>Leeds Beckett University</t>
  </si>
  <si>
    <t>Thomas, R (corresponding author), Leeds Metropolitan Univ, UK Ctr Events Management, 214 Bronte Hall, Leeds LS6 3QW, W Yorkshire, England.</t>
  </si>
  <si>
    <t>r.thomas@leedsmet.ac.uk</t>
  </si>
  <si>
    <t>Oliveira, Aline L/D-2475-2011</t>
  </si>
  <si>
    <t>Economic and Social Research Council [ES/I01585X/1, RES-186-27-0015] Funding Source: researchfish; ESRC [ES/I01585X/1, RES-186-27-0015] Funding Source: UKRI</t>
  </si>
  <si>
    <t>Economic and Social Research Council(UK Research &amp; Innovation (UKRI)Economic &amp; Social Research Council (ESRC)); ESRC(UK Research &amp; Innovation (UKRI)Economic &amp; Social Research Council (ESRC))</t>
  </si>
  <si>
    <t>10.1016/j.tourman.2011.06.009</t>
  </si>
  <si>
    <t>887ZM</t>
  </si>
  <si>
    <t>WOS:000299973600008</t>
  </si>
  <si>
    <t>Wang, YL; Ellinger, AD</t>
  </si>
  <si>
    <t>Wang, Yu-Lin; Ellinger, Andrea D.</t>
  </si>
  <si>
    <t>Organizational learning Perception of external environment and innovation performance</t>
  </si>
  <si>
    <t>Organizational learning; Workplace training; Innovation; Organizational performance; Individual development; Information dissemination; Competitive advantage; Human resource management</t>
  </si>
  <si>
    <t>ENTREPRENEURSHIP; EXPLORATION; PERSPECTIVE; MANAGEMENT; STRATEGY; IMPACT; MODEL</t>
  </si>
  <si>
    <t>Purpose - The purpose of this study was to examine the antecedent, perception of the external environment, and its relationship to organizational learning, as well as explore the relationships between organizational learning and innovation performance at two levels, including individual and organizational-level innovation performance. Design/methodology/approach - Questionnaire data were collected from 268 senior R&amp;D project team members who reported their perception about the external environment and organizational learning along with 83 R&amp;D managers who evaluated their employees' innovative behaviors. Findings - The results indicated that the antecedent of organizational learning, perception of external environment, was significant to organizational learning, and organizational learning was significant to both individual and organization-level innovation performance and contributed more to the individual-level than organizational innovation performance. Originality/value - The value of the study lies in its contributions to the scholarly literature on organizational learning and innovation because examining the antecedent perception of the external environment and the relationships between organizational learning and innovation performance as well as the relationship between individual and organizational-level innovation performance have not received considerable empirical attention.</t>
  </si>
  <si>
    <t>[Wang, Yu-Lin] Natl Cheng Kung Univ, Dept Business Adm, Tainan 70101, Taiwan; [Ellinger, Andrea D.] Univ Texas Tyler, Dept Human Resource Dev &amp; Technol, Tyler, TX 75799 USA</t>
  </si>
  <si>
    <t>National Cheng Kung University; University of Texas System; University of Texas at Tyler</t>
  </si>
  <si>
    <t>Wang, YL (corresponding author), Natl Cheng Kung Univ, Dept Business Adm, Tainan 70101, Taiwan.</t>
  </si>
  <si>
    <t>ywang@mail.ncku.edu.tw</t>
  </si>
  <si>
    <t>5-6</t>
  </si>
  <si>
    <t>10.1108/01437721111158189</t>
  </si>
  <si>
    <t>844OG</t>
  </si>
  <si>
    <t>WOS:000296756300004</t>
  </si>
  <si>
    <t>Rebernik, M; Sirec, K</t>
  </si>
  <si>
    <t>Rebernik, Miroslav; Sirec, Karin</t>
  </si>
  <si>
    <t>Fostering innovation by unlearning tacit knowledge</t>
  </si>
  <si>
    <t>KYBERNETES</t>
  </si>
  <si>
    <t>cybernetics; innovation; knowledge management</t>
  </si>
  <si>
    <t>MANAGEMENT</t>
  </si>
  <si>
    <t>Purpose - The aim of this paper is to investigate the problems of managing tacit knowledge and the importance of unlearning it. As the main problem of managing tacit knowledge lies in the fact that it escapes observation and measurement, an adequate framework that would make some dimensions of tacit knowledge visible has to be developed. Design/methodology/approach - On the basis of literature surveys the authors discuss several types of knowledge and issues related to sharing, learning and, most importantly, unlearning obsolete tacit knowledge dimensions. Findings - To overcome the perpetual elusiveness of tacit knowledge is presented a framework that could help highlight dimensions of tacit knowledge that can be mobilized and observed through the manifestation of different behaviour. It is partly possible to make explicit some dimensions of tacit knowledge that not only contribute to successful sharing and mutual learning, but also enable the identification of those parts of knowledge that hinder innovation and should be unlearned. The better one's understanding of the process of creating and using new knowledge and discarding obsolete knowledge, the more likely it is that organizations will foster innovative behaviour in organizations. Originality/value - Introduced insight is important in understanding the importance of the distinctive requirements of knowledge management related to managing tacit dimensions. In the turbulent and ever-changing business environment, tacit knowledge dimensions grow obsolete very rapidly and hinder innovation processes, so ways of un-leaming this obsolete knowledge have to be found.</t>
  </si>
  <si>
    <t>Univ Maribor, Inst Entrepreneurship &amp; Small Business Management, Fac Econ &amp; Business, SLO-2000 Maribor, Slovenia</t>
  </si>
  <si>
    <t>University of Maribor</t>
  </si>
  <si>
    <t>Rebernik, M (corresponding author), Univ Maribor, Inst Entrepreneurship &amp; Small Business Management, Fac Econ &amp; Business, SLO-2000 Maribor, Slovenia.</t>
  </si>
  <si>
    <t>rebernik@uni-mb.si</t>
  </si>
  <si>
    <t>Širec, Karin/A-5488-2013</t>
  </si>
  <si>
    <t>Širec, Karin/0000-0003-4191-5170</t>
  </si>
  <si>
    <t>0368-492X</t>
  </si>
  <si>
    <t>1758-7883</t>
  </si>
  <si>
    <t>Kybernetes</t>
  </si>
  <si>
    <t>10.1108/03684920710747039</t>
  </si>
  <si>
    <t>Computer Science, Cybernetics</t>
  </si>
  <si>
    <t>Computer Science</t>
  </si>
  <si>
    <t>172BM</t>
  </si>
  <si>
    <t>WOS:000246779100009</t>
  </si>
  <si>
    <t>Lu, SY; Bartol, KM; Venkataramani, V; Zheng, XM; Liu, X</t>
  </si>
  <si>
    <t>Lu, Shuye; Bartol, Kathryn M.; Venkataramani, Vijaya; Zheng, Xiaoming; Liu, Xin</t>
  </si>
  <si>
    <t>PITCHING NOVEL IDEAS TO THE BOSS: THE INTERACTIVE EFFECTS OF EMPLOYEES' IDEA ENACTMENT AND INFLUENCE TACTICS ON CREATIVITY ASSESSMENT AND IMPLEMENTATION</t>
  </si>
  <si>
    <t>LEADER-MEMBER EXCHANGE; CONFIRMATORY FACTOR-ANALYSIS; WORKPLACE CREATIVITY; INNOVATIVE BEHAVIOR; PERSPECTIVE-TAKING; SELLING ISSUES; JOB DEMANDS; PEOPLE; MODEL; WORK</t>
  </si>
  <si>
    <t>Employees' creative ideas often do not receive positive assessments from managers and, therefore, lose the opportunity to be implemented. We draw on Dutton and Ashford's (1993) issue-selling framework to test a dual-approach model predicting that employees' use of both high levels of idea enactment behaviors (characterized by use of demos, prototypes, or other physical objects when presenting ideas) and high levels of upward influence tactics will have an interactive effect on the extent to which their creative ideas are positively assessed by their supervisors and, in turn, implemented. We found support for this interactive effect of idea enactment and influence tactics in two studies: a field study of 192 employees and 54 supervisors in a video game and animation company and an experimental study with 264 participants. In the experimental study, we also demonstrated that the benefits of using this dual approach are more likely to accrue when selling a more novel idea rather than a less novel, more mundane one. Both studies highlight the mediating role of supervisors' creativity assessment in implementing employees' creative ideas.</t>
  </si>
  <si>
    <t>[Lu, Shuye; Bartol, Kathryn M.; Venkataramani, Vijaya] Univ Maryland, Management &amp; Org Dept, Robert H Smith Sch Business, College Pk, MD 20742 USA; [Bartol, Kathryn M.] Univ Maryland, Leadership &amp; Innovat, Robert H Smith Sch Business, College Pk, MD 20742 USA; [Zheng, Xiaoming] Tsinghua Univ, Dept Leadership &amp; Org Management, Sch Econ &amp; Management, Beijing, Peoples R China; [Liu, Xin] Renmin Univ China, Renmin Business Sch, Org &amp; Human Resources Dept, Beijing, Peoples R China</t>
  </si>
  <si>
    <t>University System of Maryland; University of Maryland College Park; University System of Maryland; University of Maryland College Park; Tsinghua University; Renmin University of China</t>
  </si>
  <si>
    <t>Lu, SY (corresponding author), Univ Maryland, Management &amp; Org Dept, Robert H Smith Sch Business, College Pk, MD 20742 USA.</t>
  </si>
  <si>
    <t>shuyelu@rhsmith.umd.edu; kbartol@rhsmith.umd.edu; vvenkata@rhsmith.umd.edu; zhengxm@sem.tsinghua.edu.cn; liuxin@rmbs.ruc.edu.cn</t>
  </si>
  <si>
    <t>National Natural Science Foundation of China [71771133, 71728005]</t>
  </si>
  <si>
    <t>We thank associate editor Markus Baer and three anonymous reviewers for their tremendously helpful and constructive comments. This research was partly supported by the National Natural Science Foundation of China (71771133, 71728005). Correspondence concerning this article should be addressed to Xiaoming Zheng, School of Economics and Management, Tsinghua University, China: zhengxm@sem.tsinghua.edu.cn.</t>
  </si>
  <si>
    <t>10.5465/amj.2016.0942</t>
  </si>
  <si>
    <t>HU3BG</t>
  </si>
  <si>
    <t>WOS:000465145900011</t>
  </si>
  <si>
    <t>Bednall, TC; Rafferty, AE; Shipton, H; Sanders, K; Jackson, CJ</t>
  </si>
  <si>
    <t>Bednall, Timothy C.; Rafferty, Alannah E.; Shipton, Helen; Sanders, Karin; Jackson, Chris J.</t>
  </si>
  <si>
    <t>Innovative Behaviour: How Much Transformational Leadership Do You Need?</t>
  </si>
  <si>
    <t>ORGANIZATIONAL INNOVATION; MANAGING KNOWLEDGE; JOINT IMPACT; CREATIVITY; TRUST; PERFORMANCE; CAPABILITY; WORK; DETERMINANTS; COMMUNITIES</t>
  </si>
  <si>
    <t>Studies on the effects of transformational leadership on employee innovative behaviour have yielded mixed results. The authors argue that one possible explanation for these mixed findings is that researchers have assumed a linear relationship between these constructs. In contrast, they suggest that the relationship between transformational leadership and innovative behaviour is non-linear. Specifically, the authors argue that the positive effects of transformational leadership on innovative behaviour will be stronger at low and high levels of transformational leadership. Moreover, they examine whether the relationship between transformational leadership and innovative behaviour is mediated by knowledge sharing within and between teams. The authors undertake a constructive replication by testing these hypothesized relationships in two studies: (1) a multi-actor team-level study conducted in the USA, and (2) a longitudinal employee-level study of teachers in the Netherlands. Results of both studies reveal that knowledge sharing mediates the relationship between transformational leadership and innovative behaviour, and that the indirect relationship is curvilinear. The authors link these findings to leader substitution theory, proposing that employees turn to their peers and other parties when there is an absence of effective leadership.</t>
  </si>
  <si>
    <t>[Bednall, Timothy C.] Swinburne Univ Technol, Dept Management &amp; Mkt, POB 218,Mail H23,Cnr John &amp; Wakefield St, Hawthorn, Vic 3122, Australia; [Rafferty, Alannah E.] Griffith Univ, Dept Employment Relat &amp; Human Resources, 170 Kessels Rd, Nathan, Qld 4111, Australia; [Shipton, Helen] Nottingham Trent Univ, Coll Business Law &amp; Social Sci, Burton St, Nottingham NG1 4BU, England; [Sanders, Karin; Jackson, Chris J.] Univ New South Wales, Sch Management, Sydney, NSW 2052, Australia</t>
  </si>
  <si>
    <t>Swinburne University of Technology; Griffith University; Nottingham Trent University; University of New South Wales Sydney</t>
  </si>
  <si>
    <t>Bednall, TC (corresponding author), Swinburne Univ Technol, Dept Management &amp; Mkt, POB 218,Mail H23,Cnr John &amp; Wakefield St, Hawthorn, Vic 3122, Australia.</t>
  </si>
  <si>
    <t>tbednall@swin.edu.au</t>
  </si>
  <si>
    <t>Rafferty, Alannah/AAA-6175-2019; Bednall, Timothy/E-3850-2013</t>
  </si>
  <si>
    <t>Rafferty, Alannah/0000-0001-7391-3378; Jackson, Chris/0000-0002-3483-8747; Shipton, Helen/0000-0003-4006-7923; Bednall, Timothy/0000-0001-7385-8751</t>
  </si>
  <si>
    <t>ESRC [ES/J022624/1] Funding Source: UKRI</t>
  </si>
  <si>
    <t>ESRC(UK Research &amp; Innovation (UKRI)Economic &amp; Social Research Council (ESRC))</t>
  </si>
  <si>
    <t>10.1111/1467-8551.12275</t>
  </si>
  <si>
    <t>WOS:000447123100011</t>
  </si>
  <si>
    <t>Ducatez, S; Sol, D; Sayol, F; Lefebvre, L</t>
  </si>
  <si>
    <t>Ducatez, Simon; Sol, Daniel; Sayol, Ferran; Lefebvre, Louis</t>
  </si>
  <si>
    <t>Behavioural plasticity is associated with reduced extinction risk in birds</t>
  </si>
  <si>
    <t>NATURE ECOLOGY &amp; EVOLUTION</t>
  </si>
  <si>
    <t>FOREBRAIN SIZE; BRAIN SIZE; FEEDING INNOVATIONS; BIG BRAINS; COLONIZATION; INTELLIGENCE; EVOLUTION; COGNITION; IMPACT</t>
  </si>
  <si>
    <t>Bird species with a higher propensity towards innovative behaviours are at a lower risk of global extinction and are more likely to have increasing or stable populations than less innovative birds Behavioural plasticity is believed to reduce species vulnerability to extinction, yet global evidence supporting this hypothesis is lacking. We address this gap by quantifying the extent to which birds are observed behaving in novel ways to obtain food in the wild; based on a unique dataset of &gt;3,800 novel behaviours, we show that species with a higher propensity to innovate are at a lower risk of global extinction and are more likely to have increasing or stable populations than less innovative birds. These results mainly reflect a higher tolerance of innovative species to habitat destruction, the main threat for birds.</t>
  </si>
  <si>
    <t>[Ducatez, Simon; Lefebvre, Louis] McGill Univ, Dept Biol, Montreal, PQ, Canada; [Ducatez, Simon; Sol, Daniel; Lefebvre, Louis] Univ Autonoma Barcelona, CREAF, Barcelona, Spain; [Sol, Daniel] CSIC, Barcelona, Spain; [Sayol, Ferran] Univ Gothenburg, Dept Biol &amp; Environm Sci, Gothenburg, Sweden; [Sayol, Ferran] Gothenburg Global Biodivers Ctr, Gothenburg, Sweden</t>
  </si>
  <si>
    <t>McGill University; Autonomous University of Barcelona; Centro de Investigacion Ecologica y Aplicaciones Forestales (CREAF); University of Barcelona; Consejo Superior de Investigaciones Cientificas (CSIC); University of Gothenburg; University of Gothenburg</t>
  </si>
  <si>
    <t>Ducatez, S (corresponding author), McGill Univ, Dept Biol, Montreal, PQ, Canada.;Ducatez, S (corresponding author), Univ Autonoma Barcelona, CREAF, Barcelona, Spain.</t>
  </si>
  <si>
    <t>simon.ducatez@gmail.com</t>
  </si>
  <si>
    <t>Sol, Daniel/A-5238-2008; Sayol, Ferran/ABA-6569-2020</t>
  </si>
  <si>
    <t>Sol, Daniel/0000-0001-6346-6949; Sayol, Ferran/0000-0003-3540-7487</t>
  </si>
  <si>
    <t>Spanish government [CGL2017-90033-P]; NSERC Canada; Audet</t>
  </si>
  <si>
    <t>Spanish government(Spanish Government); NSERC Canada(Natural Sciences and Engineering Research Council of Canada (NSERC)); Audet</t>
  </si>
  <si>
    <t>This research was supported by funds from the Spanish government (grant no. CGL2017-90033-P) to D.S. and a Discovery grant from NSERC Canada to L.L. We are grateful to J. DeVore for discussion and for her comments on a previous version of the manuscript, to J.-N. Audet and the Sol laboratory for discussions, and to O. Lapiedra and S. Bressler for providing photos included in Fig. 1.</t>
  </si>
  <si>
    <t>NATURE PUBLISHING GROUP</t>
  </si>
  <si>
    <t>MACMILLAN BUILDING, 4 CRINAN ST, LONDON N1 9XW, ENGLAND</t>
  </si>
  <si>
    <t>2397-334X</t>
  </si>
  <si>
    <t>NAT ECOL EVOL</t>
  </si>
  <si>
    <t>Nat. Ecol. Evol.</t>
  </si>
  <si>
    <t>+</t>
  </si>
  <si>
    <t>10.1038/s41559-020-1168-8</t>
  </si>
  <si>
    <t>APR 2020</t>
  </si>
  <si>
    <t>Ecology; Evolutionary Biology</t>
  </si>
  <si>
    <t>Environmental Sciences &amp; Ecology; Evolutionary Biology</t>
  </si>
  <si>
    <t>LY0IT</t>
  </si>
  <si>
    <t>WOS:000523952600001</t>
  </si>
  <si>
    <t>Wu, TJ; Wu, YJ</t>
  </si>
  <si>
    <t>Wu, Tung-Ju; Wu, Yenchun Jim</t>
  </si>
  <si>
    <t>Innovative work behaviors, employee engagement, and surface acting A delineation of supervisor-employee emotional contagion effects</t>
  </si>
  <si>
    <t>Work engagement; Surface acting; Innovative behaviour; Emotional contagion</t>
  </si>
  <si>
    <t>INDIVIDUAL INNOVATION; CREATIVITY; MODEL; ORGANIZATIONS; DETERMINANTS; PERSONALITY; BURNOUT; LEADER</t>
  </si>
  <si>
    <t>Purpose The purpose of this paper is to explore the relationship between positive and negative emotional contagion by supervisors and innovative behavior by employees in the marketing department at China Mobile, as well as investigating the mediating roles of work engagement and surface acting in this path. Design/methodology/approach The authors analyzed emotional contagion on innovative behavior and investigated the mediation effect of work engagement and surface acting, and used structural equation modeling to test the hypotheses. Subjects in this study comprised 263 dyads of supervisors and employees (131 supervisors and 263 employees) in the marketing department at China Mobile. Findings The results indicated that positive emotions by employees mediated the positive effect of supervisors' expression of positive emotions about employees' work engagement; work engagement mediated the positive effect of employees' positive emotions on their innovative behavior; and employees' negative emotions mediated and did not significantly mediate the effect of supervisors' negative emotions on employees' surface acting and innovative behavior, respectively. Research limitations/implications - This study recommends that future studies examine emotional labor by team members and investigate the types of mechanisms (such as psychological safety and team learning) adopted by such teams to increase their members' levels of emotional contagion. Practical implications - The authors recommend that enterprises implement courses that are relevant to emotional management for supervisors to enhance their ability to regulate and manage their own emotions. The authors also suggest that organizations offer adequate job resources to employees to inspire work engagement among employees. Originality/value This study explored the role of work engagement among employees, which serves as a motivational mechanism between positive emotional labor by supervisors and innovative behavior by employees. In addition, it investigated the role of surface acting by employees, which serves as an energetic mechanism between negative emotional labor by supervisors and innovative behavior by employees.</t>
  </si>
  <si>
    <t>[Wu, Tung-Ju] Huaqiao Univ, East Business Management Res Ctr, Quanzhou, Fujian, Peoples R China; [Wu, Tung-Ju] Huaqiao Univ, Coll Business Adm, Quanzhou, Fujian, Peoples R China; [Wu, Yenchun Jim] Natl Taiwan Normal Univ, Grad Inst Global Business &amp; Strategy, Taipei, Taiwan</t>
  </si>
  <si>
    <t>Huaqiao University; Huaqiao University; National Taiwan Normal University</t>
  </si>
  <si>
    <t>Wu, YJ (corresponding author), Natl Taiwan Normal Univ, Grad Inst Global Business &amp; Strategy, Taipei, Taiwan.</t>
  </si>
  <si>
    <t>yenchun@umich.edu</t>
  </si>
  <si>
    <t>Wu, Tung-Ju/AAW-5732-2021; 吳, 書平/GXG-9770-2022</t>
  </si>
  <si>
    <t>Wu, Yenchun/0000-0001-5479-2873</t>
  </si>
  <si>
    <t>National Natural Science Foundation of China [71702059]; Social Science and Humanity on Young Fund of the Ministry of Education [16YJC630136]</t>
  </si>
  <si>
    <t>National Natural Science Foundation of China(National Natural Science Foundation of China (NSFC)); Social Science and Humanity on Young Fund of the Ministry of Education</t>
  </si>
  <si>
    <t>The authors are grateful for the valuable comments made by the reviewers. This research was supported by the National Natural Science Foundation of China (No. 71702059) and Social Science and Humanity on Young Fund of the Ministry of Education (No. 16YJC630136).</t>
  </si>
  <si>
    <t>NOV 12</t>
  </si>
  <si>
    <t>10.1108/MD-02-2018-0196</t>
  </si>
  <si>
    <t>JR9HN</t>
  </si>
  <si>
    <t>WOS:000499927500018</t>
  </si>
  <si>
    <t>Montani, F; Dagenais-Desmarais, V; Giorgi, G; Gregoire, S</t>
  </si>
  <si>
    <t>Montani, Francesco; Dagenais-Desmarais, Veronique; Giorgi, Gabriele; Gregoire, Simon</t>
  </si>
  <si>
    <t>A Conservation of Resources Perspective on Negative Affect and Innovative Work Behaviour: the Role of Affect Activation and Mindfulness</t>
  </si>
  <si>
    <t>Negative affect; Mindfulness; Innovative work behaviour; Innovation; Conservation of resources theory</t>
  </si>
  <si>
    <t>DISPOSITIONAL MINDFULNESS; MEDIATING ROLE; EMOTIONAL EXHAUSTION; DEPRESSIVE SYMPTOMS; JOB-PERFORMANCE; SELF-REGULATION; POSITIVE MOOD; CREATIVITY; CONTEXT; RUMINATION</t>
  </si>
  <si>
    <t>The present study aimed to clarify the inconsistent relationship between negative affect and innovative work behaviour by taking into account the role of affect activation and mindfulness. Building on the conservation of resources theory, we hypothesized that low-activated negative affect can be associated with increased innovativeness, but only for employees with high levels of mindfulness. Conversely, high-activated negative affect is expected to have a positive, direct relationship with innovative work behaviour. Data were collected from two independent samples, namely 163 French Canadian and 101 Italian employees. Consistent with our predictions, multiple regression analysis results showed that low-activated negative affect was positively related to innovative behaviour only when mindfulness was high (vs. low), whereas high-activated negative affect was directly associated with higher innovativeness. Our findings challenge the assumption that low-activated negative affects are associated with undermined innovative behaviour, suggesting that these affective states can be related to increased innovativeness if employees are mindful. On the other hand, they support the view that high-activated negative affects provide the energizing potential for instigating innovative actions. This study is unique in examining mindfulness as a moderator that is capable of shaping the link between deactivating negative affect and employee innovativeness. As such, it answers recent calls for research on how mindfulness can contribute to workplace functioning. Moreover, this is the first study to take into account the role of activation level in the negative affect-innovative work behaviour relationship.</t>
  </si>
  <si>
    <t>[Montani, Francesco] Montpellier Business Sch, Montpellier Res Management, 2300 Ave Moulins, F-34185 Montpellier 4, France; [Dagenais-Desmarais, Veronique] Univ Montreal, Dept Psychol, POB 6128, Montreal, PQ H3C 3J7, Canada; [Giorgi, Gabriele] Univ Europea Roma, Dept Psychol, Via Aldobrandeschi 190, I-00163 Rome, Italy; [Gregoire, Simon] Univ Quebec Montreal, Dept Educ, CP 8888 Succursale Ctr Ville, Montreal, PQ H3C 3P8, Canada</t>
  </si>
  <si>
    <t>Montpellier Business School; Universite de Montreal; European University of Rome; University of Quebec; University of Quebec Montreal</t>
  </si>
  <si>
    <t>Montani, F (corresponding author), Montpellier Business Sch, Montpellier Res Management, 2300 Ave Moulins, F-34185 Montpellier 4, France.</t>
  </si>
  <si>
    <t>f.montani@montpellier-bs.com; v.dagenais.desmarais@umontreal.ca; prof.gabriele.giorgi@gmail.com; gregoire.simon@uqam.ca</t>
  </si>
  <si>
    <t>10.1007/s10869-016-9480-7</t>
  </si>
  <si>
    <t>FS6WU</t>
  </si>
  <si>
    <t>WOS:000419939900008</t>
  </si>
  <si>
    <t>Gupta, V; Singh, S</t>
  </si>
  <si>
    <t>Gupta, Vishal; Singh, Shailendra</t>
  </si>
  <si>
    <t>Psychological capital as a mediator of the relationship between leadership and creative performance behaviors: empirical evidence from the Indian R&amp;D sector</t>
  </si>
  <si>
    <t>creative performance behaviors; leadership; positive psychological capital; R&amp;D management</t>
  </si>
  <si>
    <t>POSITIVE ORGANIZATIONAL-BEHAVIOR; EMPLOYEE CREATIVITY; TRANSFORMATIONAL LEADERSHIP; WORK-ENVIRONMENT; EMPOWERING LEADERSHIP; INTRINSIC MOTIVATION; INNOVATIVE BEHAVIOR; HOPE; RESILIENCE; OPTIMISM</t>
  </si>
  <si>
    <t>The present study examines the relationships between leadership, psychological capital and employee creative performance behaviors in the Indian research and development (R&amp;D) context. A survey-based study was conducted in 11 government-owned R&amp;D laboratories across India and 496 usable responses were collected. Data analyses, performed using the structural equation modeling technique, revealed that psychological capital fully mediates the relationship between leadership and creative performance behaviors. R&amp;D leaders who display positive behaviors are more likely to aid the development of their subordinates' positive psychological capacities. Employees with higher psychological capital engage in greater creative behaviors, improving the chances of producing creative outcomes. In addition, such employees will need less supervision and will be less dependent on leadership for directions and day-to-day work. The implication for researchers and practitioners are discussed.</t>
  </si>
  <si>
    <t>[Gupta, Vishal] Indian Inst Management, Org Behav Area, Ahmadabad 380015, Gujarat, India; [Singh, Shailendra] Indian Inst Management, Human Resource Management Grp, Lucknow, Uttar Pradesh, India</t>
  </si>
  <si>
    <t>Indian Institute of Management (IIM System); Indian Institute of Management Ahmedabad; Indian Institute of Management (IIM System); Indian Institute of Management Lucknow</t>
  </si>
  <si>
    <t>Gupta, V (corresponding author), Indian Inst Management, Org Behav Area, Ahmadabad 380015, Gujarat, India.</t>
  </si>
  <si>
    <t>vishal@iimahd.ernet.in</t>
  </si>
  <si>
    <t>Singh, Shailendra/0000-0001-8567-831X</t>
  </si>
  <si>
    <t>MAY 31</t>
  </si>
  <si>
    <t>10.1080/09585192.2013.870311</t>
  </si>
  <si>
    <t>295GE</t>
  </si>
  <si>
    <t>WOS:000330103800004</t>
  </si>
  <si>
    <t>Mossel, E; Roch, S</t>
  </si>
  <si>
    <t>Mossel, Elchanan; Roch, Sebastien</t>
  </si>
  <si>
    <t>SUBMODULARITY OF INFLUENCE IN SOCIAL NETWORKS: FROM LOCAL TO GLOBAL</t>
  </si>
  <si>
    <t>SIAM JOURNAL ON COMPUTING</t>
  </si>
  <si>
    <t>growth process; coupling method; submodularity; social networks; viral marketing</t>
  </si>
  <si>
    <t>CONTACT PROCESS</t>
  </si>
  <si>
    <t>Social networks are often represented as directed graphs, where the nodes are individuals and the edges indicate a form of social relationship. A simple way to model the diffusion of ideas, innovative behavior, or word-of-mouth effects on such a graph is to consider an increasing process of infected (or active) nodes: each node becomes infected once an activation function of the set of its infected neighbors crosses a certain threshold value. Such a model was introduced by Kempe, Kleinberg, and Tardos (KKT) in [Maximizing the spread of influence through a social network, in Proceedings of the 9th ACM SIGKDD International Conference on Knowledge Discovery and Data Mining, 2003, pp. 137-146] and [Influential nodes in a diffusion model for social networks, in Proceedings of the 32nd International Colloquium on Automata, Languages and Programming (ICALP), 2005], where the authors also impose several natural assumptions: the threshold values are random and the activation functions are monotone and submodular. The monotonicity condition indicates that a node is more likely to become active if more of its neighbors are active, while the submodularity condition indicates that the marginal effect of each neighbor is decreasing when the set of active neighbors increases. For an initial set of active nodes S, let sigma(S) denote the expected number of active nodes at termination. Here, we prove a conjecture of KKT: we show that the function sigma(S) is submodular under the assumptions above. We prove the same result for the expected value of any monotone, submodular function of the set of active nodes at termination. Roughly, our results demonstrate that local submodularity is preserved globally under this diffusion process. This is of natural computational interest, as many optimization problems have good approximation algorithms for submodular functions.</t>
  </si>
  <si>
    <t>[Mossel, Elchanan] Univ Calif Berkeley, Dept Comp Sci &amp; Stat, Berkeley, CA 94720 USA; [Mossel, Elchanan] Weizmann Inst Sci, Dept Math &amp; Comp Sci, IL-76100 Rehovot, Israel; [Roch, Sebastien] Univ Calif Los Angeles, Dept Math, Los Angeles, CA 90095 USA</t>
  </si>
  <si>
    <t>University of California System; University of California Berkeley; Weizmann Institute of Science; University of California System; University of California Los Angeles</t>
  </si>
  <si>
    <t>Mossel, E (corresponding author), Univ Calif Berkeley, Dept Comp Sci &amp; Stat, Berkeley, CA 94720 USA.</t>
  </si>
  <si>
    <t>mossel@stat.berkeley.edu; sebastien.roch@gmail.com</t>
  </si>
  <si>
    <t>Mossel, Elchanan/0000-0001-7812-7886</t>
  </si>
  <si>
    <t>NSF [DMS-0528488, DMS-0548249]; ONR [N0014-07-1-05-06]</t>
  </si>
  <si>
    <t>NSF(National Science Foundation (NSF)); ONR(Office of Naval Research)</t>
  </si>
  <si>
    <t>This author was supported by an Alfred Sloan fellowship in Mathematics, by NSF grants DMS-0528488 and DMS-0548249 (CAREER), and by ONR grant N0014-07-1-05-06.</t>
  </si>
  <si>
    <t>SIAM PUBLICATIONS</t>
  </si>
  <si>
    <t>3600 UNIV CITY SCIENCE CENTER, PHILADELPHIA, PA 19104-2688 USA</t>
  </si>
  <si>
    <t>0097-5397</t>
  </si>
  <si>
    <t>1095-7111</t>
  </si>
  <si>
    <t>SIAM J COMPUT</t>
  </si>
  <si>
    <t>SIAM J. Comput.</t>
  </si>
  <si>
    <t>10.1137/080714452</t>
  </si>
  <si>
    <t>Computer Science, Theory &amp; Methods; Mathematics, Applied</t>
  </si>
  <si>
    <t>Computer Science; Mathematics</t>
  </si>
  <si>
    <t>595BF</t>
  </si>
  <si>
    <t>WOS:000277585000004</t>
  </si>
  <si>
    <t>Lipponen, J; Bardi, A; Haapamaki, J</t>
  </si>
  <si>
    <t>Lipponen, Jukka; Bardi, Anat; Haapamaeki, Johanna</t>
  </si>
  <si>
    <t>The interaction between values and organizational identification in predicting suggestion-making at work</t>
  </si>
  <si>
    <t>BEHAVIOR; INNOVATION; UNIT</t>
  </si>
  <si>
    <t>The present study proposed and found that personal values and organizational identification interact in predicting making suggestions for organizational improvements at work. One hundred and forty-eight employees of children's day-care centres rated their values, their identification with the organization and their suggestion-making behaviour. Their behaviour was also rated by their supervisors. As expected, the value dimension of openness to change vs. conservation predicted suggestion-making more strongly amongst individuals highly identified with the organization than amongst individuals weakly identified with the organization. This was found using self-ratings of behaviour as well as supervisor's rating of behaviour. The study points to the importance of values and identification in understanding suggestion-making and innovative behaviour at work, and it opens new avenues for examining this interaction in predicting other kinds of organizational behaviours.</t>
  </si>
  <si>
    <t>[Lipponen, Jukka; Haapamaeki, Johanna] Univ Helsinki, Dept Social Psychol, FIN-00014 Helsinki, Finland; [Lipponen, Jukka] Helsinki Univ Technol, Lab Work Psychol &amp; Leadership, FIN-02150 Espoo, Finland; [Bardi, Anat] Univ Kent, Dept Psychol, Canterbury, Kent, England</t>
  </si>
  <si>
    <t>University of Helsinki; Aalto University; University of Kent</t>
  </si>
  <si>
    <t>Lipponen, J (corresponding author), Univ Helsinki, Dept Social Psychol, POB 54, FIN-00014 Helsinki, Finland.</t>
  </si>
  <si>
    <t>jukka.lipponen@helsinki.fi</t>
  </si>
  <si>
    <t>Lipponen, Jukka MT/G-2714-2012</t>
  </si>
  <si>
    <t>Bardi, Anat/0000-0003-1150-6341</t>
  </si>
  <si>
    <t>10.1348/096317907X216658</t>
  </si>
  <si>
    <t>314KJ</t>
  </si>
  <si>
    <t>WOS:000256808000004</t>
  </si>
  <si>
    <t>Newman, A; Neesham, C; Manville, G; Tse, HHM</t>
  </si>
  <si>
    <t>Newman, Alexander; Neesham, Cristina; Manville, Graham; Tse, Herman H. M.</t>
  </si>
  <si>
    <t>Examining the influence of servant and entrepreneurial leadership on the work outcomes of employees in social enterprises</t>
  </si>
  <si>
    <t>Social enterprise; servant leadership; entrepreneurial leadership; organizational commitment; innovative behavior</t>
  </si>
  <si>
    <t>CREATIVE SELF-EFFICACY; ORGANIZATIONAL COMMITMENT; TRANSFORMATIONAL LEADERSHIP; JOB-SATISFACTION; INNOVATIVE BEHAVIOR; MODERATING ROLE; PERFORMANCE; ANTECEDENTS; MODEL; MEDIATION</t>
  </si>
  <si>
    <t>The present study examines the relative influence of two distinct leadership styles, servant leadership and entrepreneurial leadership, on the organizational commitment and innovative behavior of employees working in social enterprises. Analyzing data from 169 employees and 42 social entrepreneurs, we found that, although servant leadership was positively related to followers' organizational commitment, the relationship between entrepreneurial leadership and organizational commitment was insignificant. In contrast, whilst we found evidence that entrepreneurial leadership was positively related to followers' innovative behavior, the relationship between servant leadership and employees' innovative behavior was insignificant. Our research contributes to the underdeveloped literature on leadership in social enterprises by exploring the relative effectiveness of different leadership styles (namely an entrepreneurial leadership style and a servant leadership style) in promoting follower work attitudes and behaviors in social enterprises. In addition, our research demonstrates the importance of leadership over and above followers' individual differences such as pro-social motivation and creative self-efficacy.</t>
  </si>
  <si>
    <t>[Newman, Alexander] Deakin Univ, Deakin Business Sch, Burwood, Australia; [Neesham, Cristina] Swinburne Univ Technol, Swinburne Business Sch, Hawthorn, Vic, Australia; [Manville, Graham] Univ East Anglia, Norwich Business Sch, Norwich, Norfolk, England; [Tse, Herman H. M.] Monash Univ, Monash Business Sch, Caulfield, Australia</t>
  </si>
  <si>
    <t>Deakin University; Swinburne University of Technology; RLUK- Research Libraries UK; University of East Anglia; Monash University</t>
  </si>
  <si>
    <t>a.newman@deakin.edu.au</t>
  </si>
  <si>
    <t>Neesham, Cristina/ABI-7191-2020; Silva, Gleibson/AAA-8482-2021; Newman, Alexander/AAH-7376-2020</t>
  </si>
  <si>
    <t>NOV 13</t>
  </si>
  <si>
    <t>10.1080/09585192.2017.1359792</t>
  </si>
  <si>
    <t>HI9YO</t>
  </si>
  <si>
    <t>WOS:000456813900004</t>
  </si>
  <si>
    <t>Li, ML; Hsu, CHC</t>
  </si>
  <si>
    <t>Li, Minglong; Hsu, Cathy H. C.</t>
  </si>
  <si>
    <t>Linking customer-employee exchange and employee innovative behavior</t>
  </si>
  <si>
    <t>Customer-employee exchange; Employee innovative behavior; Social psychological climate; Solidarity; Harmonization; Information exchange</t>
  </si>
  <si>
    <t>SERVICE INNOVATION; SOCIAL-INFLUENCE; PERFORMANCE; WORK; HOSPITALITY; CREATIVITY; CLIMATE; ANTECEDENTS; HOTELS; VALUES</t>
  </si>
  <si>
    <t>Employee innovative behaviors lay the foundation for organizational innovation and are of importance to business success, especially for service firms. Although these innovative behaviors are performed at the individual level, employees still need to have frequent exchanges with others, such as customers. As there is little research investigating customer-employee exchange (CEX) and its influence on employee innovative behavior in services, this study aims to fill this gap in a hotel context. The results of a survey with 180 respondents indicate that both the solidarity and harmonization components of CEX have positive effects on employee innovative behavior, yet the information exchange between customers and employees does not significantly influence employee innovation. Also, higher level of CEX leads to higher level of perceived social psychological climate for innovation. The mediating effect of social psychological climate in the relationship between CEX and employee innovative behavior is partially supported. The findings contribute to the understanding of the role of social exchanges in facilitating employee innovative behavior and provide implications for the management of employee innovative behavior in hospitality firms. (C) 2016 Elsevier Ltd. All rights reserved.</t>
  </si>
  <si>
    <t>[Li, Minglong; Hsu, Cathy H. C.] Hong Kong Polytech Univ, Hong Kong, Hong Kong, Peoples R China; [Li, Minglong] Sch Hotel &amp; Tourism Management, TST East, Th842,17 Sci Museum Rd, Kowloon, Hong Kong, Peoples R China</t>
  </si>
  <si>
    <t>Hong Kong Polytechnic University</t>
  </si>
  <si>
    <t>Li, ML (corresponding author), Hong Kong Polytech Univ, Hong Kong, Hong Kong, Peoples R China.;Li, ML (corresponding author), Sch Hotel &amp; Tourism Management, TST East, Th842,17 Sci Museum Rd, Kowloon, Hong Kong, Peoples R China.</t>
  </si>
  <si>
    <t>minglong.li@connect.polyu.hk; cathy.hsu@polyu.edu.hk</t>
  </si>
  <si>
    <t>Hsu, Cathy H.C./H-8453-2017; Li, Minglong/AAO-4228-2021</t>
  </si>
  <si>
    <t>Hsu, Cathy H.C./0000-0002-7948-6802; Li, Minglong/0000-0002-6387-2186</t>
  </si>
  <si>
    <t>10.1016/j.ijhm.2016.04.015</t>
  </si>
  <si>
    <t>DQ7GZ</t>
  </si>
  <si>
    <t>WOS:000379376200010</t>
  </si>
  <si>
    <t>De Clercq, D; Dimov, D; Belausteguigoitia, I</t>
  </si>
  <si>
    <t>De Clercq, Dirk; Dimov, Dimo; Belausteguigoitia, Imanol</t>
  </si>
  <si>
    <t>Perceptions of Adverse Work Conditions and Innovative Behavior: The Buffering Roles of Relational Resources</t>
  </si>
  <si>
    <t>PERCEIVED ORGANIZATIONAL SUPPORT; JOB DEMANDS; ABSORPTIVE-CAPACITY; CORPORATE ENTREPRENEURSHIP; FIRM PERFORMANCE; INTERNAL ENVIRONMENT; POLITICAL SKILL; SOCIAL NETWORKS; MODEL; KNOWLEDGE</t>
  </si>
  <si>
    <t>This study investigates how employees' perceptions of adverse work conditions might discourage innovative behavior and the possible buffering roles of relational resources. Data from a Mexican-based organization reveal that perceptions of work overload negatively affect innovative behavior, but this effect gets attenuated with greater knowledge sharing and interpersonal harmony. Further, although perceived organizational politics lead to lower innovative behavior when relational resources are low, they increase this behavior when resources are high. Organizations which seek to adopt innovative ideas in the presence of adverse work conditions thus should create relational conduits that can mitigate the associated stress.</t>
  </si>
  <si>
    <t>[De Clercq, Dirk] Brock Univ, Goodman Sch Business, Management, St Catharines, ON L2S 3A1, Canada; [De Clercq, Dirk] Univ Kingston, Small Business Res Ctr, Kingston Upon Thames KT2 7LB, Surrey, England; [Dimov, Dimo] Univ Bath, Sch Management, Entrepreneurship &amp; Innovat, Bath BA2 7AY, Avon, England; [Belausteguigoitia, Imanol] ITAM, Ctr Family Enterprise Dev, Santa Teresa Campus, Mexico City, DF, Mexico</t>
  </si>
  <si>
    <t>Brock University; Kingston University; University of Bath; Instituto Tecnologico Autonomo de Mexico</t>
  </si>
  <si>
    <t>De Clercq, D (corresponding author), Brock Univ, Goodman Sch Business, Management, St Catharines, ON L2S 3A1, Canada.</t>
  </si>
  <si>
    <t>ddeclercq@brocku.ca; d.p.dimov@bath.ac.uk; imanol@itam.mx</t>
  </si>
  <si>
    <t>10.1111/etap.12121</t>
  </si>
  <si>
    <t>DR6LT</t>
  </si>
  <si>
    <t>WOS:000380014100004</t>
  </si>
  <si>
    <t>The effects of high performance human resource practices on service innovative behaviour</t>
  </si>
  <si>
    <t>High performance human resource practices; Organizational commitment; Service innovative behaviour; Climate for innovation; Tourist hotels</t>
  </si>
  <si>
    <t>ORGANIZATIONAL CITIZENSHIP BEHAVIOR; PROCEDURAL JUSTICE; TRANSFORMATIONAL LEADERSHIP; PERCEIVED SUPPORT; COMMITMENT; CREATIVITY; WORK; CLIMATE; INDUSTRY; IMPACT</t>
  </si>
  <si>
    <t>Service innovative behaviour can be regarded as the core demand of hotel employees who serve their customers in the best possible manner. This study presents an integrated model examining the effect of high performance human resource practices (HPHRP) on the commitment level of the tourist hotel employees from Uttarakhand, India. The study also examines the intervening role of climate for innovation in the commitment and service innovative behaviour relationship. Using a sample of 618 employees and 31 managers/supervisors, HLM was conducted to establish the relationship. Findings of the study reveal that organisational commitment mediated the relationship between the HPHRP and service innovative behaviour of the employees. It was also found that climate for innovation acted as a moderator in the relationship between organisational commitment and service innovative behaviour. The study also discusses the implications of the findings along with potential practical applications. (C) 2015 Elsevier Ltd. All rights reserved.</t>
  </si>
  <si>
    <t>Indian Inst Technol Roorkee, Dept Management Studies, Roorkee 247667, Uttar Pradesh, India</t>
  </si>
  <si>
    <t>Dhar, RL (corresponding author), Indian Inst Technol Roorkee, Dept Management Studies, Roorkee 247667, Uttar Pradesh, India.</t>
  </si>
  <si>
    <t>10.1016/j.ijhm.2015.09.002</t>
  </si>
  <si>
    <t>CV9LG</t>
  </si>
  <si>
    <t>WOS:000364608100008</t>
  </si>
  <si>
    <t>Elder, JP; Ayala, GX; Campbell, NR; Arredondo, EM; Slymen, DJ; Baquero, B; Zive, M; Ganiats, TG; Engelberg, M</t>
  </si>
  <si>
    <t>Elder, John P.; Ayala, Guadalupe X.; Campbell, Nadia R.; Arredondo, Elva M.; Slymen, Donald J.; Baquero, Barbara; Zive, Michelle; Ganiats, Theodore G.; Engelberg, Moshe</t>
  </si>
  <si>
    <t>Long-term effects of a communication intervention for Spanish-dominant Latinas</t>
  </si>
  <si>
    <t>AMERICAN JOURNAL OF PREVENTIVE MEDICINE</t>
  </si>
  <si>
    <t>DIETARY-FAT INTAKE; MEXICAN-AMERICANS; NUTRITION COMMUNICATION; DECREASE CONSUMPTION; INCREASE CONSUMPTION; RISK REDUCTION; CANCER RISK; HEALTH; VEGETABLES; COMMUNITY</t>
  </si>
  <si>
    <t>Background: Few studies compare the influence of different types of dietary interventions on the dietary practices of Latinas in the short and long term, The present study examined the 1-year impact of two innovative behavior-change approaches to reduce dietary fat and increase fiber. Design, Three-group randomized controlled trial: (1) personalized dietary counseling via lay health advisors (promotoras) plus tailored print materials delivered via the mail. (2) milored mailed print materials only, and (3) targeted mailed off-the-shelf materials. Setting/Participants: A total of 357 Latinas were randomly assigned to the three aforementioned conditions. Intervention: Promotora and tailored print materials. Main Outcome Measures: Fat intake (total grams of fat and percent calories from dietary fat) and number of grams of dietary fiber. Results: Earlier work reported that at immediate post-intervention the promotora group achieved significantly lower levels of total fat grams, and lower levels of energy intake, total saturated fat, total carbohydrates, glucose, and fructose than the targeted group. However, the present longitudinal analyses suggest that the effects achieved by the promotoyas dissipated over the 12-month follow-up period while the effects of the tailored group concurrently improved. Conclusions: The high interactivity (i.e., calls visits) of the promotora condition tiny have been the most salient reinforcer and may have led to further tailoring, making this type of intervention more effective than the comparison groups in the short term. Further research should explore whether booster sessions involving promotoras help to maintain the impact over time.</t>
  </si>
  <si>
    <t>San Diego State Univ, Grad Sch Publ Hlth, Ctr Behav &amp; Community Hlth Studies, San Diego, CA 92123 USA; Univ Calif San Diego, Dept Pediat, San Diego, CA 92103 USA; Univ Calif San Diego, Dept Family &amp; Prevent Med, San Diego, CA USA; Res Works Inc, San Diego, CA USA</t>
  </si>
  <si>
    <t>California State University System; San Diego State University; University of California System; University of California San Diego; University of California System; University of California San Diego</t>
  </si>
  <si>
    <t>Elder, JP (corresponding author), San Diego State Univ, Grad Sch Publ Hlth, Ctr Behav &amp; Community Hlth Studies, 9245 Sky Pk Court,Suite 221, San Diego, CA 92123 USA.</t>
  </si>
  <si>
    <t>jelder@projects.sdsu.edu</t>
  </si>
  <si>
    <t>NCI NIH HHS [5R01 CA 81877-02] Funding Source: Medline</t>
  </si>
  <si>
    <t>NCI NIH HHS(United States Department of Health &amp; Human ServicesNational Institutes of Health (NIH) - USANIH National Cancer Institute (NCI))</t>
  </si>
  <si>
    <t>0749-3797</t>
  </si>
  <si>
    <t>AM J PREV MED</t>
  </si>
  <si>
    <t>Am. J. Prev. Med.</t>
  </si>
  <si>
    <t>10.1016/j.amepre.2006.04.001</t>
  </si>
  <si>
    <t>Public, Environmental &amp; Occupational Health; Medicine, General &amp; Internal</t>
  </si>
  <si>
    <t>Public, Environmental &amp; Occupational Health; General &amp; Internal Medicine</t>
  </si>
  <si>
    <t>065UP</t>
  </si>
  <si>
    <t>WOS:000239185600007</t>
  </si>
  <si>
    <t>Stoian, MC; Rialp, J; Dimitratos, P</t>
  </si>
  <si>
    <t>Stoian, Maria-Cristina; Rialp, Josep; Dimitratos, Pavlos</t>
  </si>
  <si>
    <t>SME Networks and International Performance: Unveiling the Significance of Foreign Market Entry Mode</t>
  </si>
  <si>
    <t>JOURNAL OF SMALL BUSINESS MANAGEMENT</t>
  </si>
  <si>
    <t>EXPORT PERFORMANCE; ENTREPRENEURIAL PROCLIVITY; KNOWLEDGE INTENSITY; MEDIATING ROLE; INNOVATION; FIRM; IMPACT; STRATEGIES; BUSINESS; EXPERIENCE</t>
  </si>
  <si>
    <t>This study investigates the relevance of interorganizational networks for the international performance of small and medium-sized enterprises (SMEs) in relation to the foreign market entry mode (FMEM) selected. We distinguish two groups of internationalized SMEs: exporting firms and micromultinational enterprises (mMNEs). Drawing on insights from the network theory, our study accounts for the role of intermediate outcomes (innovative behavior and foreign market knowledge). Structural equation modeling is conducted in a sample of U.K.-based internationalized SMEs. Our findings suggest that interorganizational networks have an indirect influence on international performance but differences are found among the two groups of internationalized SMEs.</t>
  </si>
  <si>
    <t>[Stoian, Maria-Cristina] Brunel Univ London, Int Business, Brunel Business Sch, Coll Business Arts &amp; Social Sci, London, England; [Rialp, Josep] Autonomous Univ Barcelona, Mkt &amp; Market Res, Dept Business, Barcelona, Spain; [Dimitratos, Pavlos] Univ Glasgow, Int Business, Adam Smith Business Sch, Glasgow, Lanark, Scotland</t>
  </si>
  <si>
    <t>Brunel University; Autonomous University of Barcelona; RLUK- Research Libraries UK; University of Glasgow</t>
  </si>
  <si>
    <t>Rialp, J (corresponding author), Univ Autonoma Barcelona, Dept Business, Edifici B,Campus UAB, Barcelona 08193, Spain.</t>
  </si>
  <si>
    <t>josep.rialp@uab.cat</t>
  </si>
  <si>
    <t>Rialp, Josep/L-1550-2017; dos Santos, Agnaldo Antonio/M-6792-2016; Rialp, Josep/S-5966-2019</t>
  </si>
  <si>
    <t>Rialp, Josep/0000-0002-0656-1592; dos Santos, Agnaldo Antonio/0000-0003-3205-9237; Rialp, Josep/0000-0002-0656-1592</t>
  </si>
  <si>
    <t>TAYLOR &amp; FRANCIS INC</t>
  </si>
  <si>
    <t>530 WALNUT STREET, STE 850, PHILADELPHIA, PA 19106 USA</t>
  </si>
  <si>
    <t>0047-2778</t>
  </si>
  <si>
    <t>1540-627X</t>
  </si>
  <si>
    <t>J SMALL BUS MANAGE</t>
  </si>
  <si>
    <t>J. Small Bus. Manag.</t>
  </si>
  <si>
    <t>10.1111/jsbm.12241</t>
  </si>
  <si>
    <t>EI6KT</t>
  </si>
  <si>
    <t>Green Submitted, Green Accepted, hybrid</t>
  </si>
  <si>
    <t>WOS:000392605200006</t>
  </si>
  <si>
    <t>Gilmore, PL; Hu, XX; Wei, F; Tetrick, LE; Zaccaro, SJ</t>
  </si>
  <si>
    <t>Gilmore, Phillip L.; Hu, Xiaoxiao; Wei, Feng; Tetrick, Lois E.; Zaccaro, Stephen J.</t>
  </si>
  <si>
    <t>Positive affectivity neutralizes transformational leadership's influence on creative performance and organizational citizenship behaviors</t>
  </si>
  <si>
    <t>interactionist approach; transformational leadership; creative performance; organizational citizenship behaviors; trait positive affectivity</t>
  </si>
  <si>
    <t>TRANSACTIONAL LEADERSHIP; CHARISMATIC LEADERSHIP; EMPLOYEE CREATIVITY; INNOVATIVE BEHAVIOR; NEGATIVE AFFECT; MODERATING ROLE; METAANALYSIS; COMPONENTS; EMOTIONS; MODEL</t>
  </si>
  <si>
    <t>This study uses an interactionist approach to examine the moderating effect of follower trait positive affectivity (trait PA) on the relation between transformational leadership and both follower creative performance and organizational citizenship behaviors (OCB). On the basis of responses from 212 employees and their direct supervisors from the research and development department of a company in Mainland China, results support the hypothesized moderation effect. Specifically, the positive influence of transformational leadership on creative performance was significantly reduced for followers who were higher on trait PA (R-2=.02, p&lt;.05). The same pattern, in which followers' trait PA appeared to substitute for the influence of transformational leadership, generalized to the outcome of follower OCB as well (R-2=.04, p&lt;.01). We discussed theoretical and practical implications of these findings. Copyright (c) 2012 John Wiley &amp; Sons, Ltd.</t>
  </si>
  <si>
    <t>[Gilmore, Phillip L.; Hu, Xiaoxiao; Tetrick, Lois E.; Zaccaro, Stephen J.] George Mason Univ, Dept Psychol, Fairfax, VA 22030 USA; [Hu, Xiaoxiao] Old Dominion Univ, Dept Psychol, Norfolk, VA USA; [Wei, Feng] Tongji Univ, Sch Econ &amp; Management, Shanghai 200092, Peoples R China</t>
  </si>
  <si>
    <t>George Mason University; Old Dominion University; Tongji University</t>
  </si>
  <si>
    <t>Gilmore, PL (corresponding author), George Mason Univ, Dept Psychol, Fairfax, VA 22030 USA.</t>
  </si>
  <si>
    <t>pgilmore@gmu.edu; frankweifeng@gmail.com</t>
  </si>
  <si>
    <t>Wei, Feng/0000-0003-1825-5354</t>
  </si>
  <si>
    <t>10.1002/job.1833</t>
  </si>
  <si>
    <t>238GY</t>
  </si>
  <si>
    <t>WOS:000325933800001</t>
  </si>
  <si>
    <t>Tian, Q; Sanchez, JI</t>
  </si>
  <si>
    <t>Tian, Qing; Sanchez, Juan I.</t>
  </si>
  <si>
    <t>Does paternalistic leadership promote innovative behavior? The interaction between authoritarianism and benevolence</t>
  </si>
  <si>
    <t>SOCIAL IDENTITY; EMPLOYEE CREATIVITY; TRANSFORMATIONAL LEADERSHIP; GROUP PROTOTYPICALITY; ORGANIZATIONAL TRUST; MODERATED MEDIATION; CONTEXTUAL FACTORS; INTEGRATIVE MODEL; WORK BEHAVIOR; PERFORMANCE</t>
  </si>
  <si>
    <t>We theorize about the separate and interactive effects of the two primary elements of paternalistic leadership: authoritarianism and benevolence. Accordingly, we test a mediating mechanism through which these components of paternalistic leadership stimulate employee innovative and knowledge-sharing behaviors. A multi-source and multi-level study involving 302 employee-supervisor-peer triads in 60 Chinese technology-based organizations supported the association between the interaction of benevolent and authoritarian leadership and employee affective trust, innovative behavior, and knowledge sharing. Moreover, affective trust mediated the interaction of benevolence and authoritarianism on employee innovative behavior and knowledge sharing. We suggest that, the two constructs underlying paternalistic leadership might promote employee breakthrough behaviors across cultures. That is, their demanding and yet selfless stance turns authoritarian-benevolent leaders into prototypes of the followers' aspirational social identity.</t>
  </si>
  <si>
    <t>[Tian, Qing] Macau Univ Sci &amp; Technol, Sch Business, Ave Wai Long, Macau, Peoples R China; [Sanchez, Juan I.] Florida Int Univ, Dept Management &amp; Int Business, Miami, FL 33199 USA</t>
  </si>
  <si>
    <t>Macau University of Science &amp; Technology; State University System of Florida; Florida International University</t>
  </si>
  <si>
    <t>Tian, Q (corresponding author), Macau Univ Sci &amp; Technol, Sch Business, Ave Wai Long, Taipa, Macau, Peoples R China.</t>
  </si>
  <si>
    <t>qtian@must.edu.mo</t>
  </si>
  <si>
    <t>10.1111/jasp.12431</t>
  </si>
  <si>
    <t>ET3FO</t>
  </si>
  <si>
    <t>WOS:000400163200001</t>
  </si>
  <si>
    <t>Taylor, J</t>
  </si>
  <si>
    <t>Taylor, Jeannette</t>
  </si>
  <si>
    <t>Goal Setting in the Australian Public Service: Effects on Psychological Empowerment and Organizational Citizenship Behavior</t>
  </si>
  <si>
    <t>INTRINSIC MOTIVATION; EMPLOYEE EMPOWERMENT; INNOVATIVE BEHAVIOR; SELF-DETERMINATION; TASK MOTIVATION; WORK MOTIVATION; COMMITMENT; PERFORMANCE; ENVIRONMENT; LEADERSHIP</t>
  </si>
  <si>
    <t>Do specific and difficult job goals have a positive, negative, or negligible effect on higher levels of performance in the form of organizational citizenship behavior (OCB) among government employees? Importantly, how do they influence OCB: directly and/or indirectly through psychological empowerment? This article on a small group of Australian federal government employees draws from the goal-setting and self-determination theories to provide a better understanding of how goal setting affects OCB. Findings show that goal specificity largely influenced OCB indirectly through psychological empowerment. In contrast, goal difficulty raised OCB directly and through the partial mediating effect of psychological empowerment.</t>
  </si>
  <si>
    <t>Univ Western Australia, Sch Social Sci, Nedlands, WA 6009, Australia</t>
  </si>
  <si>
    <t>University of Western Australia</t>
  </si>
  <si>
    <t>Taylor, J (corresponding author), Univ Western Australia, Sch Social Sci, Nedlands, WA 6009, Australia.</t>
  </si>
  <si>
    <t>jeannette.taylor@uwa.edu.au</t>
  </si>
  <si>
    <t>Taylor, Jeannette/H-1170-2013</t>
  </si>
  <si>
    <t>Taylor, Jeannette/0000-0003-0001-0586</t>
  </si>
  <si>
    <t>MAY-JUN</t>
  </si>
  <si>
    <t>10.1111/puar.12040</t>
  </si>
  <si>
    <t>137ML</t>
  </si>
  <si>
    <t>WOS:000318439900012</t>
  </si>
  <si>
    <t>Singh, M; Sarkar, A</t>
  </si>
  <si>
    <t>Singh, Manjari; Sarkar, Anita</t>
  </si>
  <si>
    <t>The Relationship Between Psychological Empowerment and Innovative Behavior A Dimensional Analysis With Job Involvement as Mediator</t>
  </si>
  <si>
    <t>innovative behavior; job involvement; psychological empowerment</t>
  </si>
  <si>
    <t>INTRINSIC MOTIVATION; WORK CHARACTERISTICS; EMPLOYEE CREATIVITY; DECISION-MAKING; SELF-EFFICACY; SATISFACTION; MODEL; VARIABLES; SCHOOL; SCALE</t>
  </si>
  <si>
    <t>Past studies have established the importance of psychological empowerment in fostering innovative behavior. This paper broadens the conceptual understanding by exploring the mechanisms of this linkage through dimensional analysis. The study also examines the mediating role of job involvement in this relationship. In this study of 401 women primary school teachers in India, the dimensions of psychological empowerment were self-rated whereas innovative behavior and job involvement were assessed by colleagues. Our findings show partial mediation for the meaning dimension and complete mediation for the non-work domain control dimension. Self-determination at job and organization levels have a direct effect on employees' innovative behavior but no effect through job involvement. Competence and impact has no direct or indirect effect on innovative behavior.</t>
  </si>
  <si>
    <t>[Sarkar, Anita] XLRI Sch Business &amp; Human Resources, Jamshedpur, Bihar, India; [Singh, Manjari] Indian Inst Management, Ahmadabad 380015, Gujarat, India</t>
  </si>
  <si>
    <t>XLRI -Xavier School of Management; Indian Institute of Management (IIM System); Indian Institute of Management Ahmedabad</t>
  </si>
  <si>
    <t>Sarkar, A (corresponding author), PMIR, XLRI Jamshedpur, Circuit House Area E, Jamshedpur 831035, Jharkhand, India.</t>
  </si>
  <si>
    <t>anitasarkar@xlri.ac.in</t>
  </si>
  <si>
    <t>Singh, Manjari/B-9067-2009</t>
  </si>
  <si>
    <t>Singh, Manjari/0000-0002-1564-7523; Sarkar, Anita/0000-0001-8825-6577</t>
  </si>
  <si>
    <t>10.1027/1866-5888/a000065</t>
  </si>
  <si>
    <t>979HP</t>
  </si>
  <si>
    <t>WOS:000306808400003</t>
  </si>
  <si>
    <t>van Woerkom, M; Croon, M</t>
  </si>
  <si>
    <t>van Woerkom, Marianne; Croon, Marcel</t>
  </si>
  <si>
    <t>Operationalising critically reflective work behaviour</t>
  </si>
  <si>
    <t>critical thinking; workplace learning; workplace training</t>
  </si>
  <si>
    <t>EXPLORATORY FACTOR-ANALYSIS; SELF-REGULATION; VOICE; PERFORMANCE; WORKPLACE; EMOTION</t>
  </si>
  <si>
    <t>Purpose - The purpose of this paper is to operationalise critical reflection. Although critical reflection is widely recognised as a crucial element in individual and organisational learning, not many instruments exist to measure critical reflection in the context of work organisations. Design/methodology/approach - Critical reflection was operationalised by using a combination of a literature review and a survey. Findings - Critically reflective work behaviour was defined as a set of connected activities carried out individually or in interaction with others, aimed at optimising individual or collective practices, or critically analysing and trying to change organizational or individual values. Based on the survey, an instrument was developed for measuring six dimensions of critically reflective work behaviour, namely, critical opinion-sharing, asking for feedback, challenging group-think, openness about mistakes, experimentation and career awareness. Research limitations/implications - Future research should focus on the predictive validity of the instrument by relating it to performance appraisals from supervisors or to ratings of innovative behaviour. Further research could also focus on inter-rater reliability by contrasting self-ratings with ratings from colleagues and supervisors. Practical implications - In combination with an instrument measuring organisational climate, the instrument may play a role in relating the work behaviour of employees to job characteristics and perceptions of organisational climate. Originality/value - The concept of critically reflective work behaviour focuses on the role of the behaviour of all employees in the organisation in becoming a learning company.</t>
  </si>
  <si>
    <t>[van Woerkom, Marianne] Tilburg Univ, Fac Social Sci, Dept Human Resource Sci, NL-5000 LE Tilburg, Netherlands; [Croon, Marcel] Tilburg Univ, Fac Social Sci, Dept Stat &amp; Methodol, NL-5000 LE Tilburg, Netherlands</t>
  </si>
  <si>
    <t>Tilburg University; Tilburg University</t>
  </si>
  <si>
    <t>van Woerkom, M (corresponding author), Tilburg Univ, Fac Social Sci, Dept Human Resource Sci, NL-5000 LE Tilburg, Netherlands.</t>
  </si>
  <si>
    <t>m.vanwoerkom@uut.nl</t>
  </si>
  <si>
    <t>Van Woerkom, Marianne/0000-0002-7944-2439</t>
  </si>
  <si>
    <t>10.1108/00483480810862297</t>
  </si>
  <si>
    <t>295RZ</t>
  </si>
  <si>
    <t>WOS:000255492900005</t>
  </si>
  <si>
    <t>Weiss, M; Hoegl, M; Gibbert, M</t>
  </si>
  <si>
    <t>Weiss, Matthias; Hoegl, Martin; Gibbert, Michael</t>
  </si>
  <si>
    <t>Making Virtue of Necessity: The Role of Team Climate for Innovation in Resource-Constrained Innovation Projects</t>
  </si>
  <si>
    <t>PRODUCT DEVELOPMENT; TRANSFORMATIONAL LEADERSHIP; ORGANIZATIONAL INNOVATION; PSYCHOLOGICAL SAFETY; EMPLOYEE CREATIVITY; PATH MODEL; PERFORMANCE; IMPACT; DETERMINANTS; PREDICTORS</t>
  </si>
  <si>
    <t>The effect of financial resource constraints on innovation team performance is ambiguous. On the one hand, the majority of scholars have argued that financial resource constraints have an inhibiting effect on innovation, whereas budgetary slack supports creativity and innovation. Consistent with this notion, in most conceptual models on the management of innovation projects, the availability of slack, or at least adequate (rather than constrained) resources represents an important success factor supporting innovation. On the other hand, popular parlance has it that sometimes necessity is the mother of innovation, and literature in cognitive psychology suggests that resource constraints stimulate creativity and innovative behavior. Recent innovation literature indeed provides evidence that remarkable innovation outcomes can be achieved with constrained financial resources. Despite the rapidly growing research on success factors of innovation projects, and the high managerial relevance of budget questions, the influence of financial resource constraints has only very recently started to attract interest. The objective of the present study is to contribute to that research by investigating under what conditions financial resource constraints lead to innovation outcomes. Specifically, team climate for innovation is examined as a potentially important contingency variable of the relationship between financial resource constraints and innovation project performance. By explicitly focusing on team climate for innovation, factors of the work environment in innovation projects are addressed as influential boundary conditions for successfully innovating under financial resource constraints. The hypotheses are tested on a sample of 94 innovation project teams from a variety of industries. To ensure content validity and to avoid a possible common source bias, data from different respondents, i.e., team leaders, team members, and team external managers of the innovation projects, are used. Results of regression analyses show that there is no significant relationship between financial resource constraints and innovation project outcomes in terms of product quality and project efficiency. However, results show a significant interaction term of financial resource constraints and team climate for innovation in that team climate for innovation positively moderates the relationship between financial resource constraints and product quality as well as project efficiency. Thus, the findings of the present study contradict the widespread notion in innovation literature that financial resource constraints have a wholesale inhibiting effect on innovation, thereby providing a differentiated perspective on the relationship between financial resource constraints and innovation. On a practical level, the results of this study highlight a specific condition under which product developers can come up with more innovative solutions despite, or even because of, financial resource constraints.</t>
  </si>
  <si>
    <t>[Weiss, Matthias] WHU Otto Beisheim, Sch Management, Dept Leadership &amp; Human Resource Management, D-56179 Vallendar, Germany; [Hoegl, Martin] Washington State Univ, Pullman, WA 99164 USA; [Hoegl, Martin; Gibbert, Michael] Bocconi Univ, Milan, Italy</t>
  </si>
  <si>
    <t>WHU - Otto Beisheim School of Management; Washington State University; Bocconi University</t>
  </si>
  <si>
    <t>Weiss, M (corresponding author), WHU Otto Beisheim, Sch Management, Dept Leadership &amp; Human Resource Management, Burgpl 2, D-56179 Vallendar, Germany.</t>
  </si>
  <si>
    <t>matthias.weiss@whu.edu</t>
  </si>
  <si>
    <t>Gibbert, Michael/0000-0002-5483-6765; Weiss, Matthias/0000-0003-0447-760X</t>
  </si>
  <si>
    <t>10.1111/j.1540-5885.2011.00870.x</t>
  </si>
  <si>
    <t>840DF</t>
  </si>
  <si>
    <t>WOS:000296417800014</t>
  </si>
  <si>
    <t>Hsu, MLA; Chen, FH</t>
  </si>
  <si>
    <t>Hsu, Michael L. A.; Chen, Forrence Hsinhung</t>
  </si>
  <si>
    <t>The Cross-Level Mediating Effect of Psychological Capital on the Organizational Innovation Climate-Employee Innovative Behavior Relationship</t>
  </si>
  <si>
    <t>organizational innovation climate; employee psychological capital (PsyCap); employee innovative behavior; cross-level mediating effect</t>
  </si>
  <si>
    <t>CREATIVE SELF-EFFICACY; PATH MODEL; PERFORMANCE; WORK; DETERMINANTS; PRODUCTIVITY; RESOURCES; CULTURE; NEED</t>
  </si>
  <si>
    <t>Organizational innovation climates have been found to be effective predictors of employee creativity and organizational innovation. As such, climate assessments provide a basis for useful organizational interventions in enhancing creativity and innovation. Researchers now call for better articulation of the motivational mechanisms that link social context to employee innovation. In responding to the above call, this study found that employee positive psychological capital (PsyCap) is more influential than organizational innovation climate on employee innovative behavior. With a large sample (N=781) from 16 organizations and a cross-level analysis, we examined the relationship between organizational innovation climate and employee innovative behavior with employee PsyCap as mediator. The results showed that both organizational innovation climate and employee PsyCap significantly affect employee innovative behavior, and more importantly, employee PsyCap fully mediates this relationship. The innovation journey is a challenging and risky one with many frustrations and discouraging moments from idea generation to idea implementation. The research results presented here imply that to be innovatively effective, organizations are advised to manage both social (organizational innovation climate) and psychological (PsyCap) resources of employees in enhancing employee innovative behavior. Other theoretic and practical implications are discussed.</t>
  </si>
  <si>
    <t>[Hsu, Michael L. A.; Chen, Forrence Hsinhung] Natl Chengchi Univ, Taipei, Taiwan</t>
  </si>
  <si>
    <t>National Chengchi University</t>
  </si>
  <si>
    <t>Chen, FH (corresponding author), Natl Chengchi Univ, Dept Business Adm, 64,Sect 2,ZhiNan Rd, Taipei 11605, Taiwan.</t>
  </si>
  <si>
    <t>forrence@gmail.com</t>
  </si>
  <si>
    <t>10.1002/jocb.90</t>
  </si>
  <si>
    <t>EW6KS</t>
  </si>
  <si>
    <t>WOS:000402619800003</t>
  </si>
  <si>
    <t>Leung, K; Chen, ZJ; Zhou, F; Lim, K</t>
  </si>
  <si>
    <t>Leung, Kwok; Chen, Zhenjiao; Zhou, Fan; Lim, Kai</t>
  </si>
  <si>
    <t>The role of relational orientation as measured by face and renqing in innovative behavior in China: An indigenous analysis</t>
  </si>
  <si>
    <t>ASIA PACIFIC JOURNAL OF MANAGEMENT</t>
  </si>
  <si>
    <t>Face; Renqing; Relational orientation; Fear of failure; Innovative behavior; Innovative climate</t>
  </si>
  <si>
    <t>ACHIEVEMENT-MOTIVATION; FAIRNESS PERCEPTIONS; EMPLOYEE CREATIVITY; PERSONALITY-TRAITS; GOAL ORIENTATION; SELF-EFFICACY; PERFORMANCE; CLIMATE; MODEL; FAILURE</t>
  </si>
  <si>
    <t>Following an indigenous approach, the relationship of the relational orientation of Chinese employees with their innovative behavior is evaluated in China with a cross-level design. Based on relevant research and theorizing, relational orientation is tapped by two core elements, face and renqing (compassion for others). As expected, relational orientation is positively related to fear of failure, but negatively related to innovative behavior. The positive relationship between relational orientation and fear of failure, and the negative relationship between fear of failure and innovative behavior, are weaker when innovative climate is high. Theoretical and applied implications of the findings are discussed.</t>
  </si>
  <si>
    <t>[Leung, Kwok] City Univ Hong Kong, Dept Management, Kowloon, Hong Kong, Peoples R China; [Chen, Zhenjiao] Beijing Inst Technol, Sch Management &amp; Econ, Beijing, Peoples R China; [Zhou, Fan] Zhejiang Univ, Sch Management, Hangzhou 310003, Zhejiang, Peoples R China; [Lim, Kai] City Univ Hong Kong, Dept Informat Syst, Kowloon, Hong Kong, Peoples R China</t>
  </si>
  <si>
    <t>City University of Hong Kong; Beijing Institute of Technology; Zhejiang University; City University of Hong Kong</t>
  </si>
  <si>
    <t>Chen, ZJ (corresponding author), Beijing Inst Technol, Sch Management &amp; Econ, 5 South Zhong Guan Cun St, Beijing, Peoples R China.</t>
  </si>
  <si>
    <t>mgkleung@cityu.edu.hk; zhenjiaosharon@163.com; Fanzhou@gmail.com; iskl@cityu.edu.hk</t>
  </si>
  <si>
    <t>LIM, Kai Hin/0000-0001-5709-8131</t>
  </si>
  <si>
    <t>0217-4561</t>
  </si>
  <si>
    <t>1572-9958</t>
  </si>
  <si>
    <t>ASIA PAC J MANAG</t>
  </si>
  <si>
    <t>Asia Pac. J. Manag.</t>
  </si>
  <si>
    <t>10.1007/s10490-011-9277-1</t>
  </si>
  <si>
    <t>AB7JY</t>
  </si>
  <si>
    <t>WOS:000331967200005</t>
  </si>
  <si>
    <t>Vinarski-Peretz, H; Carmeli, A</t>
  </si>
  <si>
    <t>Vinarski-Peretz, Hedva; Carmeli, Abraham</t>
  </si>
  <si>
    <t>Linking Care Felt to Engagement in Innovative Behaviors in the Workplace: The Mediating Role of Psychological Conditions</t>
  </si>
  <si>
    <t>PSYCHOLOGY OF AESTHETICS CREATIVITY AND THE ARTS</t>
  </si>
  <si>
    <t>innovative behaviors; care; psychological conditions; engagement; motivation</t>
  </si>
  <si>
    <t>POSITIVE RELATIONSHIPS; EMPLOYEE CREATIVITY; SAFETY; CLIMATE; MODEL; SELF; EMPOWERMENT; INVOLVEMENT; MANAGEMENT; CONTEXT</t>
  </si>
  <si>
    <t>This study examines the relationships between care felt and engagement in innovative behaviors at work. We posit that when an individual perceives that coworkers care for him or her (i.e., care felt), this cultivates psychological conditions such as safety, meaningfulness, and availability, which result in a higher level of motivation and by implication engagement in innovative behaviors at work. A sample of 218 employees took part in the assessment of the relationship between the psychological conditions linked to care felt (measured at Time I) and motivation and engagement in innovative behaviors (measured at Time 2). The results of structural equation modeling (SEM) indicate that care felt is positively linked to psychological conditions. The latter is positively related directly and indirectly (through motivation) to engagement in innovative behaviors.</t>
  </si>
  <si>
    <t>[Carmeli, Abraham] Bar Ilan Univ, Grad Sch Business Adm, IL-52900 Ramat Gan, Israel; [Vinarski-Peretz, Hedva] Bar Ilan Univ, Dept Polit Sci, IL-52900 Ramat Gan, Israel</t>
  </si>
  <si>
    <t>carmelia@mail.biu.ac.il</t>
  </si>
  <si>
    <t>Carmeli, Abraham/H-5586-2011; Carmeli, Abraham/B-5351-2013; Vinarski Peretz, Hedva/ABA-9827-2021</t>
  </si>
  <si>
    <t>EDUCATIONAL PUBLISHING FOUNDATION-AMERICAN PSYCHOLOGICAL ASSOC</t>
  </si>
  <si>
    <t>750 FIRST ST, NE, WASHINGTON, DC 20002-4242 USA</t>
  </si>
  <si>
    <t>1931-3896</t>
  </si>
  <si>
    <t>1931-390X</t>
  </si>
  <si>
    <t>PSYCHOL AESTHET CREA</t>
  </si>
  <si>
    <t>Psychol. Aesthet. Creat. Arts.</t>
  </si>
  <si>
    <t>10.1037/a0018241</t>
  </si>
  <si>
    <t>Humanities, Multidisciplinary; Psychology, Experimental</t>
  </si>
  <si>
    <t>Social Science Citation Index (SSCI); Arts &amp;amp; Humanities Citation Index (A&amp;amp;HCI)</t>
  </si>
  <si>
    <t>Arts &amp; Humanities - Other Topics; Psychology</t>
  </si>
  <si>
    <t>740FN</t>
  </si>
  <si>
    <t>WOS:000288777100006</t>
  </si>
  <si>
    <t>Lu, L; Zhou, F; Leung, K</t>
  </si>
  <si>
    <t>Lu, Lin; Zhou, Fan; Leung, Kwok</t>
  </si>
  <si>
    <t>Effects of task and relationship conflicts on individual work behaviors</t>
  </si>
  <si>
    <t>INTERNATIONAL JOURNAL OF CONFLICT MANAGEMENT</t>
  </si>
  <si>
    <t>Conflict; Conflict management; Performance management; Individual behaviour; China</t>
  </si>
  <si>
    <t>ORGANIZATIONAL CITIZENSHIP BEHAVIOR; TEAM CLIMATE; PERFORMANCE; INNOVATION; PERCEPTIONS; CREATIVITY; SATISFACTION; ORIENTATION; LEADERSHIP; DEMOGRAPHY</t>
  </si>
  <si>
    <t>Purpose - Although the negative consequences of conflict in work settings have long been recognized, it is only in recent years that researchers have examined its positive effects, and the majority of this research has been conducted at the group level. This paper aims to examine the positive effects of conflict on individual. work behaviors by differentiating between task and relationship conflicts, as well as the moderating influence of two contextual variables. Design/methodology/approach - A survey was conducted with 166 pairs of supervisors and subordinates in China. Findings - Results supported the hypotheses that task conflict is positively related to both innovative behaviors and knowledge sharing behaviors while relationship conflict is negatively related to both individual-directed organizational citizenship and knowledge sharing behaviors. Support for innovation and reward system for relationship-building functioned as contextual factors to moderate the relationships between task and relationship conflicts and the workplace behaviors studied. Originality/value - The hypotheses proposed and most of the findings are original.</t>
  </si>
  <si>
    <t>[Zhou, Fan] Zhejiang Univ, Hangzhou, Zhejiang, Peoples R China; [Lu, Lin] Shanghai Jiao Tong Univ, Shanghai, Peoples R China; [Leung, Kwok] City Univ Hong Kong, Hong Kong, Hong Kong, Peoples R China</t>
  </si>
  <si>
    <t>Zhejiang University; Shanghai Jiao Tong University; City University of Hong Kong</t>
  </si>
  <si>
    <t>Zhou, F (corresponding author), Zhejiang Univ, Hangzhou, Zhejiang, Peoples R China.</t>
  </si>
  <si>
    <t>frankzhou@zju.edu.cn</t>
  </si>
  <si>
    <t>1044-4068</t>
  </si>
  <si>
    <t>1758-8545</t>
  </si>
  <si>
    <t>INT J CONFL MANAGE</t>
  </si>
  <si>
    <t>Int. J. Confl. Manage.</t>
  </si>
  <si>
    <t>10.1108/10444061111126675</t>
  </si>
  <si>
    <t>Communication; Management; Political Science</t>
  </si>
  <si>
    <t>Communication; Business &amp; Economics; Government &amp; Law</t>
  </si>
  <si>
    <t>763XL</t>
  </si>
  <si>
    <t>WOS:000290592900003</t>
  </si>
  <si>
    <t>Fang, YC; Chen, JY; Wang, MJ; Chen, CY</t>
  </si>
  <si>
    <t>Fang, Yang-Chun; Chen, Jia-Yan; Wang, Mei-Jie; Chen, Chao-Ying</t>
  </si>
  <si>
    <t>The Impact of Inclusive Leadership on Employees' Innovative Behaviors: The Mediation of Psychological Capital</t>
  </si>
  <si>
    <t>FRONTIERS IN PSYCHOLOGY</t>
  </si>
  <si>
    <t>new generation employees; inclusive leadership; psychological capital; innovative behavior; China</t>
  </si>
  <si>
    <t>ORGANIZATIONAL COMMITMENT; PERFORMANCE; CREATIVITY; DIVERSITY; SAFETY; MODEL</t>
  </si>
  <si>
    <t>Employee innovation is the cornerstone of the organization, and the motivation for employee innovative behavior largely depends on the leadership style of the leader. With the economic development of society, the traditional authoritative style of leadership can no longer adapt to the psychological characteristics of employees, who use newera work concepts, techniques, and social rules (hereafter, new generation employees). Inclusive leadership is based on the concept of fully inclusive and equitable in traditional Chinese culture, and it can adapt to the independent needs of new generation employees. At present, the research on the relationship between the traditional leadership style and employee innovative behavior is relatively extensive, but there is little research on the relationship between inclusive leadership style and employee innovative behavior, and this needs further exploration. This paper takes new generation employees as the sample and uses psychological capital as an intermediary variable to explore the influence of inclusive leadership style on the innovative behaviors of new generation employees. We found that inclusive leadership is significantly and positively related to new generation employees' innovative behavior. Theoretical and practical implications are discussed.</t>
  </si>
  <si>
    <t>[Fang, Yang-Chun] Zhejiang Univ Technol, Global Inst Zhejiang Merchants Dev, Hangzhou, Zhejiang, Peoples R China; [Fang, Yang-Chun; Chen, Jia-Yan; Chen, Chao-Ying] Zhejiang Univ Technol, Sch Management, Hangzhou, Zhejiang, Peoples R China; [Wang, Mei-Jie] Zhejiang ChangZheng Vocat &amp; Tech Coll, Hangzhou, Zhejiang, Peoples R China</t>
  </si>
  <si>
    <t>Zhejiang University of Technology; Zhejiang University of Technology</t>
  </si>
  <si>
    <t>Fang, YC (corresponding author), Zhejiang Univ Technol, Global Inst Zhejiang Merchants Dev, Hangzhou, Zhejiang, Peoples R China.;Fang, YC (corresponding author), Zhejiang Univ Technol, Sch Management, Hangzhou, Zhejiang, Peoples R China.</t>
  </si>
  <si>
    <t>fangyc@zjut.edu.cn</t>
  </si>
  <si>
    <t>National Social Science Fund Project of China [15BGL099]; Ministry of Education Humanities and Social Science Planning Fund Project [14YJA630008]; Zhejiang Province Soft Science Project [2018C25024]</t>
  </si>
  <si>
    <t>National Social Science Fund Project of China; Ministry of Education Humanities and Social Science Planning Fund Project; Zhejiang Province Soft Science Project</t>
  </si>
  <si>
    <t>This research was supported by the National Social Science Fund Project of China (Grant No. 15BGL099), the Ministry of Education Humanities and Social Science Planning Fund Project (Grant No. 14YJA630008), and the Zhejiang Province Soft Science Project (Grant No. 2018C25024).</t>
  </si>
  <si>
    <t>FRONTIERS MEDIA SA</t>
  </si>
  <si>
    <t>LAUSANNE</t>
  </si>
  <si>
    <t>AVENUE DU TRIBUNAL FEDERAL 34, LAUSANNE, CH-1015, SWITZERLAND</t>
  </si>
  <si>
    <t>1664-1078</t>
  </si>
  <si>
    <t>FRONT PSYCHOL</t>
  </si>
  <si>
    <t>Front. Psychol.</t>
  </si>
  <si>
    <t>AUG 6</t>
  </si>
  <si>
    <t>10.3389/fpsyg.2019.01803</t>
  </si>
  <si>
    <t>Psychology, Multidisciplinary</t>
  </si>
  <si>
    <t>IN9BY</t>
  </si>
  <si>
    <t>gold, Green Published</t>
  </si>
  <si>
    <t>WOS:000478975000002</t>
  </si>
  <si>
    <t>Hansen, JA; Pihl-Thingvad, S</t>
  </si>
  <si>
    <t>Hansen, Jesper Asring; Pihl-Thingvad, Signe</t>
  </si>
  <si>
    <t>Managing employee innovative behaviour through transformational and transactional leadership styles</t>
  </si>
  <si>
    <t>Transformational leadership; transactional leadership; innovative behavior</t>
  </si>
  <si>
    <t>PUBLIC-SERVICE MOTIVATION; SECTOR; RISK; PERFORMANCE; DETERMINANTS; FRAMEWORK; EXCHANGE; SUPPORT; WORKERS; POLICY</t>
  </si>
  <si>
    <t>This paper focuses on the associations between leadership styles and employee innovative behaviour. We studied the implementation of an ambitious innovation strategy in a large Danish municipality and examined how transformational and transactional leadership styles relate to innovative behaviour. We combined data from two sources rating leadership styles of immediate supervisors and employee innovative behaviour. The findings suggest that transformational leadership and one component of transactional leadership, namely verbal rewards, are positively associated with innovative behaviour. The interaction between the two shows that innovative behaviour is most likely when the leader combines transformational leadership with verbal rewards.</t>
  </si>
  <si>
    <t>[Hansen, Jesper Asring; Pihl-Thingvad, Signe] Univ Southern Denmark, Dept Polit Sci &amp; Publ Management, Odense, Denmark</t>
  </si>
  <si>
    <t>University of Southern Denmark</t>
  </si>
  <si>
    <t>Hansen, JA (corresponding author), Univ Southern Denmark, Dept Polit Sci &amp; Publ Management, Odense, Denmark.</t>
  </si>
  <si>
    <t>jajh@sam.sdu.dk</t>
  </si>
  <si>
    <t>Hansen, Jesper Asring/0000-0003-0267-1222</t>
  </si>
  <si>
    <t>JUN 3</t>
  </si>
  <si>
    <t>10.1080/14719037.2018.1544272</t>
  </si>
  <si>
    <t>HX0IM</t>
  </si>
  <si>
    <t>WOS:000467072800007</t>
  </si>
  <si>
    <t>Klaeijsen, A; Vermeulen, M; Martens, R</t>
  </si>
  <si>
    <t>Klaeijsen, Andrea; Vermeulen, Marjan; Martens, Rob</t>
  </si>
  <si>
    <t>Teachers' Innovative Behaviour: The Importance of Basic Psychological Need Satisfaction, Intrinsic Motivation, and Occupational Self-Efficacy</t>
  </si>
  <si>
    <t>SCANDINAVIAN JOURNAL OF EDUCATIONAL RESEARCH</t>
  </si>
  <si>
    <t>Innovative behaviour; occupational self-efficacy; self-determination theory; teachers</t>
  </si>
  <si>
    <t>DIGITAL LEARNING-MATERIALS; TRANSFORMATIONAL LEADERSHIP; JOB-SATISFACTION; WORK; EMPLOYEE; MODEL; DISCREPANCIES; PERFORMANCE; IMPACT; GOALS</t>
  </si>
  <si>
    <t>Teachers' innovative behaviour and professional development are important aspects of high-quality education. It is often thought that motivation influences teachers' innovative behaviour and professional development. The main purpose of this study is to gain more insight into motivational processes contributing to teachers' innovative behaviour. Using Self-Determination Theory, both intrinsic motivation and basic psychological need satisfaction are addressed. From an organizational psychology perspective, occupational self-efficacy is also included in the hypothesized model. Online survey data from teachers in primary, secondary, and vocational education in the Netherlands (n=2,385) are analysed using structural equation modeling. Results show that basic psychological need satisfaction affects both intrinsic motivation and occupational self-efficacy, and that the latter strongly supports innovative behaviour.</t>
  </si>
  <si>
    <t>[Klaeijsen, Andrea; Martens, Rob] Open Univ Netherlands, Res Ctr Learning Teaching &amp; Technol, Welten Inst, Heerlen, Netherlands; [Vermeulen, Marjan] Open Univ Netherlands, Res Ctr Learning Teaching &amp; Technol, Welten Inst, Shertogenbosch, Netherlands; [Vermeulen, Marjan] KPC Grp, Shertogenbosch, Netherlands</t>
  </si>
  <si>
    <t>Open University Netherlands; Open University Netherlands</t>
  </si>
  <si>
    <t>Klaeijsen, A (corresponding author), Ecbo, Ctr Expertise Vocat Educ &amp; Training, Postbus 1585, NL-5200 BP Shertogenbosch, Netherlands.</t>
  </si>
  <si>
    <t>andrea.klaeijsen@ecbo.nl</t>
  </si>
  <si>
    <t>martens, rob/0000-0001-7193-8125</t>
  </si>
  <si>
    <t>0031-3831</t>
  </si>
  <si>
    <t>1470-1170</t>
  </si>
  <si>
    <t>SCAND J EDUC RES</t>
  </si>
  <si>
    <t>Scand. J. Educ. Res.</t>
  </si>
  <si>
    <t>10.1080/00313831.2017.1306803</t>
  </si>
  <si>
    <t>GR1KM</t>
  </si>
  <si>
    <t>WOS:000442296200008</t>
  </si>
  <si>
    <t>Ingram, AE; Lewis, MW; Barton, S; Gartner, WB</t>
  </si>
  <si>
    <t>Ingram, Amy E.; Lewis, Marianne W.; Barton, Sid; Gartner, William B.</t>
  </si>
  <si>
    <t>Paradoxes and Innovation in Family Firms: The Role of Paradoxical Thinking</t>
  </si>
  <si>
    <t>MODEL</t>
  </si>
  <si>
    <t>Scholars stress that family firms are inherently paradoxical, and that tensions, such as tradition versus change, family liquidity versus business growth, and founder control versus successor autonomy, can both inhibit and foster innovation. Further, theorists propose that firms led by paradoxical thinkers are more likely to manage these tensions and fuel innovative behavior. Leveraging family business and organizational paradox literatures, this multi-stage exploratory study develops measures of paradoxical tensions and paradoxical thinking in family firms, and tests these propositions. Findings indicate that paradoxical tensions may stymie innovative behavior, but that leaders' paradoxical thinking is positively related to innovative behavior.</t>
  </si>
  <si>
    <t>[Ingram, Amy E.] Clemson Univ, Coll Business &amp; Behav Sci, Management, 139 Sirrine Hall, Clemson, SC 29634 USA; [Lewis, Marianne W.] Univ Cincinnati, Carl H Lindner Coll Business, Undergrad Programs, Lindner Room 102D,POB 210020, Cincinnati, OH 45221 USA; [Lewis, Marianne W.] Univ Cincinnati, Carl H Lindner Coll Business, Kolodzik Business Scholars, Lindner Room 102D,POB 210020, Cincinnati, OH 45221 USA; [Lewis, Marianne W.] Univ Cincinnati, Carl H Lindner Coll Business, Management, Lindner Room 102D,POB 210020, Cincinnati, OH 45221 USA; [Barton, Sid] Univ Cincinnati, Carl H Lindner Coll Business, Family &amp; Private Business, POB 210020, Cincinnati, OH 45221 USA; [Gartner, William B.] Copenhagen Business Sch, Dept Management Polit &amp; Philosophy, Entrepreneurship &amp; Art Innovat, Poreelaenshaven 18B, DK-2000 Frederiksberg, Denmark</t>
  </si>
  <si>
    <t>Clemson University; University System of Ohio; University of Cincinnati; University System of Ohio; University of Cincinnati; University System of Ohio; University of Cincinnati; University System of Ohio; University of Cincinnati; Copenhagen Business School</t>
  </si>
  <si>
    <t>Ingram, AE (corresponding author), Clemson Univ, Coll Business &amp; Behav Sci, Management, 139 Sirrine Hall, Clemson, SC 29634 USA.;Lewis, MW (corresponding author), Univ Cincinnati, Carl H Lindner Coll Business, Undergrad Programs, Lindner Room 102D,POB 210020, Cincinnati, OH 45221 USA.;Lewis, MW (corresponding author), Univ Cincinnati, Carl H Lindner Coll Business, Kolodzik Business Scholars, Lindner Room 102D,POB 210020, Cincinnati, OH 45221 USA.;Lewis, MW (corresponding author), Univ Cincinnati, Carl H Lindner Coll Business, Management, Lindner Room 102D,POB 210020, Cincinnati, OH 45221 USA.;Barton, S (corresponding author), Univ Cincinnati, Carl H Lindner Coll Business, Family &amp; Private Business, POB 210020, Cincinnati, OH 45221 USA.;Gartner, WB (corresponding author), Copenhagen Business Sch, Dept Management Polit &amp; Philosophy, Entrepreneurship &amp; Art Innovat, Poreelaenshaven 18B, DK-2000 Frederiksberg, Denmark.;Gartner, WB (corresponding author), Calif Lutheran Univ, Sch Management, Entrepreneurship, Hansen House,60 West Olsen Rd,3550, Thousand Oaks, CA 91360 USA.</t>
  </si>
  <si>
    <t>AMYI@clemson.edu; lewimr@ucmail.uc.edu; bartonsl@ucmail.uc.edu; Wbg.lpf@cbs.dk</t>
  </si>
  <si>
    <t>Lewis, Marianne W./AAE-9569-2019</t>
  </si>
  <si>
    <t>10.1111/etap.12113</t>
  </si>
  <si>
    <t>DC0YK</t>
  </si>
  <si>
    <t>WOS:000368943800008</t>
  </si>
  <si>
    <t>Pundt, A</t>
  </si>
  <si>
    <t>Pundt, Alexander</t>
  </si>
  <si>
    <t>The relationship between humorous leadership and innovative behavior</t>
  </si>
  <si>
    <t>Innovation; Leadership; Creative thinking</t>
  </si>
  <si>
    <t>MEMBER EXCHANGE LMX; COMMON METHOD BIAS; TRANSFORMATIONAL LEADERSHIP; WORKPLACE HUMOR; WORK; METAANALYSIS; CREATIVITY; REQUIREMENT; PERFORMANCE; VALIDATION</t>
  </si>
  <si>
    <t>Purpose - The purpose of this paper is to investigate the relationship between humorous leadership and innovative behavior and the moderator effects of creative requirement and perceived innovation climate, beyond transformational leadership, and leader-member exchange (LMX). Design/methodology/approach - Questionnaire data were collected from 150 employees of various organizations in Germany. Findings - Employees whose leader used humor more frequently reported to be more innovative, when the employees perceived their tasks to require creativity and innovation. Perceived innovation climate did not moderate the relationship. Research limitations/implications - Different humor styles rather than just positive humor should be investigated in the future. Future research should incorporate multi-level designs and objective data on innovative behavior. Practical implications - Humorous leadership is an important element of innovation-relevant leadership behavior. Its use may be integrated in broader leadership development approaches. Originality/value - The study contributes to knowledge on humorous leadership and its relationship to organizational behavior. It enhances theoretical developments by considering the employees' task and perceived innovation climate as moderator variables. It helps establish humor as a leadership tool beyond constructs such as LMX or transformational leadership.</t>
  </si>
  <si>
    <t>[Pundt, Alexander] Univ Mannheim, Dept Psychol Work &amp; Org Psychol, D-68131 Mannheim, Germany</t>
  </si>
  <si>
    <t>University of Mannheim</t>
  </si>
  <si>
    <t>Pundt, A (corresponding author), Univ Mannheim, Dept Psychol Work &amp; Org Psychol, D-68131 Mannheim, Germany.</t>
  </si>
  <si>
    <t>alexander.pundt@uni-mannheim.de</t>
  </si>
  <si>
    <t>10.1108/JMP-03-2013-0082</t>
  </si>
  <si>
    <t>DB1HV</t>
  </si>
  <si>
    <t>WOS:000368260000001</t>
  </si>
  <si>
    <t>Luoh, HF; Tsaur, SH; Tang, YY</t>
  </si>
  <si>
    <t>Luoh, Hsiang-Fei; Tsaur, Sheng-Hshiung; Tang, Ya-Yun</t>
  </si>
  <si>
    <t>Empowering employees: job standardization and innovative behavior</t>
  </si>
  <si>
    <t>Tourism; Hotels; Taiwan; Psychological empowerment; Frontline employee; Innovative behavior; Job standardization</t>
  </si>
  <si>
    <t>PSYCHOLOGICAL EMPOWERMENT; SERVICE QUALITY; CREATIVITY; MODEL; HOTEL; DETERMINANTS; PERFORMANCE; POWER; HOSPITALITY; LEADERSHIP</t>
  </si>
  <si>
    <t>Purpose - This study aims to explore the relationship between job standardization and employee innovative behavior, as well as the mediating and moderating effects of employee psychological empowerment. Little research has been focused on the conflicting concepts of job standardization and employee innovative behavior. Design/methodology/approach - Respondents chosen from frontline services in tourist hotels in Taiwan were used to examine the mediating and moderating roles of psychological empowerment on the established relationships between job standardization and employee innovative behavior. The results were analyzed using hierarchical regression models. Findings - The results show that job standardization had a negative effect on employee innovative behavior. In addition, employee psychological empowerment mediated the effect of job standardization on innovative behavior. Subsequently, employee psychological empowerment played a buffering role and moderated the job standardization-innovative behavior relationship. Practical implications - Hotel management needs to use both training and work process review to help employees innovate while still understanding the meaning of their work, enhancing self-efficacy, self-determination and the impact of decision-making. Originality/value - This study gives both theoretical and empirical evidence to clarify the effect of psychological empowerment on the importance of job standardization and innovative behavior in organizations. This is the only study that has investigated this topic in the hospitality field and therefore makes significant strides in understanding the impact of psychological empowerment on hotel employees' innovative behavior.</t>
  </si>
  <si>
    <t>[Luoh, Hsiang-Fei] Fu Jen Catholic Univ, Dept Restaurant Hotel &amp; Inst Management, New Taipei, Taiwan; [Tsaur, Sheng-Hshiung] Natl Chiayi Univ, Grad Inst Leisure Recreat &amp; Tourism Management, Chiayi, Taiwan; [Tang, Ya-Yun] Shih Chien Univ, Dept Recreat Management, Kaohsiung, Taiwan</t>
  </si>
  <si>
    <t>Fu Jen Catholic University; National Chiayi University; Shih Chien University</t>
  </si>
  <si>
    <t>Tsaur, SH (corresponding author), Natl Chiayi Univ, Grad Inst Leisure Recreat &amp; Tourism Management, Chiayi, Taiwan.</t>
  </si>
  <si>
    <t>shenght@mail.ncyu.edu.tw</t>
  </si>
  <si>
    <t>10.1108/IJCHM-03-2013-0153</t>
  </si>
  <si>
    <t>AT6DQ</t>
  </si>
  <si>
    <t>WOS:000345029700006</t>
  </si>
  <si>
    <t>Chang, LC; Liu, CH</t>
  </si>
  <si>
    <t>Chang, Li-Chun; Liu, Chieh-Hsing</t>
  </si>
  <si>
    <t>Employee empowerment, innovative behavior and job productivity of public health nurses: A cross-sectional questionnaire survey</t>
  </si>
  <si>
    <t>INTERNATIONAL JOURNAL OF NURSING STUDIES</t>
  </si>
  <si>
    <t>Employee empowerment; Innovative behavior; Job productivity; Public health nursing</t>
  </si>
  <si>
    <t>PSYCHOLOGICAL EMPOWERMENT; MODEL; DETERMINANTS; SATISFACTION; WORKPLACE</t>
  </si>
  <si>
    <t>Background: Employee empowerment is an important organizational issue. Empowered employees with new ideas and innovative attributes may increase their ability to respond more effectively to face extensive changes in current public health care work environments. Objectives: The objective of this study was to investigate the relationships between employee empowerment, innovative behaviors and job productivity of public health nurses (PHNs). Design: This study conducted a cross-sectional research design. Settings and participants: Purposive sampling was conducted from six health bureaus in northern Taiwan. 670 PHNs were approached and 576 valid questionnaires were collected, with a response rate of 85.9%. Methods: Structured questionnaires were used to collect data by post. Results: Meaning and competence subscales of psychological empowerment, information and opportunity subscales of organizational empowerment, and innovative behaviors were the predictors of job productivity, only accounting for 16.4% of the variance. The competence subscale of psychological empowerment made the most contribution to job productivity (beta = 0.31). Meaning subscale of psychological empowerment has a negative impact on job productivity. Conclusions: Employee empowerment and innovative behavior of PHNs have little influence on job productivity. Employees with greater competence for delivering public health showed higher self-evaluated job productivity. The negative influences on job productivity possibly caused by conflict meaning on public health among PHNs in current public health policy. It should be an issue in further researches. Public health department should strengthen continuing educations to foster competence of psychological sense of empowerment and innovative behavior to increase job productivity. (C) 2008 Elsevier Ltd. All rights reserved.</t>
  </si>
  <si>
    <t>[Chang, Li-Chun] Chang Gung Inst Technol, Dept Nursing, Tao Yuan 33303, Taiwan</t>
  </si>
  <si>
    <t>Chang Gung University of Science &amp; Technology</t>
  </si>
  <si>
    <t>Chang, LC (corresponding author), Chang Gung Inst Technol, Dept Nursing, 261,Wen Hua 1st Rd, Tao Yuan 33303, Taiwan.</t>
  </si>
  <si>
    <t>shixu@seed.net.tw</t>
  </si>
  <si>
    <t>0020-7489</t>
  </si>
  <si>
    <t>1873-491X</t>
  </si>
  <si>
    <t>INT J NURS STUD</t>
  </si>
  <si>
    <t>Int. J. Nurs. Stud.</t>
  </si>
  <si>
    <t>10.1016/j.ijnurstu.2007.12.006</t>
  </si>
  <si>
    <t>357LW</t>
  </si>
  <si>
    <t>WOS:000259848300006</t>
  </si>
  <si>
    <t>HOLLANDER, E</t>
  </si>
  <si>
    <t>SOME EFFECTS OF PERCEIVED STATUS ON RESPONSES TO INNOVATIVE BEHAVIOR</t>
  </si>
  <si>
    <t>JOURNAL OF ABNORMAL AND SOCIAL PSYCHOLOGY</t>
  </si>
  <si>
    <t>J ABNORM SOC PSYCH</t>
  </si>
  <si>
    <t>10.1037/h0048240</t>
  </si>
  <si>
    <t>WOS:A19610562700019</t>
  </si>
  <si>
    <t>van Waarden, F</t>
  </si>
  <si>
    <t>Institutions and innovation: The legal environment of innovating firms</t>
  </si>
  <si>
    <t>ORGANIZATION STUDIES</t>
  </si>
  <si>
    <t>innovation; uncertainty reduction; transaction costs; inter-firm cooperation; legal environment of firms; regulation and litigation</t>
  </si>
  <si>
    <t>SYSTEMS</t>
  </si>
  <si>
    <t>The literature on 'national systems of innovation' emphasizes that the innovative capacity of nations depends on their institutions. This paper investigates the influence of an ideal-typical institution, law and regulations, on innovation, both directly and indirectly, through its influence on the organizational structure of - and cooperation between - firms that (may) engage in innovation. The paper starts by noting that innovation is fraught with risk and uncertainty which raise transaction costs. If these costs become too high, one would expect firms to refrain from investing in innovation. A major function of law and regulation is to reduce such risk and uncertainty. However, national legal systems differ in their capacity to reduce risk and uncertainty both effectively and efficiently. A typology of legal systems is introduced, based on two dimensions: an emphasis on regulation or on litigation; and an active or passive use of these. Subsequently, two legal systems are compared, which form more or less opposites in the typology, those of the United States and of the Netherlands. First, the possible direct effects of regulation on innovation are discussed. The American and Dutch legal systems are compared on the degree of activism of regulation, and the possible effect of both systems on innovation, through their influence on freedom versus predictability and through their technology-forcing effects. Second, the possible direct effect of litigation on uncertainty reduction and thus on innovation is considered. Third, the indirect effects of regulation and litigation on innovation are treated through their influence on organization, including inter-organizational relations. The conclusion is that, by comparison, the American system, with its emphasis on litigation, seems to be less effective and efficient in reducing uncertainty. Curiously enough, an institution, developed in order to reduce uncertainty, has itself become a new source of uncertainty. One would expect an economy with such a legal system to be less innovative. However, the opposite seems to be true. This paradox becomes understandable if one realizes that institutions are expressions of - and perpetuate - cultural values. Risk-averse cultures have legal systems that emphasize the reduction of risk and uncertainty. They also produce more risk-averse innovative behaviour in firms.</t>
  </si>
  <si>
    <t>Univ Utrecht, Dept Econ &amp; Policy Studies, Utrecht, Netherlands</t>
  </si>
  <si>
    <t>Utrecht University</t>
  </si>
  <si>
    <t>van Waarden, F (corresponding author), Univ Utrecht, Dept Econ &amp; Policy Studies, Utrecht, Netherlands.</t>
  </si>
  <si>
    <t>0170-8406</t>
  </si>
  <si>
    <t>1741-3044</t>
  </si>
  <si>
    <t>ORGAN STUD</t>
  </si>
  <si>
    <t>Organ. Stud.</t>
  </si>
  <si>
    <t>10.1177/0170840601225002</t>
  </si>
  <si>
    <t>515JZ</t>
  </si>
  <si>
    <t>WOS:000173493200002</t>
  </si>
  <si>
    <t>Malik, M; Sarwar, S; Orr, S</t>
  </si>
  <si>
    <t>Malik, Mohsin; Sarwar, Shagufta; Orr, Stuart</t>
  </si>
  <si>
    <t>Agile practices and performance: Examining the role of psychological empowerment</t>
  </si>
  <si>
    <t>SUCCESS FACTORS; TEAM DIVERSITY; MEDIATING ROLE; METHOD BIAS; MANAGEMENT; LEADERSHIP; MOTIVATION; WORK; METAANALYSIS; INNOVATION</t>
  </si>
  <si>
    <t>This study draws on the literature on psychological empowerment to conceptualize agile practices as a source of intrinsic motivation that enables the agile teams to deliver innovative outcomes. Then, drawing on the resource based view of innovative projects, the innovative behaviour of agile teams is cast as a project capability that affects project performance. To test this original conceptualization, data was collected to find support for the hypothesized relationships between agile practices, psychological empowerment, innovative behaviour and project performance. The statistical results showed that the agile practices of team autonomy and agile communication contributed to psychological empowerment that led to the innovative behaviour of agile teams. The innovative behaviour also affected project performance. The empirical validation of agile practices as a source of empowerment and motivation for agile teams is a new finding in the literature which has strong implications for both the theory and practice.</t>
  </si>
  <si>
    <t>[Malik, Mohsin] Swinburne Univ Technol, Fac Business &amp; Law, Dept Business Technol &amp; Entrepreneurship, Mail H23,BA1001,John St, Hawthorn, Vic 3122, Australia; [Sarwar, Shagufta] Higher Coll Technol, Sch Business, Abu Dhabi, U Arab Emirates; [Orr, Stuart] Deakin Univ, Deakin Business Sch, Dept Management, Geelong, Vic, Australia</t>
  </si>
  <si>
    <t>Swinburne University of Technology; Higher Colleges of Technology - United Arab Emirates; Deakin University</t>
  </si>
  <si>
    <t>Malik, M (corresponding author), Swinburne Univ Technol, Fac Business &amp; Law, Dept Business Technol &amp; Entrepreneurship, Mail H23,BA1001,John St, Hawthorn, Vic 3122, Australia.</t>
  </si>
  <si>
    <t>mmalik@swin.edu.au; ssarwar@hct.ac.ae; s.orr@deakin.edu.au</t>
  </si>
  <si>
    <t>Malik, Mohsin/GPX-1232-2022; Malik, Mohsin/O-4198-2018; Malik, Mohsin/GPF-4081-2022</t>
  </si>
  <si>
    <t xml:space="preserve">Malik, Mohsin/0000-0002-4048-3057; Malik, Mohsin/0000-0002-4048-3057; </t>
  </si>
  <si>
    <t>10.1016/j.ijproman.2020.09.002</t>
  </si>
  <si>
    <t>PN1SZ</t>
  </si>
  <si>
    <t>WOS:000604267900002</t>
  </si>
  <si>
    <t>Shipton, H; Sparrow, P; Budhwar, P; Brown, A</t>
  </si>
  <si>
    <t>Shipton, Helen; Sparrow, Paul; Budhwar, Pawan; Brown, Alan</t>
  </si>
  <si>
    <t>HRM and innovation: looking across levels</t>
  </si>
  <si>
    <t>human resource management; innovation; multi-level; human resource strategy</t>
  </si>
  <si>
    <t>HUMAN-RESOURCE MANAGEMENT; PERFORMANCE WORK SYSTEMS; ORGANIZATIONAL INNOVATION; MEDIATING ROLE; KNOWLEDGE; CREATIVITY; STRENGTH; BEHAVIOR; PRODUCTIVITY; WORKPLACE</t>
  </si>
  <si>
    <t>Studies are starting to explore the role of human resource management (HRM) in fostering organisational innovation, but empirical evidence remains contradictory and theory fragmented. This is partly because extant literature by and large adopts a unitary level of analysis, rather than reflecting on the multi-level demands that innovation presents. Building on an emergent literature focused on HRM's role in shaping innovation, we shed light on the question of whether, and how, HRM might influence employees' innovative behaviours in the direction of strategically important goals. Drawing upon institutional theory, our contributions are threefold: to bring out the effect of two discrete HRM configurations - one underpinned by a control and the other by an entrepreneurial ethos, on attitudes and behaviours at the individual level; to reflect the way in which employee innovative behaviours arising from these HRM configurations coalesce to shape higher-level phenomena, such as organisational-level innovation; and to bring out two distinct patterns of bottom-up emergence, one driven primarily by composition and the other by both composition and compilation.</t>
  </si>
  <si>
    <t>[Shipton, Helen] Nottingham Trent Univ, Nottingham Business Sch, Nottingham NG1 4BU, England; [Sparrow, Paul] Univ Lancaster, Ctr Performance Led HR, Management Sch, Lancaster, England; [Budhwar, Pawan] Aston Business Sch, Birmingham, W Midlands, England; [Brown, Alan] Univ Warwick, Inst Employment Res, Coventry, W Midlands, England</t>
  </si>
  <si>
    <t>Nottingham Trent University; RLUK- Research Libraries UK; University of Nottingham; N8 Research Partnership; RLUK- Research Libraries UK; Lancaster University; Aston University; RLUK- Research Libraries UK; University of Warwick</t>
  </si>
  <si>
    <t>Shipton, H (corresponding author), Nottingham Trent Univ, Nottingham Business Sch, Nottingham NG1 4BU, England.</t>
  </si>
  <si>
    <t>helen.shipton@ntu.ac.uk</t>
  </si>
  <si>
    <t>Brown, Alan J/E-1531-2017</t>
  </si>
  <si>
    <t>Brown, Alan J/0000-0002-1936-6315</t>
  </si>
  <si>
    <t>10.1111/1748-8583.12102</t>
  </si>
  <si>
    <t>ER5OS</t>
  </si>
  <si>
    <t>WOS:000398852000004</t>
  </si>
  <si>
    <t>Meffert, PJ; Dziock, F</t>
  </si>
  <si>
    <t>Meffert, Peter J.; Dziock, Frank</t>
  </si>
  <si>
    <t>The influence of urbanisation on diversity and trait composition of birds</t>
  </si>
  <si>
    <t>LANDSCAPE ECOLOGY</t>
  </si>
  <si>
    <t>Urbanisation; Fourth-corner analysis; Biotic homogenisation; Urban matrix; Community assembly</t>
  </si>
  <si>
    <t>BIOTIC HOMOGENIZATION; SPECIES RICHNESS; LIFE-HISTORY; URBAN; HABITAT; LANDSCAPE; COMMUNITY; ABUNDANCE; PATCH; BIODIVERSITY</t>
  </si>
  <si>
    <t>We analysed the effect of the urban matrix, the urban space surrounding distinct habitat patches, on bird communities. In doing so we assessed the impact of urbanisation beyond the effect of habitat loss. We used a set of 54 wasteland sites of early successional stages that were scattered over the entire urban area of Berlin, Germany. Sites were similar to each other in habitat structure but differed in their surroundings, the urban matrix. Thus, our study design allows to investigate associations between birds and the urban matrix. Our measures for urbanisation are human population density and degree of sealing within 50 to 2,000 m buffer zones surrounding each wasteland site. Along the urbanisation gradients we calculated three measures of bird communities: alpha diversity, beta diversity, and trait profile of the entire bird community regarding food, life-history, and behavioural traits. Alpha diversity did not change significantly along the gradients of urbanisation. However, beta diversity increased along the urbanisation gradients with urbanisation at the local scale (50 m) but decreased at the landscape scale (200 and 2,000 m). Fourth-corner analysis of relationships between urbanisation and species traits showed trait shifts: adult survival rate increased with human population density and densities of birds that are more often reported to show innovative behaviour increased with both human population density and degree of sealing. We conclude that the influence of the urban matrix contributes to the homogenisation of the avifauna by filtering certain species traits and promoting others.</t>
  </si>
  <si>
    <t>Univ Med Greifswald, Inst Community Med, Sect Study Hlth Pomerania Clin Epidemiol Res, Walther Rathenau Strae 48, D-17475 Greifswald, Germany; [Dziock, Frank] Univ Appl Sci HTW Dresden, Fac Agr Landscape Management, Chair Anim &amp; Appl Ecol, Pillnitzer Pl 2, D-01326 Dresden, Germany; [Meffert, Peter J.] Univ Med Greifswald, Sect Study Hlth Pomerania Clin Epidemiol Res, Inst Community Med, D-17475 Greifswald, Germany; [Meffert, Peter J.] Univ Appl Sci HTW Dresden, Fac Agr Landscape Management, Chair Anim &amp; Appl Ecol, D-01326 Dresden, Germany</t>
  </si>
  <si>
    <t>Greifswald Medical School; Greifswald Medical School</t>
  </si>
  <si>
    <t>Meffert, PJ (corresponding author), Dostojewskistr 1 A, D-17491 Greifswald, Germany.</t>
  </si>
  <si>
    <t>p.j.meffert@web.de; dziock@htw-dresden.de</t>
  </si>
  <si>
    <t>Deutsche Forschungsgemeinschaft, Research Training Group Urban Ecology [780/3]</t>
  </si>
  <si>
    <t>Deutsche Forschungsgemeinschaft, Research Training Group Urban Ecology(German Research Foundation (DFG))</t>
  </si>
  <si>
    <t>We thank L. K. Fischer and two anonymous reviewers for their comments on a previous draft of the manuscript. Funding was provided by Deutsche Forschungsgemeinschaft, Research Training Group 780/3 Urban Ecology.</t>
  </si>
  <si>
    <t>0921-2973</t>
  </si>
  <si>
    <t>1572-9761</t>
  </si>
  <si>
    <t>LANDSCAPE ECOL</t>
  </si>
  <si>
    <t>Landsc. Ecol.</t>
  </si>
  <si>
    <t>10.1007/s10980-013-9867-z</t>
  </si>
  <si>
    <t>Ecology; Geography, Physical; Geosciences, Multidisciplinary</t>
  </si>
  <si>
    <t>Environmental Sciences &amp; Ecology; Physical Geography; Geology</t>
  </si>
  <si>
    <t>138FO</t>
  </si>
  <si>
    <t>WOS:000318494500012</t>
  </si>
  <si>
    <t>Fernandez, S; Pitts, DW</t>
  </si>
  <si>
    <t>Fernandez, Sergio; Pitts, David W.</t>
  </si>
  <si>
    <t>Understanding Employee Motivation to Innovate: Evidence from Front Line Employees in United States Federal Agencies</t>
  </si>
  <si>
    <t>AUSTRALIAN JOURNAL OF PUBLIC ADMINISTRATION</t>
  </si>
  <si>
    <t>innovation; reform; organisational change</t>
  </si>
  <si>
    <t>PUBLIC MANAGEMENT; ORGANIZATIONAL INNOVATION; REINVENTING GOVERNMENT; DETERMINANTS; REFORM; PERFORMANCE; BUREAUCRACY; GOVERNANCE; SECTOR; COMMUNICATION</t>
  </si>
  <si>
    <t>In a period of ongoing public sector reform in the United States (US), federal government agencies have been pushed to find new ways of performing their public functions more effectively and efficiently. Frontline public sector employees are a particularly vital source of innovations in organisational function and form. This study seeks to identify factors that motivate front line employees in the US federal bureaucracy to engage in innovative behaviour. The empirical analysis is based on data from the 2006 Federal Human Capital Survey. The results show that a constellation of factors encourage bottom-up innovation, including the expectancy of innovation being rewarded, employee training and development, employee empowerment and involvement in decision-making, and high-exchange dyadic relationships with supervisors.</t>
  </si>
  <si>
    <t>[Fernandez, Sergio] Indiana Univ, Bloomington, IN 47405 USA; [Pitts, David W.] American Univ, Washington, DC 20016 USA</t>
  </si>
  <si>
    <t>Indiana University System; Indiana University Bloomington; American University</t>
  </si>
  <si>
    <t>Pitts, David/0000-0001-5124-357X</t>
  </si>
  <si>
    <t>0313-6647</t>
  </si>
  <si>
    <t>1467-8500</t>
  </si>
  <si>
    <t>AUST J PUBL ADMIN</t>
  </si>
  <si>
    <t>Aust. J. Public Adm.</t>
  </si>
  <si>
    <t>10.1111/j.1467-8500.2011.00726.x</t>
  </si>
  <si>
    <t>783RH</t>
  </si>
  <si>
    <t>WOS:000292101200007</t>
  </si>
  <si>
    <t>Noefer, K; Stegmaier, R; Molter, B; Sonntag, K</t>
  </si>
  <si>
    <t>Noefer, Katrin; Stegmaier, Ralf; Molter, Beate; Sonntag, Karlheinz</t>
  </si>
  <si>
    <t>A Great Many Things to Do and Not a Minute to Spare: Can Feedback From Supervisors Moderate the Relationship Between Skill Variety, Time Pressure, and Employees' Innovative Behavior?</t>
  </si>
  <si>
    <t>SELF-EFFICACY; CREATIVITY; WORK; OPENNESS; SUPPORT; MODEL; IMPLEMENTATION; ROUTINIZATION; PERFORMANCE; SUGGESTION</t>
  </si>
  <si>
    <t>Workplace changes necessitate employees' innovative behavior. Developing and implementing new ideas can be enhanced by focusing on situational characteristics and adjusting them to improve employees' working conditions. To date, mostly interactions between situational and personal characteristics on innovative behavior have been researched. This study focused explicitly on the interaction between 3 situational characteristics: time pressure, skill variety, and feedback from supervisors. A questionnaire study was administered to 81 employees (age range 40-64 years) from different organizations. Results indicated direct positive correlations between time pressure and skill variety with idea generation and implementation. Feedback from supervisors moderated the positive relationships while controlling for effects of creative thinking abilities. Implications are explored.</t>
  </si>
  <si>
    <t>[Noefer, Katrin] Heidelberg Univ, Dept Occupat &amp; Org Psychol, D-69117 Heidelberg, Germany</t>
  </si>
  <si>
    <t>Ruprecht Karls University Heidelberg</t>
  </si>
  <si>
    <t>Noefer, K (corresponding author), Heidelberg Univ, Dept Occupat &amp; Org Psychol, Hauptstr 47-51, D-69117 Heidelberg, Germany.</t>
  </si>
  <si>
    <t>katrin.noefer@psychologie.uni-heidelberg.de</t>
  </si>
  <si>
    <t>10.1080/10400410903297964</t>
  </si>
  <si>
    <t>596WT</t>
  </si>
  <si>
    <t>WOS:000277716900008</t>
  </si>
  <si>
    <t>Sun, YF</t>
  </si>
  <si>
    <t>Sources of innovation in China's manufacturing sector: imported or developed in-house?</t>
  </si>
  <si>
    <t>ENVIRONMENT AND PLANNING A-ECONOMY AND SPACE</t>
  </si>
  <si>
    <t>RESEARCH-AND-DEVELOPMENT; TECHNOLOGY-TRANSFER; SPATIAL-DISTRIBUTION; DEVELOPING-COUNTRIES; PATENTS; GLOBALIZATION; GOVERNMENT; LOCATION; PATTERNS; ECONOMY</t>
  </si>
  <si>
    <t>The author investigates the innovative behavior of large and medium-sized manufacturing enterprises in China. It is revealed that in-house research and development (R&amp;D) efforts, rather than imported technologies, are the primary sources of industrial innovation in China. Regarding in-house R&amp;D efforts, it is found that in-house R&amp;D laboratories are important sources for the creation of new products as measured by patents, though it is enterprise-wide R&amp;D spending rather than the mere presence of in-house facilities that is more likely to lead to market success. Concerning importation of technologies, it is revealed that the limited nature of efforts to absorb imported technologies has become a serious barrier to fulfilling the potential of these technologies and to upgrading China's internal creative capabilities. In addition, domestic technology markets have not been effectively linked to large and medium-sized industrial enterprises, despite China's enduring efforts in this direction since the middle 1980s. It is therefore concluded that the organization of R&amp;D activities in China's industrial enterprises is still fragmented, with only weak linkages between technology importation and assimilation, between industrial R&amp;D and domestic technology markets, and between business and R&amp;D activities within enterprises.</t>
  </si>
  <si>
    <t>Calif State Univ Northridge, Dept Geog, Northridge, CA 91330 USA</t>
  </si>
  <si>
    <t>California State University System; California State University Northridge</t>
  </si>
  <si>
    <t>Sun, YF (corresponding author), Calif State Univ Northridge, Dept Geog, Northridge, CA 91330 USA.</t>
  </si>
  <si>
    <t>yifei.sun@csun.edu</t>
  </si>
  <si>
    <t>SUN, YIFEI/ABB-7963-2020</t>
  </si>
  <si>
    <t>SUN, YIFEI/0000-0002-5391-9331</t>
  </si>
  <si>
    <t>0308-518X</t>
  </si>
  <si>
    <t>1472-3409</t>
  </si>
  <si>
    <t>ENVIRON PLANN A</t>
  </si>
  <si>
    <t>Environ. Plan. A</t>
  </si>
  <si>
    <t>10.1068/a34107</t>
  </si>
  <si>
    <t>Environmental Studies; Geography</t>
  </si>
  <si>
    <t>Environmental Sciences &amp; Ecology; Geography</t>
  </si>
  <si>
    <t>564UW</t>
  </si>
  <si>
    <t>WOS:000176332800008</t>
  </si>
  <si>
    <t>Xerri, M</t>
  </si>
  <si>
    <t>Xerri, Matthew</t>
  </si>
  <si>
    <t>Workplace relationships and the innovative behaviour of nursing employees: a social exchange perspective</t>
  </si>
  <si>
    <t>ASIA PACIFIC JOURNAL OF HUMAN RESOURCES</t>
  </si>
  <si>
    <t>innovative behaviour; leader-member exchange (LMX); perceived organisational support (POS); social exchange theory (SET); workplace relationships</t>
  </si>
  <si>
    <t>PERCEIVED ORGANIZATIONAL SUPPORT; LEADER-MEMBER EXCHANGE; PSYCHOLOGICAL EMPOWERMENT; AFFECTIVE COMMITMENT; HRM PRACTICES; PERFORMANCE; SUPERVISOR; NURSES; MEDIATOR; MANAGEMENT</t>
  </si>
  <si>
    <t>This research examines the impact of two organisational factors on the innovative behaviour of nurses. More specifically, this research applies the dimensions of social exchange theory as a lens to develop an understanding into the mediating effect of perceived organisational support on the relationship between leader-member exchange and the innovative behaviour of nursing employees. This study uses a mixed-methods approach, including a survey in which 104 nurses responded with useable results and semi-structured interviews with 12 nursing unit managers (nursing supervisors). The findings confirm that perceived organisational support mediates the relationship between leader-member exchange and the innovative behaviour of nursing employees. This research adds to the current body of literature by providing insight into the impact of workplace relationships upon the individual innovativeness of nurses. In summary, this research provides new information for management seeking to develop an environment that fosters the innovative behaviour of employees.</t>
  </si>
  <si>
    <t>So Cross Univ, Southern Cross Business Sch, Coolangatta, Qld 4225, Australia</t>
  </si>
  <si>
    <t>Xerri, M (corresponding author), So Cross Univ, Southern Cross Business Sch, Gold Coast Tweed Heads Campus Beachside,Locked Ba, Coolangatta, Qld 4225, Australia.</t>
  </si>
  <si>
    <t>Xerri, Matthew/0000-0002-7179-8262</t>
  </si>
  <si>
    <t>1038-4111</t>
  </si>
  <si>
    <t>1744-7941</t>
  </si>
  <si>
    <t>ASIA PAC J HUM RESOU</t>
  </si>
  <si>
    <t>Asia Pac. J. Hum. Resour.</t>
  </si>
  <si>
    <t>10.1111/j.1744-7941.2012.00031.x</t>
  </si>
  <si>
    <t>118HA</t>
  </si>
  <si>
    <t>WOS:000317014900007</t>
  </si>
  <si>
    <t>Shih, HA; Susanto, E</t>
  </si>
  <si>
    <t>Shih, Hsi-An; Susanto, Ely</t>
  </si>
  <si>
    <t>Is innovative behavior really good for the firm? Innovative work behavior, conflict with coworkers and turnover intention: moderating roles of perceived distributive fairness</t>
  </si>
  <si>
    <t>Innovation; Employee behaviour; Conflict; Employee turnover; Indonesia</t>
  </si>
  <si>
    <t>LEADER-MEMBER EXCHANGE; ORGANIZATIONAL CITIZENSHIP; JOB-SATISFACTION; VOLUNTARY TURNOVER; PROCEDURAL JUSTICE; COMMITMENT; MODEL; PERFORMANCE; WORKPLACE; PERCEPTIONS</t>
  </si>
  <si>
    <t>Purpose - This study aims to investigate the negative impacts of innovative work behavior (IWB) on conflict with coworkers and turnover intention. It also aims to test the moderating effect of perceived distributive fairness on these relationships. Design/methodology/approach - A total of 460 employees who were working in production and marketing teams at manufacturing and pharmaceutical companies in Indonesia were asked to complete the questionnaire. The final sample consisted of 135 sets of paired data of supervisor and subordinate. The multiple hierarchical regressions were used to test the developed hypotheses. Findings - Findings of this study indicated that innovative work behavior had a positive and significant relationship with conflict with coworkers and turnover intention respectively. Moreover, the findings also found that perceived distributive fairness negatively moderated the relationship between IWB and both conflict with coworkers and turnover intention. Research limitations/implications - The study involved relatively a small sample selected from employees who were working in production and marketing teams in manufacturing and pharmaceutical companies in Indonesia. Future research should consider extending the sample to other industries and locations to test the arguments as well as exploring other contextual variables to buffer the negative impacts of BAT on conflict with coworkers and turnover intention Originality/value - Scholars and practitioners alike agree that IWB helps organizations to gain and sustain competitive advantage. However, IWB may also create problems for organizations and employees that previous studies have left unexplored. This study examines such negative impacts, along with how to alleviate them.</t>
  </si>
  <si>
    <t>[Shih, Hsi-An; Susanto, Ely] Natl Cheng Kung Univ, Coll Management, Inst Int Business, Tainan 70101, Taiwan</t>
  </si>
  <si>
    <t>National Cheng Kung University</t>
  </si>
  <si>
    <t>Shih, HA (corresponding author), Natl Cheng Kung Univ, Coll Management, Inst Int Business, Tainan 70101, Taiwan.</t>
  </si>
  <si>
    <t>plenthing@yahoo.com</t>
  </si>
  <si>
    <t>Susanto, Ely/O-2902-2019</t>
  </si>
  <si>
    <t>Susanto, Ely/0000-0003-0617-9681</t>
  </si>
  <si>
    <t>10.1108/10444061111126666</t>
  </si>
  <si>
    <t>WOS:000290592900002</t>
  </si>
  <si>
    <t>Jin, X; Smith, K; Chen, RY; Ding, GW; Yao, Y; Wang, HB; Qian, HZ; Chang, DF; Wang, GX; Wang, N</t>
  </si>
  <si>
    <t>Jin, Xia; Smith, Kumi; Chen, Ray Y.; Ding, Guowei; Yao, Yan; Wang, Haibo; Qian, Han-Zhu; Chang, Dongfang; Wang, Guixiang; Wang, Ning</t>
  </si>
  <si>
    <t>HIV Prevalence and Risk Behaviors Among Male Clients of Female Sex Workers in Yunnan, China</t>
  </si>
  <si>
    <t>JAIDS-JOURNAL OF ACQUIRED IMMUNE DEFICIENCY SYNDROMES</t>
  </si>
  <si>
    <t>China; clients of female sex workers; commercial sex; condom use; HIV</t>
  </si>
  <si>
    <t>INFECTION; TRANSMISSION; PREDICTORS; PROVINCE</t>
  </si>
  <si>
    <t>Objectives: To assess the prevalence and risk factors of HIV among male clients of female sex workers (FSWs) in China. Methods: Convenience sampling methods were used to recruit 315 clients using FSW-client and client-client networks. Subjects provided information on sociodemographic characteristics and sexual and drug behavior patterns. Blood samples were collected for HIV testing and Urine samples for opiate testing. Results: Overall HIV prevalence was 6.0%; among drug users, it was 30.8%. 33.7% of respondents reported that they always use condoms in commercial sex and 63.5% that they used a condom in the last commercial sex episode. Drug use (OR: 6.1; 95% CI: 1.7 to 21.4) and lack of a regular sexual partner (OR: 6.3; 95% CI: 1.8 to 21.9) were significantly associated with HIV infection, Conclusions: Clients of FSWs serve as potential bridges for HIV transmission from the high-risk FSWs to the low-risk general population, making them a key target for intervention. High HIV prevalence rates among clients in Kaiyuan is particularly alarming given their risk behavior patterns including high rates of partner exchange, low condom use rates, and drug-using behaviors. Innovative interventions are needed to reduce the risk of HIV among clients and reduce the bridge of transmission to the general population.</t>
  </si>
  <si>
    <t>[Jin, Xia; Smith, Kumi; Ding, Guowei; Wang, Haibo; Wang, Ning] Chinese Ctr Dis Control &amp; Prevent, Natl Ctr AIDS Sexually Transmitted Dis Control &amp;, Dept Epidemiol, Beijing 100050, Peoples R China; [Chen, Ray Y.] US Embassy, Off Global Res, NIAID, US Natl Inst Hlth, Beijing, Peoples R China; [Yao, Yan] Jilin Univ, Dept Epidemiol &amp; Med Stat, Sch Publ Hlth, Changchun 130023, Jilin Province, Peoples R China; [Qian, Han-Zhu] Vanderbilt Univ, Dept Med, Inst Global Hlth, Nashville, TN USA; [Chang, Dongfang; Wang, Guixiang] Kaiyuan City Ctr Dis Control &amp; Prevent, Kaiyuan, Yunnan Province, Peoples R China</t>
  </si>
  <si>
    <t>Chinese Center for Disease Control &amp; Prevention; National Institutes of Health (NIH) - USA; NIH National Institute of Allergy &amp; Infectious Diseases (NIAID); Jilin University; Vanderbilt University</t>
  </si>
  <si>
    <t>Wang, N (corresponding author), Chinese Ctr Dis Control &amp; Prevent, Natl Ctr AIDS Sexually Transmitted Dis Control &amp;, Dept Epidemiol, 27 Nanwei Rd, Beijing 100050, Peoples R China.</t>
  </si>
  <si>
    <t>wangnbj@163.com</t>
  </si>
  <si>
    <t>Chen, Ray/T-5102-2019; Chen, Ray/GRJ-6736-2022</t>
  </si>
  <si>
    <t>Smith, M. Kumi/0000-0001-5861-8100; Chen, Ray/0000-0001-6344-1442</t>
  </si>
  <si>
    <t>US National Institutes of Health/National Institute of Allergy and Infectious Diseases [U19 AI51915]</t>
  </si>
  <si>
    <t>US National Institutes of Health/National Institute of Allergy and Infectious Diseases(United States Department of Health &amp; Human ServicesNational Institutes of Health (NIH) - USANIH National Institute of Allergy &amp; Infectious Diseases (NIAID))</t>
  </si>
  <si>
    <t>The China Integrated Program for Research on AIDS was funded by US National Institutes of Health/National Institute of Allergy and Infectious Diseases (U19 AI51915).</t>
  </si>
  <si>
    <t>1525-4135</t>
  </si>
  <si>
    <t>1077-9450</t>
  </si>
  <si>
    <t>JAIDS-J ACQ IMM DEF</t>
  </si>
  <si>
    <t>JAIDS</t>
  </si>
  <si>
    <t>JAN 1</t>
  </si>
  <si>
    <t>10.1097/QAI.0b013e3181b3552a</t>
  </si>
  <si>
    <t>Immunology; Infectious Diseases</t>
  </si>
  <si>
    <t>538KG</t>
  </si>
  <si>
    <t>Green Accepted, Bronze</t>
  </si>
  <si>
    <t>WOS:000273182400020</t>
  </si>
  <si>
    <t>Pampel, FC</t>
  </si>
  <si>
    <t>Inequality, diffusion, and the status gradient in smoking</t>
  </si>
  <si>
    <t>SOCIAL PROBLEMS</t>
  </si>
  <si>
    <t>INCOME INEQUALITY; UNITED-STATES; CIGARETTE-SMOKING; EDUCATIONAL-DIFFERENCES; SOCIOECONOMIC-STATUS; MORTALITY; HEALTH; GENDER</t>
  </si>
  <si>
    <t>This study investigates the inverse relationship between status and cigarette smoking by comparing the varied strength of the relationship across nations, and identifying the contextual sources of the variation. In so doing, it evaluates two explanations. One emphasizes the importance of relative deprivation, arguing that the inverse status gradient in smoking emerges strongest with high societal inequality. Another emphasizes the importance of status-based differences in the adoption of innovative behaviors, arguing that the inverse status gradient emerges strongest in the later stages of cigarette diffusion. The analyses test these hypotheses using multilevel data from 15 European nations in 1995, measures of education, occupation, and income at the individual level, and measures of societal inequality and cigarette diffusion at the aggregate level. In supporting the diffusion rather than the societal inequality explanation, the results suggest the need to attend to cultural sources of innovation, fashion, and distinction in understanding status-based patterns of smoking.</t>
  </si>
  <si>
    <t>Univ Colorado, Populat Program, Boulder, CO 80309 USA</t>
  </si>
  <si>
    <t>University of Colorado System; University of Colorado Boulder</t>
  </si>
  <si>
    <t>Pampel, FC (corresponding author), Univ Colorado, Populat Program, Boulder, CO 80309 USA.</t>
  </si>
  <si>
    <t>fred.pampel@colorado.edu</t>
  </si>
  <si>
    <t>0037-7791</t>
  </si>
  <si>
    <t>1533-8533</t>
  </si>
  <si>
    <t>SOC PROBL</t>
  </si>
  <si>
    <t>Soc. Probl.</t>
  </si>
  <si>
    <t>10.1525/sp.2002.49.1.35</t>
  </si>
  <si>
    <t>Sociology</t>
  </si>
  <si>
    <t>537HJ</t>
  </si>
  <si>
    <t>WOS:000174752600003</t>
  </si>
  <si>
    <t>Li, H; Sajjad, N; Wang, Q; Ali, AM; Khaqan, Z; Amina, S</t>
  </si>
  <si>
    <t>Li, Hui; Sajjad, Nazir; Wang, Qun; Ali, Asadullah Muhammad; Khaqan, Zeb; Amina, Shafi</t>
  </si>
  <si>
    <t>Influence of Transformational Leadership on Employees' Innovative Work Behavior in Sustainable Organizations: Test of Mediation and Moderation Processes</t>
  </si>
  <si>
    <t>transformational leadership; trust in leader; empowerment; work engagement; innovative work behavior</t>
  </si>
  <si>
    <t>SOCIAL-EXCHANGE THEORY; MEMBER EXCHANGE; JOB RESOURCES; CHARISMATIC LEADERSHIP; CONTEXTUAL FACTORS; SELF-EFFICACY; TRUST; PERFORMANCE; ENGAGEMENT; CITIZENSHIP</t>
  </si>
  <si>
    <t>The main objective of this research was to examine how transformational leaders boost their followers' innovative work behavior through trust in a leader, empowerment, and work engagement. Data were collected from 281 multinational organization employees in China. The Statistical Package for the Social Sciences (SPSS) macro process was utilized to test the proposed hypothesis. The findings revealed that transformational leadership and work engagement were significantly related to innovative work behavior. The findings also demonstrated the significant impact of transformational leadership on trust in a leader, and its subsequent positive impact on the work engagement of the employees. Furthermore, the results supported a significant serial mediation between transformational leadership, trust, work engagement, and employees' innovative behavior. The results also showed a significant moderating effect of empowerment on transformational leadership and innovative work behavior. For boosting employees' innovative work behavior, leaders in the organization should strive to engage them effectively in their work by gaining their trust, which could help them participate in creative activities. This is the key study to investigate the different perspectives of how transformational leadership can stimulate followers' innovative behavior through trust in the leader and work engagement within the Chinese organizational context.</t>
  </si>
  <si>
    <t>[Li, Hui; Sajjad, Nazir; Wang, Qun; Amina, Shafi] Hohai Univ, Sch Business, Dept Management &amp; HR, Nanjing 211100, Jiangsu, Peoples R China; [Li, Hui; Wang, Qun] Jiangsu Prov Collaborat Ctr World Water Valley &amp;, Nanjing 211100, Jiangsu, Peoples R China; [Ali, Asadullah Muhammad] Emirates Coll Technol, Dept Human Resource Management, Abu Dhabi 41009, U Arab Emirates; [Ali, Asadullah Muhammad] Univ Lahore, LBS, Lahore 53700, Pakistan; [Khaqan, Zeb] Ghulam Ishaq Khan Inst Engn Sci &amp; Technol, Dept Management Sci, Topi Swabi 23640, Kpk, Pakistan</t>
  </si>
  <si>
    <t>Hohai University; University of Lahore; GIK Institute Engineering Science &amp; Technology</t>
  </si>
  <si>
    <t>Sajjad, N (corresponding author), Hohai Univ, Sch Business, Dept Management &amp; HR, Nanjing 211100, Jiangsu, Peoples R China.</t>
  </si>
  <si>
    <t>lhui@hhu.edu.cn; sajjadnazir@hotmail.com; wqun@hhu.edu.cn; iae.hec@gmail.com; zkhaqan@gmail.com; aminasajjad@hotmail.co.uk</t>
  </si>
  <si>
    <t>ASADULLAH, Muhammad Ali/I-8007-2015; Nazir, Sajjad/Z-4189-2019</t>
  </si>
  <si>
    <t>ASADULLAH, Muhammad Ali/0000-0002-5977-1809; Nazir, Sajjad/0000-0002-6602-0886</t>
  </si>
  <si>
    <t>National Social Science Fund of China [No-18BGL129]; Scientific Research Fund for Universities by Chinese Ministry of Education [2018B30214, 2018B47914]</t>
  </si>
  <si>
    <t>National Social Science Fund of China; Scientific Research Fund for Universities by Chinese Ministry of Education(Ministry of Education, China)</t>
  </si>
  <si>
    <t>This research was funded by National Social Science Fund of China, grant number: No-18BGL129 and Scientific Research Fund for Universities by Chinese Ministry of Education, grant number: (2018B30214 &amp; 2018B47914); (2018B30214 &amp; 2018B47914).</t>
  </si>
  <si>
    <t>MAR 2</t>
  </si>
  <si>
    <t>10.3390/su11061594</t>
  </si>
  <si>
    <t>HU9KJ</t>
  </si>
  <si>
    <t>Green Submitted, gold</t>
  </si>
  <si>
    <t>WOS:000465613000089</t>
  </si>
  <si>
    <t>Bos-Nehles, A; Bondarouk, T; Nijenhuis, K</t>
  </si>
  <si>
    <t>Bos-Nehles, Anna; Bondarouk, Tanya; Nijenhuis, Koen</t>
  </si>
  <si>
    <t>Innovative work behaviour in knowledge-intensive public sector organizations: the case of supervisors in the Netherlands fire services</t>
  </si>
  <si>
    <t>Innovative work behaviour; knowledge-intensive public sector organizations; the role of supervisors; public leadership</t>
  </si>
  <si>
    <t>PERFORMANCE; MANAGEMENT</t>
  </si>
  <si>
    <t>Studying innovative employee behaviours within knowledge-intensive public sector organizations (KIPSOs) might seem an odd thing to do given the lack of competitive pressures, the limited identification of the costs and benefits of innovative ideas and the lack of opportunities to incentivize employees financially. Nevertheless, KIPSOs require innovations to ensure long-term survival. To help achieve this goal, this paper explores the role of supervisors in supporting innovative work behaviour (IWB) by considering the unique challenges of KIPSOs and the conditions and characteristics of IWB in this context. Based on our rich qualitative data of a single case study in the Netherlands Fire Services, we demonstrate the ability of public-sector supervisors to engage employees in innovative behaviours. On the downside, implementation failures and a lack of radical innovation projects seem to be the result of loosely coupled bottom-up and top-down innovation projects and decentralization in the KIPSO which requires situational leadership that emphasizes networking activities and lobbying with public managers.</t>
  </si>
  <si>
    <t>[Bos-Nehles, Anna; Bondarouk, Tanya; Nijenhuis, Koen] Univ Twente, Sch Behav Management &amp; Social Sci, Enschede, Netherlands</t>
  </si>
  <si>
    <t>Bos-Nehles, A (corresponding author), Univ Twente, Sch Behav Management &amp; Social Sci, Enschede, Netherlands.</t>
  </si>
  <si>
    <t>10.1080/09585192.2016.1244894</t>
  </si>
  <si>
    <t>WOS:000395088200007</t>
  </si>
  <si>
    <t>Kraus, S</t>
  </si>
  <si>
    <t>Kraus, Sascha</t>
  </si>
  <si>
    <t>The role of entrepreneurial orientation in service firms: empirical evidence from Austria</t>
  </si>
  <si>
    <t>SERVICE INDUSTRIES JOURNAL</t>
  </si>
  <si>
    <t>entrepreneurial orientation; innovative behavior; performance</t>
  </si>
  <si>
    <t>CORPORATE ENTREPRENEURSHIP; MODERATING ROLE; BUSINESS PERFORMANCE; MARKET ORIENTATION; VALUE CREATION; PAST RESEARCH; INNOVATION; MANAGEMENT; STRATEGY; ORGANIZATIONS</t>
  </si>
  <si>
    <t>Entrepreneurial behaviour is becoming increasingly important for all firms, regardless of size, age, or industry sector. It is increasingly seen as one of the most important drivers for economic growth and corporate success. Nevertheless, no empirical research has so far concentrated on the role of entrepreneurial behaviour in service firms, although the service sector has become the most important (and the only growing) industry sector. This article therefore investigates the relationship between entrepreneurial orientation (EO) and corporate performance on the basis of an empirical survey of 310 service firms in Austria. Here, a significant positive relationship between EO and corporate performance could be identified, with a clear emphasis on innovative behaviour as the most important sub-dimension.</t>
  </si>
  <si>
    <t>[Kraus, Sascha] Utrecht Univ Sch Econ USE, NL-3508 TC Utrecht, Netherlands; [Kraus, Sascha] Univ Liechtenstein, FL-9490 Vaduz, Liechtenstein</t>
  </si>
  <si>
    <t>Utrecht University; University of Liechtenstein</t>
  </si>
  <si>
    <t>Kraus, S (corresponding author), Utrecht Univ Sch Econ USE, POB 80125, NL-3508 TC Utrecht, Netherlands.</t>
  </si>
  <si>
    <t>s.kraus@uu.nl</t>
  </si>
  <si>
    <t>Kraus, Sascha/0000-0003-4886-7482</t>
  </si>
  <si>
    <t>0264-2069</t>
  </si>
  <si>
    <t>1743-9507</t>
  </si>
  <si>
    <t>SERV IND J</t>
  </si>
  <si>
    <t>Serv. Ind. J.</t>
  </si>
  <si>
    <t>APR 1</t>
  </si>
  <si>
    <t>10.1080/02642069.2011.622373</t>
  </si>
  <si>
    <t>128EE</t>
  </si>
  <si>
    <t>WOS:000317751100001</t>
  </si>
  <si>
    <t>Li, CH; Wu, JJ</t>
  </si>
  <si>
    <t>Li, Cheng-Hsien; Wu, Jing-Jyi</t>
  </si>
  <si>
    <t>The Structural Relationships Between Optimism and Innovative Behavior: Understanding Potential Antecedents and Mediating Effects</t>
  </si>
  <si>
    <t>CREATIVE SELF-EFFICACY; UNREALISTIC OPTIMISM; EMPLOYEE CREATIVITY; ACADEMIC RESILIENCE; SECONDARY STUDENTS; POSITIVE EMOTIONS; CROSS-VALIDATION; HEALTH; ANXIETY; WORK</t>
  </si>
  <si>
    <t>Research on creative education in Taiwan is at a turning point after entering a new millennium. Developing positive attitudes and creative thinking has become increasingly essential for boosting college students' competitiveness in this fast-paced and changing world. There is a current need to extend knowledge on the association between optimistic attitudes and innovative behaviors. This study explored structural relationships between college students' optimism, creative self-efficacy, and innovative behavior in terms of hypothesized antecedents of optimism (cognitive reappraisal, promotion, and prevention) and the mediating role of creative self-efficacy via a structural equation modeling framework. The 970 participants were undergraduate students from public and private universities in Taiwan. Results indicated that (a) confirmatory factor analyses supported the evidence of construct-related validity of instruments administered in the study; (b) cognitive reappraisal and promotion had positive effects on optimism, but prevention had a negative effect; and (c) creative self-efficacy significantly and partially mediated the relationship between optimism and innovative behavior.</t>
  </si>
  <si>
    <t>[Li, Cheng-Hsien] Michigan State Univ, Dept Counseling Educ Psychol &amp; Special Educ, Coll Educ, E Lansing, MI 48824 USA; [Wu, Jing-Jyi] Natl Chengchi Univ, Taipei, Taiwan</t>
  </si>
  <si>
    <t>Michigan State University; National Chengchi University</t>
  </si>
  <si>
    <t>Li, CH (corresponding author), Michigan State Univ, Dept Counseling Educ Psychol &amp; Special Educ, Coll Educ, E Lansing, MI 48824 USA.</t>
  </si>
  <si>
    <t>lichengh@msu.edu</t>
  </si>
  <si>
    <t>PII 937429998</t>
  </si>
  <si>
    <t>10.1080/10400419.2011.571184</t>
  </si>
  <si>
    <t>761KU</t>
  </si>
  <si>
    <t>WOS:000290397500005</t>
  </si>
  <si>
    <t>Su, WL; Lyu, B; Chen, H; Zhang, YZ</t>
  </si>
  <si>
    <t>Su, Weilin; Lyu, Bei; Chen, Hui; Zhang, Yanzi</t>
  </si>
  <si>
    <t>How does servant leadership influence employees' service innovative behavior? The roles of intrinsic motivation and identification with the leader</t>
  </si>
  <si>
    <t>BALTIC JOURNAL OF MANAGEMENT</t>
  </si>
  <si>
    <t>Servant leadership; Intrinsic motivation; Identification with the leader; Service innovative behavior</t>
  </si>
  <si>
    <t>LINKING EMPOWERING LEADERSHIP; TRANSFORMATIONAL LEADERSHIP; SELF-DETERMINATION; ETHICAL LEADERSHIP; CREATIVITY; MODEL; RECOMMENDATIONS; PERFORMANCE; MODERATOR; IDENTITY</t>
  </si>
  <si>
    <t>Purpose With the rapid development of the service industry, service innovation has gradually become a hot topic in business today. How to further improve employees' service innovative behaviors has become critical to organizations' survival and success. Servant leadership, as a leadership style characterized by serving others, is closely related to employees' service innovative behaviors. Therefore, the purpose of this study is to develop a theoretical framework to examine the influence of servant leadership on employees' service innovative behavior, the mediating role of intrinsic motivation and the moderating role of identification with the leader. Design/methodology/approach To test the theoretical model, a multi-time survey method was used to collect data from 381employees from a large high-tech company in Mainland China. Findings The results confirm that servant leadership can promote employees' service innovative behavior and intrinsic motivation. Meanwhile, employees' intrinsic motivation partly mediates the influence of servant leadership on their service innovative behavior. Moreover, this mediating relationship is conditional on the moderating role of individual identification with the leader in the path from servant leadership to individual intrinsic motivation. Research limitations/implications The key limitation of this study lies in the representativeness of sample data, which is the convenience of non-probability sampling and self-reported data only from a large high-tech company in China. Practical implications This study not only further verified a promotion factor of individual service innovative behavior from the perspective of leader influence, but also enriched the understanding of the positive influence of servant leadership on employees. Originality/value This study is the first to examine the relationships among servant leadership, employees' intrinsic motivation, identification with the leader and service innovative behavior. The results may help to open the black box of the relationship between servant leadership and employees' service innovative behavior by introducing their intrinsic motivation. The conclusions also indicate employees' identification with the leader is an important boundary condition among their relationships. Particularly, it not only moderates the relationship between servant leadership and intrinsic motivation, but also moderates the mediating role of intrinsic motivation.</t>
  </si>
  <si>
    <t>[Su, Weilin] Capital Normal Univ, Sch Literature, Beijing, Peoples R China; [Lyu, Bei] Huaibei Normal Univ, Huaibei, Peoples R China; [Lyu, Bei; Chen, Hui] Panyapiwat Inst Management, Nonthaburi, Thailand; [Lyu, Bei] Univ Leeds, Business Sch, Leeds, W Yorkshire, England; [Zhang, Yanzi] China Jiliang Univ, Foreign Language &amp; Humanity Coll, Hangzhou, Peoples R China</t>
  </si>
  <si>
    <t>Capital Normal University; Huaibei Normal University; N8 Research Partnership; RLUK- Research Libraries UK; White Rose University Consortium; University of Leeds; China Jiliang University</t>
  </si>
  <si>
    <t>Lyu, B (corresponding author), Huaibei Normal Univ, Huaibei, Peoples R China.;Lyu, B (corresponding author), Panyapiwat Inst Management, Nonthaburi, Thailand.;Lyu, B (corresponding author), Univ Leeds, Business Sch, Leeds, W Yorkshire, England.</t>
  </si>
  <si>
    <t>peter1983123@hotmail.com</t>
  </si>
  <si>
    <t>Silva, Gleibson/AAA-8482-2021; Su, Weilin/ADB-1887-2022; Lyu, Bei/AAE-1496-2020</t>
  </si>
  <si>
    <t>Silva, Gleibson/0000-0003-0945-2567; Lyu, Bei/0000-0001-7023-6009; Su, Weilin/0000-0001-6582-1481</t>
  </si>
  <si>
    <t>National Philosophy and Social Science Foundation of China [15BTQ048]</t>
  </si>
  <si>
    <t>National Philosophy and Social Science Foundation of China</t>
  </si>
  <si>
    <t>This research was supported by the National Philosophy and Social Science Foundation of China (Grant No.15BTQ048).</t>
  </si>
  <si>
    <t>1746-5265</t>
  </si>
  <si>
    <t>1746-5273</t>
  </si>
  <si>
    <t>BALT J MANAG</t>
  </si>
  <si>
    <t>Balt. J. Manag.</t>
  </si>
  <si>
    <t>AUG 10</t>
  </si>
  <si>
    <t>10.1108/BJM-09-2019-0335</t>
  </si>
  <si>
    <t>MP1PG</t>
  </si>
  <si>
    <t>WOS:000536513500001</t>
  </si>
  <si>
    <t>Dedahanov, AT; Rhee, C; Yoon, J</t>
  </si>
  <si>
    <t>Dedahanov, Alisher Tohirovich; Rhee, Changjoon; Yoon, Junghyun</t>
  </si>
  <si>
    <t>Organizational structure and innovation performance Is employee innovative behavior a missing link?</t>
  </si>
  <si>
    <t>CAREER DEVELOPMENT INTERNATIONAL</t>
  </si>
  <si>
    <t>Integration; Innovative behaviour; Innovation performance; Formalization; Centralization</t>
  </si>
  <si>
    <t>RESEARCH-AND-DEVELOPMENT; PRODUCT DEVELOPMENT; INDIVIDUAL INNOVATION; CONTEXTUAL FACTORS; GOAL ORIENTATIONS; KNOWLEDGE; CREATIVITY; ANTECEDENTS; DETERMINANTS; FORMALIZATION</t>
  </si>
  <si>
    <t>Purpose - The purpose of this paper is to investigate the mediating role of innovative behavior on the relationships between organizational structure, such as centralization, formalization, integration, and organizational innovation performance. Design/methodology/approach - The authors collected data from 140 functional managers of manufacturing organizations in the Republic of Korea. The authors used structural equation modeling procedure to evaluate the validity of proposed hypotheses. Findings - The results suggest that innovative behavior mediates the links among centralization, formalization, and organizational innovation performance. However, the findings indicate that innovative behavior does not mediate the relationship between integration and organizational innovation performance. Originality/value - This work is the first to examine the mediating role of innovative behavior on the associations among centralization, integration, and organizational innovation performance.</t>
  </si>
  <si>
    <t>[Dedahanov, Alisher Tohirovich] Yeungnam Univ, Sch Business, Gyongsan, South Korea; [Yoon, Junghyun] Dongguk Univ, Coll Management, Gyeongju Campus, Gyeongju, South Korea</t>
  </si>
  <si>
    <t>Yeungnam University; Dongguk University</t>
  </si>
  <si>
    <t>Yoon, J (corresponding author), Dongguk Univ, Coll Management, Gyeongju Campus, Gyeongju, South Korea.</t>
  </si>
  <si>
    <t>jyoon071121@naver.com</t>
  </si>
  <si>
    <t>Dedahanov, Alisher/U-8017-2017</t>
  </si>
  <si>
    <t>Dedahanov, Alisher/0000-0002-2791-6946</t>
  </si>
  <si>
    <t>Business for University Entrepreneurship Center; Korea Small and Medium Business Administration</t>
  </si>
  <si>
    <t>This work was supported by the Business for University Entrepreneurship Center, funded by the Korea Small and Medium Business Administration in 2016.</t>
  </si>
  <si>
    <t>1362-0436</t>
  </si>
  <si>
    <t>1758-6003</t>
  </si>
  <si>
    <t>CAREER DEV INT</t>
  </si>
  <si>
    <t>Career Dev. Int.</t>
  </si>
  <si>
    <t>10.1108/CDI-12-2016-0234</t>
  </si>
  <si>
    <t>FE5KE</t>
  </si>
  <si>
    <t>WOS:000408249600001</t>
  </si>
  <si>
    <t>Heidenreich, S; Kraemer, T</t>
  </si>
  <si>
    <t>Heidenreich, Sven; Kraemer, Tobias</t>
  </si>
  <si>
    <t>Passive innovation resistance: The curse of innovation? Investigating consequences for innovative consumer behavior</t>
  </si>
  <si>
    <t>JOURNAL OF ECONOMIC PSYCHOLOGY</t>
  </si>
  <si>
    <t>Passive innovation resistance; Actualized innovativeness; Hedonist innovativeness; Social innovativeness</t>
  </si>
  <si>
    <t>STRUCTURAL EQUATION MODELS; OPTIMUM STIMULATION LEVEL; VARIETY-SEEKING; INTERNET BANKING; PRODUCT; ADOPTION; ATTRIBUTES; SERVICE; PLS; INFORMATION</t>
  </si>
  <si>
    <t>Empirical research reveals that many new products fail as a result of consumers' passive resistance to innovation. Moreover, extant research suggests that high levels of stimulation induced by radical innovations even enhance negative effects of passive innovation resistance. However, empirical evidence for these propositions is still rare. Consequently, this study strives to enhance the current understanding (1) by investigating the inhibitory role of passive innovation resistance for different kinds of innovative consumer behaviors and (2) by examining the moderating role of perceived stimulation for effects of passive innovation resistance. Based on a large-scale empirical study (n = 681), we provide first empirical evidence that passive innovation resistance inhibits both consumers' tendencies to engage in innovative behavior and actual new product adoption. Furthermore, the results confirm that perceived stimulation increases the negative effects of passive innovation resistance. Our findings contribute to the ongoing discussion on a possible pro-change bias in adoption literature and to the current understanding on how to develop and market innovations to reach market success. (C) 2015 Elsevier B.V. All rights reserved.</t>
  </si>
  <si>
    <t>[Heidenreich, Sven] Univ Saarland, Fac Law &amp; Econ, D-66041 Saarbrucken, Germany; [Kraemer, Tobias] Univ Koblenz Landau, Inst Management, D-56070 Koblenz, Germany</t>
  </si>
  <si>
    <t>Saarland University; University of Koblenz &amp; Landau</t>
  </si>
  <si>
    <t>Heidenreich, S (corresponding author), Univ Saarland, Fac Law &amp; Econ, PO 15 11 50, D-66041 Saarbrucken, Germany.</t>
  </si>
  <si>
    <t>sven.heidenreich@uni-saarland.de</t>
  </si>
  <si>
    <t>Kraemer, Tobias/M-1375-2019</t>
  </si>
  <si>
    <t>0167-4870</t>
  </si>
  <si>
    <t>1872-7719</t>
  </si>
  <si>
    <t>J ECON PSYCHOL</t>
  </si>
  <si>
    <t>J. Econ. Psychol.</t>
  </si>
  <si>
    <t>10.1016/j.joep.2015.09.003</t>
  </si>
  <si>
    <t>Economics; Psychology, Multidisciplinary</t>
  </si>
  <si>
    <t>CY9ZZ</t>
  </si>
  <si>
    <t>WOS:000366766200010</t>
  </si>
  <si>
    <t>Luu, TT</t>
  </si>
  <si>
    <t>Trong Tuan Luu</t>
  </si>
  <si>
    <t>Can diversity climate shape service innovative behavior in Vietnamese and Brazilian tour companies? The role of work passion</t>
  </si>
  <si>
    <t>Diversity climate; Service innovative behavior; Work passion; Group diversity</t>
  </si>
  <si>
    <t>HUMAN-RESOURCE MANAGEMENT; PERCEIVED ORGANIZATIONAL SUPPORT; DEEP-LEVEL DIVERSITY; MEDIATING ROLE; EMPLOYEE CREATIVITY; JOB-PERFORMANCE; SURFACE-LEVEL; METHOD BIAS; ENGAGEMENT; INCLUSION</t>
  </si>
  <si>
    <t>Feeling fairly treated and valued irrespective of their diverse backgrounds, employees may develop their passion for their work and engage in service innovation. This study seeks to understand how diversity climate can make variance in service innovative behavior among employees in the tourism industry. Utilizing the data from managers and their employees from tour companies across two countries (Vietnam and Brazil), this research provided crossnational evidence for the positive nexus between diversity climate and employees' service innovative behavior. Two types of work passion, harmonious passion and obsessive passion, were found to mediate such a relationship. Furthermore, group diversity in terms of openness to experience demonstrated interactive effects with diversity climate to further foster service innovative behavior among employees in both samples whereas the interactive effects of expertise diversity and diversity climate was found only in the Brazilian sample.</t>
  </si>
  <si>
    <t>[Trong Tuan Luu] Swinburne Univ Technol, Swinburne Business Sch, Hawthorn, Vic, Australia</t>
  </si>
  <si>
    <t>Swinburne University of Technology</t>
  </si>
  <si>
    <t>Luu, TT (corresponding author), Swinburne Univ Technol, Swinburne Business Sch, Hawthorn, Vic, Australia.</t>
  </si>
  <si>
    <t>luutrongtuan@gmail.com</t>
  </si>
  <si>
    <t>10.1016/j.tourman.2018.12.011</t>
  </si>
  <si>
    <t>HL4RA</t>
  </si>
  <si>
    <t>WOS:000458709600032</t>
  </si>
  <si>
    <t>Aljawarneh, NMS; Atan, T</t>
  </si>
  <si>
    <t>Aljawarneh, Nader Mohammad Saleh; Atan, Tarik</t>
  </si>
  <si>
    <t>Linking Tolerance to Workplace Incivility, Service Innovative, Knowledge Hiding, and Job Search Behavior: The Mediating Role of Employee Cynicism</t>
  </si>
  <si>
    <t>NEGOTIATION AND CONFLICT MANAGEMENT RESEARCH</t>
  </si>
  <si>
    <t>tolerance to workplace incivility; employee cynicism; service innovative behavior; knowledge hiding behavior; job search behavior</t>
  </si>
  <si>
    <t>ORGANIZATIONAL CYNICISM; NEURAL-NETWORK; PSYCHOLOGICAL OWNERSHIP; EMOTIONAL EXHAUSTION; ABUSIVE SUPERVISION; CONTRACT VIOLATION; MODERATING ROLES; SOCIAL-INFLUENCE; TOP MANAGEMENT; WORK BEHAVIOR</t>
  </si>
  <si>
    <t>Although incivility has been identified as an important issue in workplaces, little research has focused on tolerance to workplace incivility. Drawing on conservation of resources and psychological ownership theory, this article investigates the mediating role of employee cynicism on the relationship between tolerance to workplace incivility and outcome variables (i.e., service innovative behavior, knowledge hiding behavior, and job search behavior) in the hospitality industry. Structural equation modeling and artificial neural network were applied on survey data obtained from five-star hotels in Jordan. Building on the proposed theories, we show that employee cynicism mediates the link between tolerance to workplace incivility and knowledge hiding behavior, and job search behavior. Implications for theory and practice are discussed.</t>
  </si>
  <si>
    <t>[Aljawarneh, Nader Mohammad Saleh; Atan, Tarik] Cyprus Int Univ, Fac Econ &amp; Adm Sci, Dept Business Adm, Nicosia, Cyprus</t>
  </si>
  <si>
    <t>Cyprus International University</t>
  </si>
  <si>
    <t>Aljawarneh, NMS (corresponding author), Cyprus Int Univ, Fac Econ &amp; Adm Sci, Dept Business Adm, Nicosia, Cyprus.</t>
  </si>
  <si>
    <t>aljawarneh@mail.com</t>
  </si>
  <si>
    <t>Aljawarneh, Nader Mohammad/AAH-7164-2019; ATAN, TARIK/AAG-3028-2021</t>
  </si>
  <si>
    <t xml:space="preserve">Aljawarneh, Nader Mohammad/0000-0001-5707-8253; </t>
  </si>
  <si>
    <t>1750-4708</t>
  </si>
  <si>
    <t>1750-4716</t>
  </si>
  <si>
    <t>NEGOT CONFL MANAG R</t>
  </si>
  <si>
    <t>Negot. Confl. Manag. Res.</t>
  </si>
  <si>
    <t>10.1111/ncmr.12136</t>
  </si>
  <si>
    <t>GW5RM</t>
  </si>
  <si>
    <t>WOS:000446994400003</t>
  </si>
  <si>
    <t>Gumusluoglu, L; Karakitapoglu-Aygun, Z; Scandura, TA</t>
  </si>
  <si>
    <t>Gumusluoglu, Lale; Karakitapoglu-Aygun, Zahide; Scandura, Terri A.</t>
  </si>
  <si>
    <t>A Multilevel Examination of Benevolent Leadership and Innovative Behavior in R&amp;D Contexts: A Social Identity Approach</t>
  </si>
  <si>
    <t>JOURNAL OF LEADERSHIP &amp; ORGANIZATIONAL STUDIES</t>
  </si>
  <si>
    <t>benevolent leadership; team identification; department identification; team innovative behavior; cross-team innovative behavior; social identity theory</t>
  </si>
  <si>
    <t>HUMAN-RESOURCE MANAGEMENT; TRANSFORMATIONAL LEADERSHIP; PATERNALISTIC LEADERSHIP; ORGANIZATIONAL IDENTITY; MEDIATING ROLE; WORK; CREATIVITY; BOUNDARY; PERSPECTIVE; PERFORMANCE</t>
  </si>
  <si>
    <t>Studies of innovation have emphasized the importance of leadership for individual or team innovative behaviors, but have largely ignored cross-team innovative behaviors. Enhancing innovative behaviors across teams is particularly vital for organizations relying on large-scale, complex, and multiteam projects to compete in a dynamic environment. We extend the innovation literature by introducing benevolent leadership as an antecedent to innovative behavior within and across teams. We examine identification to the team and department as mediators based on social identity theory in a sample of 397 R&amp;D employees (consisting of 68 teams). First, individuals reported that benevolent R&amp;D leaders facilitate innovative behavior within their teams when employees are highly identified with these teams. Second, on average, teams reported that benevolent R&amp;D leaders enhance their teams' innovative behavior across the boundaries when these teams are highly identified with the R&amp;D department. Finally, in contrast to social identity theory's expectations, individuals reported that benevolent R&amp;D leaders facilitate their innovative behaviors with other teams when employees are highly identified with their teams. The theoretical and practical implications of our findings along with suggestions for future research are discussed.</t>
  </si>
  <si>
    <t>[Gumusluoglu, Lale; Karakitapoglu-Aygun, Zahide] Bilkent Univ, Fac Business Adm, TR-06800 Ankara, Turkey; [Scandura, Terri A.] Univ Miami, Management, Sch Business Adm, Miami, FL USA</t>
  </si>
  <si>
    <t>Ihsan Dogramaci Bilkent University; University of Miami</t>
  </si>
  <si>
    <t>Gumusluoglu, L (corresponding author), Bilkent Univ, Fac Business Adm, TR-06800 Ankara, Turkey.</t>
  </si>
  <si>
    <t>tomruk@bilkent.edu.tr</t>
  </si>
  <si>
    <t>Scandura, Terri A/AGS-4829-2022; Karakitapoglu Aygun, Zahide Karakitapoglu/AAX-1455-2021</t>
  </si>
  <si>
    <t>Scandura, Terri/0000-0002-7667-3186</t>
  </si>
  <si>
    <t>Scientific and Technological Research Council of Turkey (TUBITAK) [107K439]</t>
  </si>
  <si>
    <t>Scientific and Technological Research Council of Turkey (TUBITAK)(Turkiye Bilimsel ve Teknolojik Arastirma Kurumu (TUBITAK))</t>
  </si>
  <si>
    <t>The author(s) disclosed receipt of the following financial support for the research, authorship, and/or publication of this article: This work was supported by The Scientific and Technological Research Council of Turkey (TUBITAK). Grant number: 107K439.</t>
  </si>
  <si>
    <t>1548-0518</t>
  </si>
  <si>
    <t>1939-7089</t>
  </si>
  <si>
    <t>J LEADERSH ORG STUD</t>
  </si>
  <si>
    <t>J. Leadersh. Organ. Stud.</t>
  </si>
  <si>
    <t>10.1177/1548051817705810</t>
  </si>
  <si>
    <t>FI9LB</t>
  </si>
  <si>
    <t>WOS:000412327900004</t>
  </si>
  <si>
    <t>Goedhuys, M; Mohnen, P; Taha, T</t>
  </si>
  <si>
    <t>Goedhuys, Micheline; Mohnen, Pierre; Taha, Tamer</t>
  </si>
  <si>
    <t>Corruption, innovation and firm growth: firm-level evidence from Egypt and Tunisia</t>
  </si>
  <si>
    <t>EURASIAN BUSINESS REVIEW</t>
  </si>
  <si>
    <t>Innovation; Corruption; Employment growth; Egypt; Tunisia</t>
  </si>
  <si>
    <t>ENTREPRENEURSHIP</t>
  </si>
  <si>
    <t>Using recently collected firm-level data from Egypt and Tunisia, this paper explores the effect of institutional obstacles and corruption on the innovative behavior of firms and their effect on firms' employment growth. We estimate the micro-level interactions between corruption and institutional obstacles and test the hypothesis that corruption 'greases the wheels' of firm performance when bureaucratic procedures are more severe and hampering innovation. Accounting for endogeneity and simultaneity, the paper uses a conditional recursive mixed-process model (CMP). The results show that corruption has a direct negative effect on the likelihood that a firm is an innovator, but a positive effect when interacted with institutional obstacles. This provides support for the hypothesis that corruption serves as a mechanism to bypass the bureaucratic obstacles related to obtaining the necessary business permits and licenses for product innovation. These effects also resonate into firm growth, through their effect on product innovation.</t>
  </si>
  <si>
    <t>[Goedhuys, Micheline; Mohnen, Pierre; Taha, Tamer] UNU MERIT, Boschstr 24, NL-6211 AX Maastricht, Netherlands; [Mohnen, Pierre] Maastricht Univ, SBE, Tongersestr 35, Maastricht, Netherlands</t>
  </si>
  <si>
    <t>Maastricht University; Maastricht University</t>
  </si>
  <si>
    <t>Goedhuys, M (corresponding author), UNU MERIT, Boschstr 24, NL-6211 AX Maastricht, Netherlands.</t>
  </si>
  <si>
    <t>Goedhuys@merit.unu.edu</t>
  </si>
  <si>
    <t>Mohnen, Pierre/ACL-4047-2022</t>
  </si>
  <si>
    <t>Mohnen, Pierre/0000-0002-2289-7379; Goedhuys, Micheline/0000-0003-4222-2106</t>
  </si>
  <si>
    <t>1309-4297</t>
  </si>
  <si>
    <t>2147-4281</t>
  </si>
  <si>
    <t>EURASIAN BUS REV</t>
  </si>
  <si>
    <t>Eurasian Bus. Rev.</t>
  </si>
  <si>
    <t>10.1007/s40821-016-0062-4</t>
  </si>
  <si>
    <t>EX8GR</t>
  </si>
  <si>
    <t>WOS:000403487400004</t>
  </si>
  <si>
    <t>Roberts, P; Henshilwood, CS; van Niekerk, KL; Keene, P; Gledhill, A; Reynard, J; Badenhorst, S; Lee-Thorp, J</t>
  </si>
  <si>
    <t>Roberts, Patrick; Henshilwood, Christopher S.; van Niekerk, Karen L.; Keene, Petro; Gledhill, Andrew; Reynard, Jerome; Badenhorst, Shaw; Lee-Thorp, Julia</t>
  </si>
  <si>
    <t>Climate, Environment and Early Human Innovation: Stable Isotope and Faunal Proxy Evidence from Archaeological Sites (98-59ka) in the Southern Cape, South Africa</t>
  </si>
  <si>
    <t>MIDDLE STONE-AGE; MODERN HUMAN-BEHAVIOR; BLOMBOS CAVE; HOWIESONS POORT; STILL BAY; ADDITIONAL EVIDENCE; KLIPDRIFT SHELTER; FOOD SELECTION; OSTRICH; KA</t>
  </si>
  <si>
    <t>The Middle Stone Age (MSA) of southern Africa, and in particular its Still Bay and Howiesons Poort lithic traditions, represents a period of dramatic subsistence, cultural, and technological innovation by our species, Homo sapiens. Climate change has frequently been postulated as a primary driver of the appearance of these innovative behaviours, with researchers invoking either climate instability as a reason for the development of buffering mechanisms, or environmentally stable refugia as providing a stable setting for experimentation. Testing these alternative models has proved intractable, however, as existing regional palaeoclimatic and palaeoenvironmental records remain spatially, stratigraphically, and chronologically disconnected from the archaeological record. Here we report high-resolution records of environmental shifts based on stable carbon and oxygen isotopes in ostrich eggshell (OES) fragments, faunal remains, and shellfish assemblages excavated from two key MSA archaeological sequences, Blombos Cave and Klipdrift Shelter. We compare these records with archaeological material remains in the same strata. The results from both sites, spanning the periods 98-73 ka and 72-59 ka, respectively, show significant changes in vegetation, aridity, rainfall seasonality, and sea temperature in the vicinity of the sites during periods of human occupation. While these changes clearly influenced human subsistence strategies, we find that the remarkable cultural and technological innovations seen in the sites cannot be linked directly to climate shifts. Our results demonstrate the need for scale-appropriate, on-site testing of behavioural-environmental links, rather than broader, regional comparisons.</t>
  </si>
  <si>
    <t>[Roberts, Patrick; Lee-Thorp, Julia] Univ Oxford, Sch Archaeol, Res Lab Archaeol &amp; Hist Art, Dyson Perrins Bldg,South Parks Rd, Oxford, England; [Henshilwood, Christopher S.; van Niekerk, Karen L.; Keene, Petro; Reynard, Jerome] Univ Witwatersrand, Evolutionary Studies Inst, Johannesburg, South Africa; [Henshilwood, Christopher S.; van Niekerk, Karen L.] Univ Bergen, Dept Archaeol Hist Cultural Studies &amp; Relig, Bergen, Norway; [Gledhill, Andrew] Univ Bradford, Div Geog Archaeol &amp; Environm Sci, Bradford, W Yorkshire, England; [Reynard, Jerome] Univ Witwatersrand, Sch Geog Archaeol &amp; Environm Studies, Johannesburg, South Africa; [Badenhorst, Shaw] Ditsong Natl Museum Nat Hist, Archaeozool &amp; Large Mammal Sect, Paul Kruger St, Pretoria, South Africa; [Badenhorst, Shaw] Univ South Africa, Dept Anthropol &amp; Archaeol, Durban, South Africa</t>
  </si>
  <si>
    <t>RLUK- Research Libraries UK; University of Oxford; University of Witwatersrand; University of Bergen; University of Bradford; University of Witwatersrand; University of South Africa</t>
  </si>
  <si>
    <t>Roberts, P (corresponding author), Univ Oxford, Sch Archaeol, Res Lab Archaeol &amp; Hist Art, Dyson Perrins Bldg,South Parks Rd, Oxford, England.</t>
  </si>
  <si>
    <t>patrick.roberts@rlaha.ox.ac.uk</t>
  </si>
  <si>
    <t>van Niekerk, Karen/J-3511-2015; Henshilwood, Christopher S/K-3806-2014; Reynard, Jerome/AGV-6706-2022; Badenhorst, Shaw/HGC-7123-2022</t>
  </si>
  <si>
    <t>van Niekerk, Karen/0000-0003-2261-6861; Henshilwood, Christopher S/0000-0002-2818-293X; Reynard, Jerome/0000-0002-7092-2188; Badenhorst, Shaw/0000-0002-6651-9660; Roberts, Patrick/0000-0002-4403-7548</t>
  </si>
  <si>
    <t>Clarendon Fund; Natural Environmental Research Council; National Research Foundation/Department of Science and Technology at the University of the Witwatersrand, South Africa; University of Bergen, Norway; University of Oxford; NERC [NE/G005338/1] Funding Source: UKRI; Natural Environment Research Council [1322282, NE/G005338/1] Funding Source: researchfish</t>
  </si>
  <si>
    <t>Clarendon Fund; Natural Environmental Research Council(UK Research &amp; Innovation (UKRI)Natural Environment Research Council (NERC)); National Research Foundation/Department of Science and Technology at the University of the Witwatersrand, South Africa; University of Bergen, Norway; University of Oxford; NERC(UK Research &amp; Innovation (UKRI)Natural Environment Research Council (NERC)); Natural Environment Research Council(UK Research &amp; Innovation (UKRI)Natural Environment Research Council (NERC))</t>
  </si>
  <si>
    <t>This research would not have been possible without financial support from the Clarendon Fund, University of Oxford, and a Natural Environmental Research Council studentship to PR. Financial support for the KDS and BBC projects was provided to CSH by a National Research Foundation/Department of Science and Technology funded Chair at the University of the Witwatersrand, South Africa, and by the University of Bergen, Norway.</t>
  </si>
  <si>
    <t>JUL 6</t>
  </si>
  <si>
    <t>e0157408</t>
  </si>
  <si>
    <t>10.1371/journal.pone.0157408</t>
  </si>
  <si>
    <t>DR3NH</t>
  </si>
  <si>
    <t>WOS:000379809400011</t>
  </si>
  <si>
    <t>Chiaburu, DS; Smith, TA; Wang, JX; Zimmerman, RD</t>
  </si>
  <si>
    <t>Chiaburu, Dan S.; Smith, Troy A.; Wang, Jiexin; Zimmerman, Ryan D.</t>
  </si>
  <si>
    <t>Relative Importance of Leader Influences for Subordinates' Proactive Behaviors, Prosocial Behaviors, and Task Performance A Meta-Analysis</t>
  </si>
  <si>
    <t>proactive behaviors; contextual performance; contingent reward leadership; leader-member exchange; transformational leadership; meta-analysis</t>
  </si>
  <si>
    <t>ORGANIZATIONAL CITIZENSHIP BEHAVIORS; EXTRA-ROLE BEHAVIORS; TRANSFORMATIONAL LEADERSHIP; MEMBER EXCHANGE; TRANSACTIONAL LEADERSHIP; EMPLOYEE CREATIVITY; INNOVATIVE BEHAVIOR; SERVANT LEADERSHIP; ETHICAL LEADERSHIP; ATTACHMENT STYLES</t>
  </si>
  <si>
    <t>We meta-analytically examine the relationships between three forms of leader influence, contingent reward (transactional), leader-member exchange (LMX; relational), and transformational (change-oriented) on subordinates' proactive behaviors. Using non-self-reported data from a combined sample of more than 9,000 employees, we confirm positive relationships between leader influences and employee proactive outcomes. We examine the extent to which one leadership influence is stronger than the others in promoting subordinate proactivity. By combining our new meta-analytic data with existing meta-analytic correlations, we further investigate the extent to which various leadership predictors are differentially related to proactive and prosocial contextual performance, and to task performance. For all outcomes, there are only minimal differences between the contingent reward, LMX, and transformational leadership predictors. Using our results, we propose future research directions for the relationship between leader influences and subordinate work effectiveness.</t>
  </si>
  <si>
    <t>[Chiaburu, Dan S.; Smith, Troy A.; Wang, Jiexin] Texas A&amp;M Univ, Mays Business Sch, College Stn, TX 77801 USA; [Zimmerman, Ryan D.] Virginia Tech, Dept Management, Blacksburg, VA USA</t>
  </si>
  <si>
    <t>Texas A&amp;M University System; Texas A&amp;M University College Station; Mays Business School; Virginia Polytechnic Institute &amp; State University</t>
  </si>
  <si>
    <t>Chiaburu, DS (corresponding author), Texas A&amp;M Univ, Mays Business Sch, 483G Wehner 4221, College Stn, TX 77801 USA.</t>
  </si>
  <si>
    <t>Silva, Gleibson/AAA-8482-2021; wang, jie/GRS-0942-2022; Smith, Troy/AAA-8991-2021; wang, tong/HTR-5412-2023</t>
  </si>
  <si>
    <t>Silva, Gleibson/0000-0003-0945-2567; Smith, Troy/0000-0002-8173-8511</t>
  </si>
  <si>
    <t>10.1027/1866-5888/a000105</t>
  </si>
  <si>
    <t>AH6DB</t>
  </si>
  <si>
    <t>WOS:000336219800002</t>
  </si>
  <si>
    <t>Lai, J; Lui, SS; Tsang, EWK</t>
  </si>
  <si>
    <t>Lai, John; Lui, Steven S.; Tsang, Eric W. K.</t>
  </si>
  <si>
    <t>Intrafirm Knowledge Transfer and Employee Innovative Behavior: The Role of Total and Balanced Knowledge Flows</t>
  </si>
  <si>
    <t>PRODUCT DEVELOPMENT; MULTINATIONAL-CORPORATIONS; ABSORPTIVE-CAPACITY; EMPIRICAL-TEST; PERFORMANCE; DETERMINANTS; COMPETITION; NETWORKS; SUBSIDIARIES; CAPABILITIES</t>
  </si>
  <si>
    <t>Research on intrafirm knowledge transfer has generally found a positive impact of knowledge inflows on the innovation of an organizational unit. However, the role of knowledge outflows during knowledge transfer is less clear. This paper argues that knowledge outflows influence innovation through a self- learning mechanism and a fairness assessment mechanism, and play a unique and important role on team innovation. Based on this new understanding on knowledge outflows, it is necessary to examine the impacts of inflows and outflows simultaneously in innovation research. This paper expresses the sum and difference of knowledge inflows and outflows as total and balanced knowledge flows. A theoretical model is proposed to examine the distinct and synergistic effects of total and balanced knowledge flows on employees' innovative behavior of an organizational unit. The model was tested on 148 retail units of an apparel firm based on survey responses from both shop managers and staff. Results showed that total and balanced flows have independent direct effects and a synergistic effect on employee innovative behavior: employees of a unit had the highest levels of innovative behavior when knowledge flows were high and balanced at the same time. This paper contributes to the literature by taking into account both the direction and magnitude of knowledge transfer to examine team innovation.</t>
  </si>
  <si>
    <t>[Lai, John] Chinese Univ Hong Kong, Dept Management, Hong Kong, Hong Kong, Peoples R China; [Lai, John] Chinese Univ Hong Kong, Global Business Programs Global Business Studies, Hong Kong, Hong Kong, Peoples R China; [Lui, Steven S.] Univ New S Wales, UNSW Business Sch, Sydney, NSW, Australia; [Tsang, Eric W. K.] Univ Texas Dallas, Global Strategy Naveen Jindal Sch Management, Richardson, TX 75083 USA</t>
  </si>
  <si>
    <t>Chinese University of Hong Kong; Chinese University of Hong Kong; University of New South Wales Sydney; University of Texas System; University of Texas Dallas</t>
  </si>
  <si>
    <t>Lui, SS (corresponding author), Univ New S Wales, UNSW Business Sch, Sch Management, Sydney, NSW 2052, Australia.</t>
  </si>
  <si>
    <t>steven.lui@unsw.edu.au</t>
  </si>
  <si>
    <t>Tsang, Eric/0000-0002-0642-0714; Lui, Steven/0000-0002-3441-5381</t>
  </si>
  <si>
    <t>Australian Research Council [DP110100880]</t>
  </si>
  <si>
    <t>Australian Research Council(Australian Research Council)</t>
  </si>
  <si>
    <t>This research was supported under the Australian Research Council's Discovery Project funding Scheme (Project number: DP110100880) awarded to the second author. We would like to thank the editor-in-chief Professor Gloria Barczak and two anonymous reviewers for their valuable comments.</t>
  </si>
  <si>
    <t>10.1111/jpim.12262</t>
  </si>
  <si>
    <t>WOS:000368589800007</t>
  </si>
  <si>
    <t>Miao, Q; Newman, A; Lamb, P</t>
  </si>
  <si>
    <t>Miao, Qing; Newman, Alexander; Lamb, Peter</t>
  </si>
  <si>
    <t>Transformational leadership and the work outcomes of Chinese migrant workers: The mediating effects of identification with leader</t>
  </si>
  <si>
    <t>LEADERSHIP</t>
  </si>
  <si>
    <t>identification; innovative behavior; job performance; organizational commitment; transformational leadership; turnover intentions</t>
  </si>
  <si>
    <t>ORGANIZATIONAL COMMITMENT; EMPLOYEE PERFORMANCE; TRANSACTIONAL LEADERSHIP; CREATIVITY; IDENTITY; BEHAVIOR; ORIENTATION; ATTITUDES; TURNOVER; EFFICACY</t>
  </si>
  <si>
    <t>This study examines the mediating influence of identification with leader on the relationship between follower perceptions of transformational leadership behavior and their work outcomes, using data obtained from migrant workers and their supervisors in a large manufacturing company located in south-eastern China. Hierarchical regression analysis revealed that transformational leadership was positively related to the affective commitment and job performance of followers, and negatively related to their turnover intentions. In contrast, no significant influence was found of transformational leadership on the innovative behavior of followers. Subsequent analysis revealed that identification with leader mediated the relationship between transformational leadership and follower attitudes, but did not mediate the relationship between transformational leadership and follower job performance. These findings highlight the importance of cultural and wider contextual influences on the processes by which leadership impacts on the work outcomes of migrant workers in the Chinese manufacturing industry. The managerial implications of these findings are discussed and suggestions for future research provided.</t>
  </si>
  <si>
    <t>[Newman, Alexander; Lamb, Peter] Univ Nottingham, Nottingham Univ Business Sch, Ningbo 315100, Zhejiang, Peoples R China; [Miao, Qing] Zhejiang Univ, Hangzhou, Zhejiang, Peoples R China</t>
  </si>
  <si>
    <t>University of Nottingham Ningbo China; Zhejiang University</t>
  </si>
  <si>
    <t>Newman, A (corresponding author), Univ Nottingham, Nottingham Univ Business Sch, 199 E Taikang Rd, Ningbo 315100, Zhejiang, Peoples R China.</t>
  </si>
  <si>
    <t>alex.newman@nottingham.edu.cn</t>
  </si>
  <si>
    <t>Miao, Qing/Q-5542-2018; Newman, Alexander/AAH-7376-2020; Miao, Qing/Q-2468-2018; Miao, Qing/AAK-1048-2020</t>
  </si>
  <si>
    <t xml:space="preserve">Newman, Alexander/0000-0003-1170-8947; </t>
  </si>
  <si>
    <t>1742-7150</t>
  </si>
  <si>
    <t>LEADERSHIP-LONDON</t>
  </si>
  <si>
    <t>Leadership</t>
  </si>
  <si>
    <t>10.1177/1742715012444055</t>
  </si>
  <si>
    <t>022CL</t>
  </si>
  <si>
    <t>WOS:000309932600003</t>
  </si>
  <si>
    <t>Gui, CL; Luo, AQ; Zhang, PC; Deng, AM</t>
  </si>
  <si>
    <t>Gui, Chenglin; Luo, Anqi; Zhang, Pengcheng; Deng, Aimin</t>
  </si>
  <si>
    <t>A meta-analysis of transformational leadership in hospitality research</t>
  </si>
  <si>
    <t>Cultural differences; Meta-analysis; Follower outcomes; Transformational leadership in hospitality</t>
  </si>
  <si>
    <t>TRANSACTIONAL LEADERSHIP; PSYCHOLOGICAL EMPOWERMENT; INNOVATIVE BEHAVIOR; MEMBER EXCHANGE; EMPLOYEES; PERFORMANCE; WORK; CONSEQUENCES; ANTECEDENTS; SATISFACTION</t>
  </si>
  <si>
    <t>Purpose Though the effect of transformational leadership (TFL) on followers has been largely examined in hospitality, the findings are rather inconsistent. This paper aims to provide a quantitative review for the relationship between TFL and follower outcomes in hospitality and a detailed analysis of the moderating variables (cultural differences, measurement instrument, rating sources and time lag). Design/methodology/approach To explore the effect sizes of TFL on followers, this study conducted a quantitative meta-analysis based on 62 primary studies, including 66 independent samples (N = 23,037). The outcomes of TFL were categorized into subordinates' attitudinal outcomes, relational perceptions and behavioral outcomes. Findings The results indicate that TFL has the strongest impact on relational perceptions, followed by subordinates' attitudinal and behavioral outcomes. The results also show that cultural differences, rating sources and time lag partially moderate the relationships between TFL and follower outcomes. Originality/value To the best of authors' knowledge, this is the first meta-analysis to clear theoretical links between TFL and its outcomes in the hospitality context. This study further investigates several moderators that can influence the effects of TFL and helps better understand the influence of TFL in the area of hospitality. The study also provides future research directions for leadership research in the hospitality context.</t>
  </si>
  <si>
    <t>[Gui, Chenglin; Zhang, Pengcheng] Huazhong Univ Sci &amp; Technol, Sch Management, Wuhan, Peoples R China; [Luo, Anqi] Penn State Univ, Sch Hospitality Management, Coll Hlth &amp; Human Dev, University Pk, PA 16802 USA; [Deng, Aimin] Zhongnan Univ Econ &amp; Law, Wuhan, Peoples R China</t>
  </si>
  <si>
    <t>Huazhong University of Science &amp; Technology; Pennsylvania Commonwealth System of Higher Education (PCSHE); Pennsylvania State University; Pennsylvania State University - University Park; Zhongnan University of Economics &amp; Law</t>
  </si>
  <si>
    <t>Zhang, PC (corresponding author), Huazhong Univ Sci &amp; Technol, Sch Management, Wuhan, Peoples R China.</t>
  </si>
  <si>
    <t>zhangpch@126.com</t>
  </si>
  <si>
    <t>Luo, Anqi/AAT-5449-2020; Luo, Anqi/HLG-7919-2023</t>
  </si>
  <si>
    <t>Luo, Anqi/0000-0001-5348-3470; Luo, Anqi/0000-0001-5348-3470</t>
  </si>
  <si>
    <t>APR 27</t>
  </si>
  <si>
    <t>10.1108/IJCHM-05-2019-0507</t>
  </si>
  <si>
    <t>ME8DT</t>
  </si>
  <si>
    <t>WOS:000524465700001</t>
  </si>
  <si>
    <t>Nazir, S; Qun, W; Hui, L; Shafi, A</t>
  </si>
  <si>
    <t>Nazir, Sajjad; Qun, Wang; Hui, Li; Shafi, Amina</t>
  </si>
  <si>
    <t>Influence of Social Exchange Relationships on Affective Commitment and Innovative Behavior: Role of Perceived Organizational Support</t>
  </si>
  <si>
    <t>LMX; tie strength; POS; innovative behavior; IB; employees' commitment; innovative organizational culture; social exchange theory</t>
  </si>
  <si>
    <t>LEADER-MEMBER EXCHANGE; ETHICAL LEADERSHIP; TRANSFORMATIONAL LEADERSHIP; PSYCHOLOGICAL EMPOWERMENT; EMPLOYEE CREATIVITY; MEDIATING ROLE; CITIZENSHIP BEHAVIORS; EMPIRICAL-EXAMINATION; NORMATIVE COMMITMENT; CONTEXTUAL FACTORS</t>
  </si>
  <si>
    <t>The current study objective is to investigate how and when leader member exchange (LMX), tie strength, and innovative organizational culture influences employee innovative behavior. In particular, this study uses the social exchange theory to analyze that nurses who demonstrate high affective commitment exhibit a higher level of creativity in the workplace. Based on social exchange theory and perceived organizational support (POS) literature, the current study aims to reveal how perceived organizational support (POS) serves as an imperative mediating process between LMX, tie strength, innovative organizational culture, and employee IB. A questionnaire survey was utilized to collect the data from nurses working in public sector hospitals in Jiangsu province China. A total sample size consists of 325 nurses. Structural equation modeling through AMOS 20 was utilized to analyze the survey data. Results from the structural equation modeling (SEM) analysis indicated that LMX, tie strength, and POS are significantly related to affective commitment and employees' IB. However, innovative organizational culture has a significant influence on POS and IB, but has no impact on affective commitment. This study covers only public sector hospitals and is limited to Jiangsu province, China. The research could be reproduced in other designated areas in different organizational setups with a bigger sample size to further enhance the understanding of the topic. The key understanding of social exchange theory (SET) is that social relationships can be used appropriately to foster an employee's IB. It also expands research in the area of LMX, tie strength, innovative organizational culture, and POS as antecedents of affective commitment and IB. This study is a remarkable analysis of LMX, POS, organization culture, commitment, and IB in the Chinese organizational context.</t>
  </si>
  <si>
    <t>[Nazir, Sajjad; Qun, Wang; Hui, Li; Shafi, Amina] Hohai Univ, Business Sch, Dept Management &amp; HR, Nanjing 211100, Jiangsu, Peoples R China; [Qun, Wang; Hui, Li] Jiangsu Prov Collaborat Ctr World Water Valley &amp;, Nanjing 211100, Jiangsu, Peoples R China</t>
  </si>
  <si>
    <t>Hohai University</t>
  </si>
  <si>
    <t>Nazir, S; Qun, W (corresponding author), Hohai Univ, Business Sch, Dept Management &amp; HR, Nanjing 211100, Jiangsu, Peoples R China.;Qun, W (corresponding author), Jiangsu Prov Collaborat Ctr World Water Valley &amp;, Nanjing 211100, Jiangsu, Peoples R China.</t>
  </si>
  <si>
    <t>sajjadnazir@hotmail.com; wqun@hhu.edu.cn; lhui@hhu.edu.cn; aminasajjad@hotmail.co.uk</t>
  </si>
  <si>
    <t>Nazir, Sajjad/Z-4189-2019</t>
  </si>
  <si>
    <t>Nazir, Sajjad/0000-0002-6602-0886</t>
  </si>
  <si>
    <t>This study was supported by the National Social Science Fund of China (No-18BGL129) and Scientific Research Fund for Universities by Chinese Ministry of Education (2018B30214 &amp; 2018B47914).</t>
  </si>
  <si>
    <t>10.3390/su10124418</t>
  </si>
  <si>
    <t>HG9OL</t>
  </si>
  <si>
    <t>WOS:000455338100084</t>
  </si>
  <si>
    <t>Sanz-Valle, R; Jimenez-Jimenez, D</t>
  </si>
  <si>
    <t>Sanz-Valle, Raquel; Jimenez-Jimenez, Daniel</t>
  </si>
  <si>
    <t>HRM and product innovation: does innovative work behaviour mediate that relationship?</t>
  </si>
  <si>
    <t>High-performance work systems; Innovative work behaviour; Product innovations</t>
  </si>
  <si>
    <t>HUMAN-RESOURCE PRACTICES; ORGANIZATIONAL INNOVATION; EMPLOYEE CREATIVITY; PERFORMANCE; MANAGEMENT; KNOWLEDGE; DETERMINANTS; LEADERSHIP; DYNAMICS; SUPPORT</t>
  </si>
  <si>
    <t>Purpose The purpose of this paper is to empirically analyse the mediator effect of innovative work behaviour (IWB) between the firm's human resource management system and product innovation. Design/methodology/approach Data are collected from 225 Spanish manufacture companies. Hypotheses are tested using structured equation modelling. The structural model is estimated through partial least squares modelling. Findings The results provide strong evidence about the effect of the system of human resource management practices on both, employee's IWB and product innovation. Furthermore, findings support the idea that employee's IWB mediates the relationship between human resource management and product innovation. Research limitations/implications Although the study counts with the limitations of cross-sectional studies, its findings suggest that employees' IWB fosters product innovation and that the adoption of a high-performance work system is positively associated to such behaviour. Practical implications This paper shows that companies seeking to foster product innovation should pay attention to their employees' behaviour. In particular, they should promote that employees engage in innovative behaviours, and that adopting high-performance human resource management practices can help in this line. Originality/value Although a number of studies suggest that IWB is a key determinant of innovation and a mediator in the link between human resource management and innovation, there is no empirical research examining these relationships. This paper covers this gap detected in the literature and provides evidence supporting them.</t>
  </si>
  <si>
    <t>[Sanz-Valle, Raquel; Jimenez-Jimenez, Daniel] Univ Murcia, Fac Econ &amp; Business, Murcia, Spain</t>
  </si>
  <si>
    <t>University of Murcia</t>
  </si>
  <si>
    <t>Jimenez-Jimenez, D (corresponding author), Univ Murcia, Fac Econ &amp; Business, Murcia, Spain.</t>
  </si>
  <si>
    <t>danieljj@um.es</t>
  </si>
  <si>
    <t>Sanz-Valle, Raquel/H-8865-2015; Jimenez-Jimenez, Daniel/C-7914-2015</t>
  </si>
  <si>
    <t>Jimenez-Jimenez, Daniel/0000-0002-1790-0799</t>
  </si>
  <si>
    <t>Spanish Ministry for Economy, Industry and Competitiveness [ECO2017-88987-R]</t>
  </si>
  <si>
    <t>Spanish Ministry for Economy, Industry and Competitiveness</t>
  </si>
  <si>
    <t>The authors gratefully acknowledge the funding received from the Spanish Ministry for Economy, Industry and Competitiveness (Research Project ECO2017-88987-R) and BMN.</t>
  </si>
  <si>
    <t>10.1108/MD-04-2017-0404</t>
  </si>
  <si>
    <t>GI3EL</t>
  </si>
  <si>
    <t>WOS:000434254200015</t>
  </si>
  <si>
    <t>Karlsson, C; Tavassoli, S</t>
  </si>
  <si>
    <t>Karlsson, Charlie; Tavassoli, Sam</t>
  </si>
  <si>
    <t>Innovation strategies of firms: What strategies and why?</t>
  </si>
  <si>
    <t>JOURNAL OF TECHNOLOGY TRANSFER</t>
  </si>
  <si>
    <t>Innovation strategy; Product innovations; Process innovations; Marketing innovations; Organizational innovations; Community Innovation Survey</t>
  </si>
  <si>
    <t>RESEARCH-AND-DEVELOPMENT; PRODUCT INNOVATION; PERFORMANCE; PERSISTENCE; KNOWLEDGE; DETERMINANTS; FLEXIBILITY; NETWORKING; PATTERNS; GERMAN</t>
  </si>
  <si>
    <t>This paper analyzes various innovation strategies of firms. Using five waves of the Community Innovation Survey in Sweden, we have traced the innovative behavior of firms over a 10-year period, i.e. between 2002 and 2012. We distinguish between sixteen innovation strategies, which compose of Schumpeterian four types of innovations (process, product, marketing, and organizational) plus various combinations of these four types. First, we find that firms are not homogenous in choosing innovation strategies, instead, they have a wide range of preferences when it comes to innovation strategy and some of the innovation strategies are commonly used among firms. Second, using Transition Probability Matrix, we found that firms also persist to have such a diverse innovation strategy preferences. Finally, using Multinomial Logit model, we explained the determinant of each and every innovation strategies, while we gave special attention to the commonly used innovation strategies among firms.</t>
  </si>
  <si>
    <t>[Karlsson, Charlie] KTH, CESIS, Stockholm, Sweden; [Karlsson, Charlie] Jonkoping Int Business Sch, Jonkoping, Sweden; [Karlsson, Charlie; Tavassoli, Sam] Blekinge Inst Technol, Karlskrona, Sweden; [Tavassoli, Sam] Lund Univ, CIRCLE, Lund, Sweden</t>
  </si>
  <si>
    <t>Royal Institute of Technology; Jonkoping University; Blekinge Institute Technology; Lund University</t>
  </si>
  <si>
    <t>Tavassoli, S (corresponding author), Blekinge Inst Technol, Karlskrona, Sweden.;Tavassoli, S (corresponding author), Lund Univ, CIRCLE, Lund, Sweden.</t>
  </si>
  <si>
    <t>0892-9912</t>
  </si>
  <si>
    <t>1573-7047</t>
  </si>
  <si>
    <t>J TECHNOL TRANSFER</t>
  </si>
  <si>
    <t>J. Technol. Transf.</t>
  </si>
  <si>
    <t>10.1007/s10961-015-9453-4</t>
  </si>
  <si>
    <t>Engineering, Industrial; Management</t>
  </si>
  <si>
    <t>Engineering; Business &amp; Economics</t>
  </si>
  <si>
    <t>EB2ZS</t>
  </si>
  <si>
    <t>WOS:000387231700012</t>
  </si>
  <si>
    <t>Luu, Trong Tuan</t>
  </si>
  <si>
    <t>Integrating green strategy and green human resource practices to trigger individual and organizational green performance: the role of environmentally-specific servant leadership</t>
  </si>
  <si>
    <t>JOURNAL OF SUSTAINABLE TOURISM</t>
  </si>
  <si>
    <t>Employees' organizational citizenship behavior for the environment; environmentally-specific servant leadership; green human resource practices; green strategy; organizational green performance; Vietnam</t>
  </si>
  <si>
    <t>SERVICE INNOVATIVE BEHAVIOR; COMMON METHOD VARIANCE; FINANCIAL PERFORMANCE; MANAGEMENT-PRACTICES; MEDIATING ROLE; TRANSFORMATIONAL LEADERSHIP; CORPORATE ENVIRONMENTALISM; COMPETITIVE ADVANTAGE; CITIZENSHIP BEHAVIOR; ETHICAL LEADERSHIP</t>
  </si>
  <si>
    <t>Integrating strategic, top-down management and employee-oriented, bottom-up approaches, this inquiry proposes a research model in which green management initiatives (i.e., the fusion of green strategy and green human resource practices) influence organizational green performance and in turn organizational performance. This research model was comparatively tested in South Korean and Vietnamese tourism service contexts. The research results revealed that in both samples, environmentally-specific servant leadership mediated the top-down relationship between green management initiatives and employees' organizational citizenship behavior for the environment (OCBE), and employee OCBE mediated the bottom-up relationship between environmentally-specific servant leadership and organizational green performance. Nonetheless, while the mediating role of organizational green performance for the link between employee OCBE and organizational performance was corroborated in the Korean sample, this mediation mechanism was not found in the Vietnamese sample. Implications for green management literature and practice are presented.</t>
  </si>
  <si>
    <t>[Luu, Trong Tuan] Swinburne Univ Technol, Swinburne Business Sch, Melbourne, Vic, Australia</t>
  </si>
  <si>
    <t>Luu, TT (corresponding author), Swinburne Univ Technol, Swinburne Business Sch, Melbourne, Vic, Australia.</t>
  </si>
  <si>
    <t>0966-9582</t>
  </si>
  <si>
    <t>1747-7646</t>
  </si>
  <si>
    <t>J SUSTAIN TOUR</t>
  </si>
  <si>
    <t>J. Sustain. Tour.</t>
  </si>
  <si>
    <t>10.1080/09669582.2020.1729165</t>
  </si>
  <si>
    <t>FEB 2020</t>
  </si>
  <si>
    <t>Green &amp; Sustainable Science &amp; Technology; Hospitality, Leisure, Sport &amp; Tourism</t>
  </si>
  <si>
    <t>Science &amp; Technology - Other Topics; Social Sciences - Other Topics</t>
  </si>
  <si>
    <t>LO4LP</t>
  </si>
  <si>
    <t>WOS:000515044000001</t>
  </si>
  <si>
    <t>Zhang, W; Sun, SL; Jiang, Y; Zhang, WY</t>
  </si>
  <si>
    <t>Zhang, Wei; Sun, Sunny Li; Jiang, Yuan; Zhang, Wenyao</t>
  </si>
  <si>
    <t>Openness to Experience and Team Creativity: Effects of Knowledge Sharing and Transformational Leadership</t>
  </si>
  <si>
    <t>PERSONALITY-TRAITS; MEDIATING ROLE; EMPLOYEE CREATIVITY; INNOVATIVE BEHAVIOR; NETWORK STRUCTURE; WORK-ENVIRONMENT; MODERATING ROLE; 5-FACTOR MODEL; PERFORMANCE; ORIENTATION</t>
  </si>
  <si>
    <t>This study extends the research on the creative work process in teams by integrating personality traits, knowledge-sharing behavior, and transformational leadership. Analyses of multisource data from 347 members of 53 creative teams in 26 firms reveal the associations between heterogeneity of openness to experience in teams and team creativity (i.e., idea generation and idea development). Further, knowledge sharing mediated the relationships between personality heterogeneity and team creativity. Transformational leadership amplified the relationship between personality heterogeneity and idea development. Theoretical and practical implications are discussed.</t>
  </si>
  <si>
    <t>[Zhang, Wei] Cent China Normal Univ, Wuhan, Hubei, Peoples R China; [Sun, Sunny Li] Univ Massachusetts Lowell, Lowell, MA USA; [Jiang, Yuan] Shanghai Jiao Tong Univ, Shanghai, Peoples R China; [Zhang, Wenyao] Qilu Univ Technol, Shandong Acad Sci, Jinan, Shandong, Peoples R China</t>
  </si>
  <si>
    <t>Central China Normal University; University of Massachusetts System; University of Massachusetts Lowell; Shanghai Jiao Tong University; Qilu University of Technology</t>
  </si>
  <si>
    <t>Jiang, Y (corresponding author), Shanghai Jiao Tong Univ, Coll Econ &amp; Management, 1954 Huashan Rd Xuhui Dist, Shanghai 200030, Peoples R China.</t>
  </si>
  <si>
    <t>jiangy8@sjtu.edu.cn</t>
  </si>
  <si>
    <t>YY, Wang/AAD-6947-2020; Sun, Sunny Li/D-1726-2015; Zhang, Wei/AAA-6273-2022; Jiang, Yuan/AAI-7225-2020</t>
  </si>
  <si>
    <t>Sun, Sunny Li/0000-0001-8172-5262; Zhang, Wei/0000-0001-7758-9675; Jiang, Yuan/0000-0001-7962-8172</t>
  </si>
  <si>
    <t>National Natural Science Foundation of China [71672111, 71804056]; Humanities and Social Sciences Research Project of the Ministry of Education of China [18YJC630250]; China Postdoctoral Science Foundation [2018M642033]; Hubei Provincial Technical Innovation Project (soft science research) [2018ADC052]; Self-determined research funds of CCNU from the colleges' basic research and operation of MOE [CCNU17ZK09]</t>
  </si>
  <si>
    <t>National Natural Science Foundation of China(National Natural Science Foundation of China (NSFC)); Humanities and Social Sciences Research Project of the Ministry of Education of China; China Postdoctoral Science Foundation(China Postdoctoral Science Foundation); Hubei Provincial Technical Innovation Project (soft science research); Self-determined research funds of CCNU from the colleges' basic research and operation of MOE</t>
  </si>
  <si>
    <t>This research was supported by National Natural Science Foundation of China (#71672111, #71804056), Humanities and Social Sciences Research Project of the Ministry of Education of China (#18YJC630250), China Postdoctoral Science Foundation(#2018M642033), Hubei Provincial Technical Innovation Project (soft science research) (#2018ADC052), and Self -determined research funds of CCNU from the colleges' basic research and operation of MOE(#CCNU17ZK09).</t>
  </si>
  <si>
    <t>10.1080/10400419.2019.1577649</t>
  </si>
  <si>
    <t>HY8EZ</t>
  </si>
  <si>
    <t>WOS:000468371500006</t>
  </si>
  <si>
    <t>Chen, CY</t>
  </si>
  <si>
    <t>Chen, Chien-Yu</t>
  </si>
  <si>
    <t>Does work engagement mediate the influence of job resourcefulness on job crafting? An examination of frontline hotel employees</t>
  </si>
  <si>
    <t>Personality; Work engagement; Job resourcefulness; Individual crafting; Collaborative crafting</t>
  </si>
  <si>
    <t>ORGANIZATIONAL CITIZENSHIP BEHAVIOR; SERVICE RECOVERY PERFORMANCE; HOSPITALITY EMPLOYEES; INNOVATIVE BEHAVIOR; PERSONAL RESOURCES; OUTCOMES; SATISFACTION; BURNOUT; CONSEQUENCES; DEMANDS</t>
  </si>
  <si>
    <t>Purpose - Researchers and practitioners have remarked the critical nature of job crafting for employee and organizational effectiveness in the hotel industry. However, few studies have investigated the determinants of job crafting, especially the role of personality traits. Hence, this study aims to address this research gap by exploring how job resourcefulness influences job crafting and by clarifying the mediating role of work engagement. Design/methodology/approach - The sample of the present study comprised 433 Taiwanese frontline hotel employees. The hypothesized relationships were tested using structural equation modeling. Findings - The results reveal that job-resourceful employees tend to engage themselves at work. Engaged employees tend to craft their jobs individually and collaboratively. That is, work engagement is a mediator between job resourcefulness and job crafting. Finally, the job resourcefulness-work engagement-individual crafting relationship is closer than the job resourcefulness-work engagement-collaborative crafting relationship. Research limitations/implications - The findings suggest that job resourcefulness can be considered as a criterion in selecting and retaining employees. Work engagement may serve as a mechanism for interpreting the relationship between job resourcefulness and job crafting. This study provides crucial insights to help hotel managers seek and aid employees who can actively reshape their work conditions. However, the sample comprises only frontline hotel employees and the generalization can be considered in the future studies. Originality/value - This research is the first to examine the psychological process that mediates the connection between job resourcefulness and job crafting. The findings of this study contribute to the theory of the relationship between personality traits and job crafting and may serve as a reference in related practices.</t>
  </si>
  <si>
    <t>[Chen, Chien-Yu] Chihlee Univ Technol, Dept Mkt &amp; Logist Management, New Taipei, Taiwan</t>
  </si>
  <si>
    <t>Chen, CY (corresponding author), Chihlee Univ Technol, Dept Mkt &amp; Logist Management, New Taipei, Taiwan.</t>
  </si>
  <si>
    <t>dustinchen@mail.chihlee.edu.tw</t>
  </si>
  <si>
    <t>10.1108/IJCHM-05-2018-0365</t>
  </si>
  <si>
    <t>HX7VZ</t>
  </si>
  <si>
    <t>WOS:000467615900008</t>
  </si>
  <si>
    <t>Jung, HS; Yoon, HH</t>
  </si>
  <si>
    <t>Jung, Hyo Sun; Yoon, Hye Hyun</t>
  </si>
  <si>
    <t>Improving frontline service employees' innovative behavior using conflict management in the hospitality industry: The mediating role of engagement</t>
  </si>
  <si>
    <t>Conflict management; Engagement; Innovative behavior; Frontline employee; Hospitality industry</t>
  </si>
  <si>
    <t>ORGANIZATIONAL-CLIMATE; WORK ENGAGEMENT; PERFORMANCE; SATISFACTION; ANTECEDENTS; PERCEPTIONS; COMMITMENT; OUTCOMES; BURNOUT; MODELS</t>
  </si>
  <si>
    <t>Conflict within an organization is inescapable. However when frontline hotel employees can overcome conflicts their levels of engagement can increase and innovative behavior may emerge. The purpose of this study was to verify that the conflict management, as perceived by frontline employees, significantly affects their levels of engagement and innovative behavior. The results support this notion. Further, in the sample of 383, those employees expressing a high level of engagement were more likely to engage in innovative behavior. Also, employee engagement fully mediated the relationship between conflict management climate and innovative behavior. These findings have important implications for managing conflict management in the hospitality industry. Finally, limitations and future research directions are also discussed.</t>
  </si>
  <si>
    <t>[Jung, Hyo Sun] Kyung Hee Univ, Ctr Converging Humanities, 26 Kyungheedae Ro, Seoul 02447, South Korea; [Yoon, Hye Hyun] Kyung Hee Univ, Coll Hotel &amp; Tourism Management, 26 Kyungheedae Ro, Seoul 02447, South Korea</t>
  </si>
  <si>
    <t>Kyung Hee University; Kyung Hee University</t>
  </si>
  <si>
    <t>Yoon, HH (corresponding author), Kyung Hee Univ, Coll Hotel &amp; Tourism Management, 26 Kyungheedae Ro, Seoul 02447, South Korea.</t>
  </si>
  <si>
    <t>chefcook@khu.ac.kr; hhyun@khu.ac.kr</t>
  </si>
  <si>
    <t>10.1016/j.tourman.2018.06.035</t>
  </si>
  <si>
    <t>GQ4YC</t>
  </si>
  <si>
    <t>WOS:000441681400041</t>
  </si>
  <si>
    <t>BURNS, DJ; BRADY, J</t>
  </si>
  <si>
    <t>A CROSS-CULTURAL-COMPARISON OF THE NEED FOR UNIQUENESS IN MALAYSIA AND THE UNITED-STATES</t>
  </si>
  <si>
    <t>JOURNAL OF SOCIAL PSYCHOLOGY</t>
  </si>
  <si>
    <t>SENSATION SEEKING; UNDISTINCTIVENESS; FEELINGS</t>
  </si>
  <si>
    <t>It has been hypothesized and empirically supported that an individual's need for uniqueness is a factor that leads to the expression of innovative behavior. This need for uniqueness has been hypothesized to be environmentally, or culturally, based, raising concerns as to its stability across cultures. This study was conducted to investigate the possibility that the need for uniqueness varies in form across cultures. The results suggest that for collegiate business students the need for uniqueness does vary among cultural settings. This finding raises questions concerning the cross-cultural transferability of innovative behavior models that incorporate this need.</t>
  </si>
  <si>
    <t>UNIV UTAH,DEPT FAMILY &amp; CONSUMER STUDIES,SALT LAKE CITY,UT 84112</t>
  </si>
  <si>
    <t>Utah System of Higher Education; University of Utah</t>
  </si>
  <si>
    <t>BURNS, DJ (corresponding author), YOUNGSTOWN STATE UNIV,WILLIAMSON SCH BUSINESS ADM,DEPT MKT,YOUNGSTOWN,OH 44555, USA.</t>
  </si>
  <si>
    <t>1319 EIGHTEENTH ST NW, WASHINGTON, DC 20036-1802</t>
  </si>
  <si>
    <t>0022-4545</t>
  </si>
  <si>
    <t>J SOC PSYCHOL</t>
  </si>
  <si>
    <t>J. Soc. Psychol.</t>
  </si>
  <si>
    <t>10.1080/00224545.1992.9924728</t>
  </si>
  <si>
    <t>JQ084</t>
  </si>
  <si>
    <t>WOS:A1992JQ08400006</t>
  </si>
  <si>
    <t>Liu, F; Chow, IHS; Zhang, JC; Huang, M</t>
  </si>
  <si>
    <t>Liu, Fang; Chow, Irene Hau-Siu; Zhang, Jun-Cheng; Huang, Man</t>
  </si>
  <si>
    <t>Organizational innovation climate and individual innovative behavior: exploring the moderating effects of psychological ownership and psychological empowerment</t>
  </si>
  <si>
    <t>Organizational innovation climate; Individual innovative behavior; Psychological ownership; Psychological empowerment; Moderators</t>
  </si>
  <si>
    <t>WORK BEHAVIOR; EMPLOYEE CREATIVITY; MODEL; DETERMINANTS; SUGGESTIONS; PERFORMANCE; ENVIRONMENT; PREDICTORS; MULTILEVEL; LEADERSHIP</t>
  </si>
  <si>
    <t>The present study proposes that psychological ownership for the organization and psychological empowerment are important determinants of individual innovative behavior, and serve as moderators of the climate-innovation relationship. In a study of 804 employees from 157 firms in China, we found that both of these two psychological variables had a positive relationship with individual innovative behavior. Additionally, we found psychological empowerment served as a moderator of the climate-innovation relationship, such that the relationship was stronger for individuals high in psychological empowerment. This study contributes to further understanding of the climate-innovation relationship.</t>
  </si>
  <si>
    <t>[Liu, Fang; Zhang, Jun-Cheng; Huang, Man] Guangzhou Univ, Sch Management, Guangzhou, Guangdong, Peoples R China; [Chow, Irene Hau-Siu] Hang Seng Management Coll, Dept Management, Hang Shin Link, Siu Lek Yuan,Shatin, Hong Kong, Peoples R China</t>
  </si>
  <si>
    <t>Guangzhou University; Hang Seng University of Hong Kong</t>
  </si>
  <si>
    <t>Liu, F (corresponding author), Guangzhou Univ, Sch Management, Guangzhou, Guangdong, Peoples R China.</t>
  </si>
  <si>
    <t>l_fang@foxmail.com; Irenechow@hsmc.edu.hk; 47685487@qq.com; 394612397@qq.com</t>
  </si>
  <si>
    <t>Zhang, Juncheng/O-5801-2019</t>
  </si>
  <si>
    <t>PhD Start-up Fund of Natural Science Foundation of Guangdong Province, China [2015A030310192]; Ministry of Education in China Project of Humanities and Social Sciences [15YJC630072, 14YJC630160]; Philosophy and Social Science Plan Project of Guangdong Province, China [GD17CGL03]; National Natural Science Foundation of China [71502043]</t>
  </si>
  <si>
    <t>PhD Start-up Fund of Natural Science Foundation of Guangdong Province, China(National Natural Science Foundation of China (NSFC)); Ministry of Education in China Project of Humanities and Social Sciences; Philosophy and Social Science Plan Project of Guangdong Province, China; National Natural Science Foundation of China(National Natural Science Foundation of China (NSFC))</t>
  </si>
  <si>
    <t>This research was supported by the PhD Start-up Fund of Natural Science Foundation of Guangdong Province, China (Grant No. 2015A030310192), the Ministry of Education in China Project of Humanities and Social Sciences (Grant nos. 15YJC630072, 14YJC630160), the Philosophy and Social Science Plan Project of Guangdong Province, China (Grant No. GD17CGL03), and the National Natural Science Foundation of China (Grant No. 71502043).</t>
  </si>
  <si>
    <t>10.1007/s11846-017-0263-y</t>
  </si>
  <si>
    <t>IJ4KV</t>
  </si>
  <si>
    <t>WOS:000475873800006</t>
  </si>
  <si>
    <t>Park, S; Jo, SJ</t>
  </si>
  <si>
    <t>Park, Sohee; Jo, Sung Jun</t>
  </si>
  <si>
    <t>The impact of proactivity, leader-member exchange, and climate for innovation on innovative behavior in the Korean government sector</t>
  </si>
  <si>
    <t>LEADERSHIP &amp; ORGANIZATION DEVELOPMENT JOURNAL</t>
  </si>
  <si>
    <t>LMX; Proactivity; Innovative behaviour; Climate for innovation; Government sector</t>
  </si>
  <si>
    <t>TRANSFORMATIONAL LEADERSHIP; INDIVIDUAL INNOVATION; JOB-SATISFACTION; MEDIATING ROLE; PERSONALITY; MODEL; CREATIVITY; LMX; PERFORMANCE; OUTCOMES</t>
  </si>
  <si>
    <t>Purpose In the current business environment, no organization is assured of survival without continuous innovation. Employees' innovative behavior is critical to enhance the innovation of an organization. While most literature on innovative behavior has focused on employees in the private sector, the purpose of this paper is to explore the factors that affect innovative behaviors in the government sector. In particular, it examines how proactivity, leader-member exchange (LMX), and climate for innovation affect employees' innovative behavior in the Korean government sector, which is generally characterized as highly hierarchical, structured, and formalized. Design/methodology/approach The authors selected a sample of government employees in the Ministry of Education in Korea. Through the researchers' contacts, ten government agencies agreed to recruit their employees to participate in the study. Data from 1,011 respondents were analyzed in two steps using structural equation modeling. First, to examine the construct validity of the measures, the authors examined the measurement model using the confirmatory factor analysis. Second, the interrelationships among the four variables were assessed. The hypothesized structural model was examined and compared to several alternative models to explore the best model fit to the data. The authors then examined the regression coefficients to determine the hypothesized relationships in the final structured model. Findings The results revealed the following: proactivity and climate for innovation had positive relationships with innovative behavior; LMX had a positive relationship with proactivity although it did not have a direct relationship with innovative behavior; and organizational climate for innovation did not ensure proactivity of employees. Originality/value The antecedents included in this research have been studied in relation to innovative behavior in several studies, but studies have called for further study. Few studies have examined innovative behavior in the public sector and they have examined innovation in the public sector which has mostly been focused on environmental factors surrounding government organizations or policy choices of government leaders while ignoring the individual traits of public workers, relational dynamics among people, and the cultural aspects of the organizations. This study investigated the interrelationships among the antecedents in the process of impacting innovative behavior in the public sector in Korea. In addition, little research has examined the antecedents of innovative behavior together. This study expands our knowledge of the roles and interrelationships of proactivity, LMX, and organizational climate for innovation as they relate to innovative behavior.</t>
  </si>
  <si>
    <t>[Park, Sohee] Inje Univ, Sch Business Adm, Gimhae, South Korea; [Jo, Sung Jun] Gachon Univ, Coll Business Adm, Seongnam, South Korea</t>
  </si>
  <si>
    <t>Inje University; Gachon University</t>
  </si>
  <si>
    <t>Jo, SJ (corresponding author), Gachon Univ, Coll Business Adm, Seongnam, South Korea.</t>
  </si>
  <si>
    <t>sungguri@gachon.ac.kr</t>
  </si>
  <si>
    <t>0143-7739</t>
  </si>
  <si>
    <t>1472-5347</t>
  </si>
  <si>
    <t>LEADERSHIP ORG DEV J</t>
  </si>
  <si>
    <t>Leadersh. Org. Dev. J.</t>
  </si>
  <si>
    <t>10.1108/LODJ-09-2016-0216</t>
  </si>
  <si>
    <t>FX4XY</t>
  </si>
  <si>
    <t>WOS:000426083300009</t>
  </si>
  <si>
    <t>Escriba-Carda, N; Balbastre-Benavent, F; Canet-Giner, MT</t>
  </si>
  <si>
    <t>Escriba-Carda, Naiara; Balbastre-Benavent, Francisco; Canet-Giner, M. Teresa</t>
  </si>
  <si>
    <t>Employees' perceptions of high-performance work systems and innovative behaviour: The role of exploratory learning</t>
  </si>
  <si>
    <t>EUROPEAN MANAGEMENT JOURNAL</t>
  </si>
  <si>
    <t>High-performance work systems; Innovative behaviour; Exploratory learning; Partial least squares</t>
  </si>
  <si>
    <t>HUMAN-RESOURCE MANAGEMENT; PERCEIVED ORGANIZATIONAL SUPPORT; MEDIATING ROLE; KNOWLEDGE MANAGEMENT; FIRM PERFORMANCE; HRM; IMPACT; COMMITMENT; CREATIVITY; ATTITUDES</t>
  </si>
  <si>
    <t>This paper analyses the influence of employees' perceptions of high-performance work systems (HPWSs) on employees' exploratory learning and innovative behaviour. Furthermore, the mediating role of exploratory learning in this relationship has also been studied. To achieve these objectives, a quantitative analysis was conducted with a sample of 304 researchers from the Spanish public sector. Results showed the relevance of employees' perceptions of HPWSs in promoting exploratory learning and employees' innovative behaviour. The mediating role of exploratory learning in the relationship was assessed. The paper mentions the importance of workers' perceptions on the implementation of HPWSs and their impact on employees' behaviour. The paper also presents practical and theoretical implications. (C) 2016 Elsevier Ltd. All rights reserved.</t>
  </si>
  <si>
    <t>[Escriba-Carda, Naiara] ESIC Business &amp; Mkt Sch Valencia, Dept Business Adm, Avda Blasco Ibanez 55, Valencia 46021, Spain; [Balbastre-Benavent, Francisco; Canet-Giner, M. Teresa] Univ Valencia, Dept Business Adm, Fac Econ, Avda Tarongers S-N, Valencia 46022, Spain</t>
  </si>
  <si>
    <t>ESIC; ESIC Business &amp; Marketing School; University of Valencia</t>
  </si>
  <si>
    <t>Escriba-Carda, N (corresponding author), ESIC Business &amp; Mkt Sch Valencia, Dept Business Adm, Avda Blasco Ibanez 55, Valencia 46021, Spain.</t>
  </si>
  <si>
    <t>naiara.escriba@esic.edu</t>
  </si>
  <si>
    <t>Balbastre-Benavent, Francisco/M-9992-2017; Carda, Naiara Escriba/ABH-2168-2020; Giner, María Teresa Canet/O-5253-2017</t>
  </si>
  <si>
    <t>Balbastre-Benavent, Francisco/0000-0001-9549-2412; Carda, Naiara Escriba/0000-0002-3695-7424; Giner, María Teresa Canet/0000-0002-6896-3976</t>
  </si>
  <si>
    <t>University of Valencia [UV-INV-AE15-348043]; Ministry of Economy and Competitiveness [ECO2015-69316-R]</t>
  </si>
  <si>
    <t>University of Valencia; Ministry of Economy and Competitiveness</t>
  </si>
  <si>
    <t>This research has received financial support for the writing of the final version of the report from the University of Valencia (Special Research Action code: UV-INV-AE15-348043) as well as the Ministry of Economy and Competitiveness (Reference code: ECO2015-69316-R).</t>
  </si>
  <si>
    <t>0263-2373</t>
  </si>
  <si>
    <t>1873-5681</t>
  </si>
  <si>
    <t>EUR MANAG J</t>
  </si>
  <si>
    <t>Eur. Manag. J.</t>
  </si>
  <si>
    <t>10.1016/j.emj.2016.11.002</t>
  </si>
  <si>
    <t>ES9DC</t>
  </si>
  <si>
    <t>WOS:000399855300014</t>
  </si>
  <si>
    <t>Suarez, D</t>
  </si>
  <si>
    <t>Suarez, Diana</t>
  </si>
  <si>
    <t>Persistence of innovation in unstable environments: Continuity and change in the firm's innovative behavior</t>
  </si>
  <si>
    <t>Persistence of innovation; Unstable environments; Innovative behaviors</t>
  </si>
  <si>
    <t>The concept of persistence is generally used to define the positive relationship between past and present innovations, which is explained by feedback and accumulation processes triggered by the firm's past results. This paper states that changes in the economic or institutional conditions of the environment impact on the type of profitable innovations, and past innovations might not be suitable for the new environment. As a result, firm's innovative behavior might change, which means that the firm's set of decisions about engaging in the seek for innovations or not and, if so, the set of investments and capabilities it allocates to innovate could be modified. Empirical evidence is provided to reject the persistence hypothesis and to show that past innovations do not necessarily impact present ones. This paper examines the relationship between past and present innovations for a group of Argentinean firms during 1998-2006, which coincides with a period of macroeconomic instability. Results suggest that persistence has to be analyzed in terms of a dynamic firm's innovative behavior-regardless of its results-and how it allows the firm to accumulate competences and resources, which increases the odds of successfully responding to changes in the environment and continuing to innovate. (C) 2013 Elsevier B.V. All rights reserved.</t>
  </si>
  <si>
    <t>[Suarez, Diana] Aalborg Univ, Aalborg, Denmark; [Suarez, Diana] Gen Sarmiento Natl Univ, Buenos Aires, DF, Argentina</t>
  </si>
  <si>
    <t>Aalborg University</t>
  </si>
  <si>
    <t>Suarez, D (corresponding author), Gen Sarmiento Natl Univ, JM Gutierrez 1150,Los Polvorines CP1613GSX, Buenos Aires, DF, Argentina.</t>
  </si>
  <si>
    <t>dsuarez@ungs.edu.ar</t>
  </si>
  <si>
    <t>10.1016/j.respol.2013.10.002</t>
  </si>
  <si>
    <t>AE5CQ</t>
  </si>
  <si>
    <t>WOS:000334005800009</t>
  </si>
  <si>
    <t>Antonioli, D; Marzucchi, A; Montresor, S</t>
  </si>
  <si>
    <t>Antonioli, Davide; Marzucchi, Alberto; Montresor, Sandro</t>
  </si>
  <si>
    <t>Regional Innovation Policy and Innovative Behaviour: Looking for Additional Effects</t>
  </si>
  <si>
    <t>EUROPEAN PLANNING STUDIES</t>
  </si>
  <si>
    <t>RESEARCH-AND-DEVELOPMENT; PROPENSITY SCORE; LEARNING REGION; SYSTEMS; FIRMS; COOPERATION; SUBSIDIES</t>
  </si>
  <si>
    <t>This paper aims to evaluate the additionality of innovation policy in terms of innovative behaviours at the regional level. Innovative behaviours are identified both within and across firm and regional boundaries. The role of policy is evaluated for a sample of firms in the Italian region of Emilia-Romagna (ER), exploiting an original, survey-based data set. Propensity score matching is applied to investigate the effects of an innovation subsidy. Funded firms are found to be more likely to upgrade their competencies, compared with similar non-subsidized firms. On the other hand, in most cases, innovation cooperation with other business partners within or outside the region is not significantly affected by policy. Ultimately, the investigated innovation policy in the ER region seems to show what might be termed cognitive capacity additionality, rather than network additionality.</t>
  </si>
  <si>
    <t>[Antonioli, Davide] Univ Ferrara, Dept Econ Inst &amp; Terr, I-44100 Ferrara, Italy; [Antonioli, Davide] Univ Sussex, SPRU, Brighton, E Sussex, England; [Marzucchi, Alberto] Catholic Univ Milan, Fac Polit Sci, Milan, Italy; [Marzucchi, Alberto] Univ Politecn Valencia, INGENIO CSIC UPV, E-46071 Valencia, Spain; [Montresor, Sandro] European Commiss, JRC IPTS, Seville, Spain; [Montresor, Sandro] Univ Bologna, Dept Econ, I-40125 Bologna, Italy</t>
  </si>
  <si>
    <t>University of Ferrara; RLUK- Research Libraries UK; University of Sussex; Catholic University of the Sacred Heart; Consejo Superior de Investigaciones Cientificas (CSIC); Universitat Politecnica de Valencia; CSIC-UPV - Instituto de Gestion de la Innovacion y del Conocimiento (INGENIO); European Commission Joint Research Centre; University of Bologna</t>
  </si>
  <si>
    <t>Montresor, S (corresponding author), Univ Bologna, Dept Econ, Str Maggiore 45, I-40125 Bologna, Italy.</t>
  </si>
  <si>
    <t>sandro.montresor@unibo.it</t>
  </si>
  <si>
    <t>Montresor, Sandro/K-1833-2019</t>
  </si>
  <si>
    <t>Marzucchi, Alberto/0000-0002-4161-8734; montresor, sandro/0000-0002-1195-901X</t>
  </si>
  <si>
    <t>0965-4313</t>
  </si>
  <si>
    <t>1469-5944</t>
  </si>
  <si>
    <t>EUR PLAN STUD</t>
  </si>
  <si>
    <t>Eur. Plan. Stud.</t>
  </si>
  <si>
    <t>10.1080/09654313.2012.722977</t>
  </si>
  <si>
    <t>Environmental Studies; Geography; Regional &amp; Urban Planning; Urban Studies</t>
  </si>
  <si>
    <t>Environmental Sciences &amp; Ecology; Geography; Public Administration; Urban Studies</t>
  </si>
  <si>
    <t>287AG</t>
  </si>
  <si>
    <t>WOS:000329509800011</t>
  </si>
  <si>
    <t>Kessel, M; Hannemann-Weber, H; Kratzer, J</t>
  </si>
  <si>
    <t>Kessel, Maura; Hannemann-Weber, Henrike; Kratzer, Jan</t>
  </si>
  <si>
    <t>Innovative work behavior in healthcare: The benefit of operational guidelines in the treatment of rare diseases</t>
  </si>
  <si>
    <t>HEALTH POLICY</t>
  </si>
  <si>
    <t>Innovative work behavior; Flexibility in role ownership; Operational guidelines; Healthcare service; Rare diseases</t>
  </si>
  <si>
    <t>ORGANIZATIONAL INNOVATION; ABSORPTIVE-CAPACITY; PROACTIVE BEHAVIOR; JOB DEMANDS; KNOWLEDGE; DETERMINANTS; CREATIVITY; ADOPTION; MODEL; SATISFACTION</t>
  </si>
  <si>
    <t>Objectives: Innovative work behavior is a core demand of healthcare professionals who treat patients with rare diseases. In healthcare services, determinants of innovative work behavior are not completely detected. This paper focuses on how the existence of guidelines and the flexibility of healthcare professionals in taking on extra roles in the workplace enable innovative work behavior. Method: We used survey data from 160 healthcare professionals working in Germany in the field of rare diseases, including physicians, caregivers, and therapists. A mediation model was statistically tested using linear multiple regression analysis. Results: The existence of guidelines for operational processes contributes to innovative work behavior by integrating the stages of knowledge acquisition, idea generation, and solution implementation. Individuals' flexibility in their role ownership mediates this relationship. In addition, we found evidence that physicians are more active in acquiring knowledge, whereas nurses or therapists show more initiative in generating new ideas. Conclusion: Engaging in different roles enables healthcare professionals to demonstrate initiative for innovative work behavior aside from the completion of their daily tasks. The assumption of new roles may be encouraged by the creation of overall guidelines that raise awareness for the workers' need to take on extra tasks and innovative behavior. (C) 2012 Elsevier Ireland Ltd. All rights reserved.</t>
  </si>
  <si>
    <t>[Kessel, Maura; Hannemann-Weber, Henrike] Tech Univ Berlin, Chair Technol &amp; Innovat Management, D-10623 Berlin, Germany; [Kratzer, Jan] Tech Univ Berlin, Chair Entrepreneurship &amp; Innovat Management, D-10623 Berlin, Germany</t>
  </si>
  <si>
    <t>Technical University of Berlin; Technical University of Berlin</t>
  </si>
  <si>
    <t>Kessel, M (corresponding author), Tech Univ Berlin, Chair Technol &amp; Innovat Management, Str 17 Juni 135, D-10623 Berlin, Germany.</t>
  </si>
  <si>
    <t>maura.kessel@tu-berlin.de; henrike.hannemann-weber@tu-berlin.de; jan.kratzer@tu-berlin.de</t>
  </si>
  <si>
    <t>Kratzer, Jan/AAX-2463-2020</t>
  </si>
  <si>
    <t>Kratzer, Jan/0000-0002-5605-5938</t>
  </si>
  <si>
    <t>Federal Ministry for Research and Education in Germany [BMBF 01FG09008]</t>
  </si>
  <si>
    <t>Federal Ministry for Research and Education in Germany</t>
  </si>
  <si>
    <t>This study was supported by a research grant from the Federal Ministry for Research and Education in Germany (grant number: BMBF 01FG09008). The sponsor had no role in the study design, collection and analysis of data, the writing of the report or the submission of the paper for publication.</t>
  </si>
  <si>
    <t>ELSEVIER IRELAND LTD</t>
  </si>
  <si>
    <t>CLARE</t>
  </si>
  <si>
    <t>ELSEVIER HOUSE, BROOKVALE PLAZA, EAST PARK SHANNON, CO, CLARE, 00000, IRELAND</t>
  </si>
  <si>
    <t>0168-8510</t>
  </si>
  <si>
    <t>1872-6054</t>
  </si>
  <si>
    <t>Health Policy</t>
  </si>
  <si>
    <t>2-3</t>
  </si>
  <si>
    <t>10.1016/j.healthpol.2012.02.010</t>
  </si>
  <si>
    <t>Health Care Sciences &amp; Services; Health Policy &amp; Services</t>
  </si>
  <si>
    <t>Health Care Sciences &amp; Services</t>
  </si>
  <si>
    <t>937AY</t>
  </si>
  <si>
    <t>WOS:000303632600006</t>
  </si>
  <si>
    <t>Stenholm, P</t>
  </si>
  <si>
    <t>Stenholm, Pekka</t>
  </si>
  <si>
    <t>Innovative Behavior as a Moderator of Growth Intentions</t>
  </si>
  <si>
    <t>SMALL BUSINESS PERFORMANCE; ENTREPRENEURIAL ORIENTATION; PRODUCT INNOVATIVENESS; MARKET ORIENTATION; ORGANIZATIONAL INNOVATION; FIRM PERFORMANCE; UNITED-STATES; DETERMINANTS; OPPORTUNITY; RESOURCES</t>
  </si>
  <si>
    <t>Although several studies suggest that both growth intentions and innovative behavior have positive effects on firm growth, little is known about how innovative behavior interacts with the intentions and the growth. This study examines its role in this relationship. Longitudinal data composed of 232 observations show that the innovative behavior itself has a positive effect on firm growth. However, innovative behavior negatively moderates the effect of growth intentions on growth. Of the analyzed dimensions of such behavior, the launching of new products and services, in particular, impedes the chances of realizing the growth intentions. In conclusion, the identified moderating effect of innovative behavior gives a new insight into existing knowledge on the effect of growth intentions on firm growth.</t>
  </si>
  <si>
    <t>Univ Turku, Turku Sch Econ, TSE Entre, FI-20500 Turku, Finland</t>
  </si>
  <si>
    <t>University of Turku</t>
  </si>
  <si>
    <t>Stenholm, P (corresponding author), Univ Turku, Turku Sch Econ, TSE Entre, FI-20500 Turku, Finland.</t>
  </si>
  <si>
    <t>pekka.stenholm@tse.fi</t>
  </si>
  <si>
    <t>Stenholm, Pekka/J-3590-2013</t>
  </si>
  <si>
    <t>Stenholm, Pekka/0000-0003-1507-3109</t>
  </si>
  <si>
    <t>10.1111/j.1540-627X.2011.00323.x</t>
  </si>
  <si>
    <t>741ZD</t>
  </si>
  <si>
    <t>WOS:000288906600005</t>
  </si>
  <si>
    <t>Battistelli, A; Odoardi, C; Vandenberghe, C; Di Napoli, G; Piccione, L</t>
  </si>
  <si>
    <t>Battistelli, Adalgisa; Odoardi, C.; Vandenberghe, C.; Di Napoli, G.; Piccione, L.</t>
  </si>
  <si>
    <t>Information sharing and innovative work behavior: The role of work-based learning, challenging tasks, and organizational commitment</t>
  </si>
  <si>
    <t>HUMAN RESOURCE DEVELOPMENT QUARTERLY</t>
  </si>
  <si>
    <t>challenging tasks; information sharing; innovative work behavior; military organizations; organizational commitment; work-based learning</t>
  </si>
  <si>
    <t>HUMAN-RESOURCE MANAGEMENT; MEDIATING ROLE; MANAGERIAL PRACTICES; GENDER-DIFFERENCES; SELF-EFFICACY; JOB DEMANDS; PERFORMANCE; IMPACT; MOTIVATION; EMPLOYEES</t>
  </si>
  <si>
    <t>The present study examines a model linking perceived information sharing as a Human Resource Management practice to employee innovative work behavior, using survey data collected from 756 employees of a military organization. Work-based learning, challenging tasks, and organizational commitment were used as factors that could account for the relationship between information sharing and innovative behavior. Using structural equation modeling, findings indicated that information sharing had a positive relationship with task-related and interactional dimensions of work-based learning. Task-related learning had a positive relationship with innovative behavior through challenging tasks while interactional learning had an indirect, positive relationship to innovative behavior via organizational commitment and challenging tasks. This article contributes to extend knowledge about the role of information sharing and work-based learning in innovative work behavior. It also breaks new ground by uncovering potential antecedents of innovative behavior in military organizations.</t>
  </si>
  <si>
    <t>[Battistelli, Adalgisa] Univ Bordeaux, Dept Psychol EA4139, 3 Ter,Pl Victoire, F-33076 Bordeaux, France; [Odoardi, C.] Univ Florence, Dept Educ &amp; Psychol, Florence, Italy; [Vandenberghe, C.] HEC Montreal, Montreal, PQ, Canada; [Di Napoli, G.; Piccione, L.] Italian Air Force, Rome, Italy</t>
  </si>
  <si>
    <t>UDICE-French Research Universities; Universite de Bordeaux; University of Florence; Universite de Montreal; HEC Montreal</t>
  </si>
  <si>
    <t>Battistelli, A (corresponding author), Univ Bordeaux, Dept Psychol EA4139, 3 Ter,Pl Victoire, F-33076 Bordeaux, France.</t>
  </si>
  <si>
    <t>adalgisa.battistelli@u-bordeaux.fr</t>
  </si>
  <si>
    <t>Battistelli, Adalgisa/0000-0002-4913-6609</t>
  </si>
  <si>
    <t>1044-8004</t>
  </si>
  <si>
    <t>1532-1096</t>
  </si>
  <si>
    <t>HUM RESOUR DEV Q</t>
  </si>
  <si>
    <t>Hum. Resour. Dev. Q.</t>
  </si>
  <si>
    <t>10.1002/hrdq.21344</t>
  </si>
  <si>
    <t>IY0BB</t>
  </si>
  <si>
    <t>WOS:000486054700005</t>
  </si>
  <si>
    <t>Eva, N; Meacham, H; Newman, A; Schwarz, G; Tham, TL</t>
  </si>
  <si>
    <t>Eva, Nathan; Meacham, Hannah; Newman, Alexander; Schwarz, Gary; Tham, Tse Leng</t>
  </si>
  <si>
    <t>Is coworker feedback more important than supervisor feedback for increasing innovative behavior?</t>
  </si>
  <si>
    <t>coworker feedback; innovative behavior; psychological contract breach; supervisor feedback; work engagement</t>
  </si>
  <si>
    <t>PSYCHOLOGICAL CONTRACT BREACH; HUMAN-RESOURCE MANAGEMENT; PERFORMANCE MANAGEMENT; ORGANIZATIONAL COMMITMENT; DEVELOPMENTAL FEEDBACK; TALENT MANAGEMENT; WORK ENGAGEMENT; MODERATING ROLE; JOB; IMPACT</t>
  </si>
  <si>
    <t>A growing body of research explores human resource management practices that encourage employees to innovate. In this study, we examine the links between different sources of feedback (supervisor and coworker) and employees' innovative behavior. Drawing on social exchange theory and the job demands-resources theory, we first propose that work engagement and psychological contract breach mediate the relationship between supervisor feedback and employees' innovative behavior. Second, we propose a moderated mediation model in which coworker feedback attenuates the relationships between supervisor feedback and employees' innovative behavior through the mediating mechanisms of both work engagement and psychological contract breach. Using three waves of multisource data from 300 Chinese employees and their 64 supervisors, we found a dual-mediation pathway by which employees' work engagement and perceptions of psychological contract breach mediate the influence of supervisor feedback on innovative behavior. Our results also show that coworker feedback can be used to supplement the lack of supervisor feedback when required. Organizations are advised to ensure that employees obtain regular feedback from multiple sources because such feedback can promote employees' work engagement and perceptions that the organization is upholding its side of the psychological contract, which fosters employees' innovative behavior.</t>
  </si>
  <si>
    <t>[Eva, Nathan; Meacham, Hannah] Monash Business Sch, Dept Management, Caulfield, Vic, Australia; [Newman, Alexander] Deakin Univ, Deakin Business Sch, Burwood, NSW, Australia; [Schwarz, Gary] SOAS Univ London, Sch Finance &amp; Management, London, England; [Tham, Tse Leng] RMIT Univ, Coll Business, Melbourne, Vic, Australia</t>
  </si>
  <si>
    <t>Deakin University; RLUK- Research Libraries UK; University of London; University of London School Oriental &amp; African Studies (SOAS); Royal Melbourne Institute of Technology (RMIT)</t>
  </si>
  <si>
    <t>Schwarz, G (corresponding author), SOAS Univ London, Sch Finance &amp; Management, London, England.</t>
  </si>
  <si>
    <t>gary.schwarz@soas.ac.uk</t>
  </si>
  <si>
    <t>Eva, Nathan/AAJ-1940-2021; Schwarz, Gary/ABH-3814-2020; Eva, Nathan/G-5454-2015; Newman, Alexander/AAH-7376-2020</t>
  </si>
  <si>
    <t>Eva, Nathan/0000-0003-2735-977X; Eva, Nathan/0000-0003-2735-977X; Newman, Alexander/0000-0003-1170-8947; Schwarz, Gary/0000-0001-6297-3156; Tham, Tse Leng/0000-0003-1729-823X; Meacham, Hannah/0000-0002-4695-6281</t>
  </si>
  <si>
    <t>10.1002/hrm.21960</t>
  </si>
  <si>
    <t>IG1OG</t>
  </si>
  <si>
    <t>WOS:000473560300004</t>
  </si>
  <si>
    <t>Wang, YX; Yang, YJ; Wang, Y; Su, D; Li, SW; Zhang, T; Li, HP</t>
  </si>
  <si>
    <t>Wang, Yi-Xuan; Yang, Ya-Juan; Wang, Ying; Su, Dan; Li, Shu-Weng; Zhang, Ting; Li, Hui-Ping</t>
  </si>
  <si>
    <t>The mediating role of inclusive leadership: Work engagement and innovative behaviour among Chinese head nurses</t>
  </si>
  <si>
    <t>JOURNAL OF NURSING MANAGEMENT</t>
  </si>
  <si>
    <t>China; head nurses; inclusive leadership; innovative behaviour; work engagement</t>
  </si>
  <si>
    <t>ENVIRONMENT; SEEKING; IMPACT</t>
  </si>
  <si>
    <t>Aim This study investigated the relationship between work engagement and inclusive leadership in Chinese hospital head nurses. Besides, it explored the effect of the mediating role of inclusive leadership in the relationship between work engagement and innovative behaviour among Chinese hospital head nurses. Background Head nurses are essential in the group of registered nurses who are to pass the Chinese licensure examination for nurses. Their work engagement and innovative behaviour are beneficial to improve the quality, efficiency and competitiveness of nursing services. However, little is known about the mediating role of inclusive leadership in the relationship between work engagement and innovative behaviour. Methods In April 2018, a total of 374 Chinese head nurses were surveyed with a Work Engagement Scale, an Inclusive Leadership Scale and an Innovative Behavior Scale. Because the data were normally distributed in our study, Pearson's correlation coefficient (r) was used to conduct the correlation analysis of study variables. Multiple linear regression analysis was used to explore the factors of innovative behaviour. Model 4 of Hayes's (2013) PROCESS macro and Bootstrap method was used to examine the mediating role of inclusive leadership. Result Inclusive leadership was significantly and positively correlated to innovative behaviour and work engagement (p &lt; 0.01). Moreover, work engagement was correlated with innovative behaviour (p &lt; 0.01). In addition, hospital level, publishing papers, work engagement and inclusive leadership were the factors of head nurses' innovative behaviour (p &lt; 0.01). Inclusive leadership partially mediated the relationship between work engagement and innovative behaviour, accordingly. Conclusion Work engagement affects innovative behaviour among Chinese head nurses, and inclusive leadership is a mediator in the relationship. We should take measures to improve the leaders' level of inclusive leadership, in order to strengthen head nurses' innovative behaviour. Implications for nursing management According to the results of the study, the leaders of head nurses should pay attention to improve head nurses' innovative behaviour, inclusive leadership, work engagement, and the quality and competitiveness of nursing.</t>
  </si>
  <si>
    <t>[Wang, Yi-Xuan; Yang, Ya-Juan; Su, Dan; Li, Shu-Weng; Zhang, Ting; Li, Hui-Ping] Anhui Med Univ, Sch Nursing, Hefei, Anhui, Peoples R China; [Wang, Ying] Univ Sci &amp; Technol China, Affiliated Hosp 1, Hefei, Anhui, Peoples R China</t>
  </si>
  <si>
    <t>Anhui Medical University; Chinese Academy of Sciences; University of Science &amp; Technology of China, CAS</t>
  </si>
  <si>
    <t>Li, HP (corresponding author), Anhui Med Univ, Sch Nursing, Hefei, Anhui, Peoples R China.</t>
  </si>
  <si>
    <t>hulihuizi@163.com</t>
  </si>
  <si>
    <t>Wang, Yixuan/GZK-6559-2022; wang, ya/HQZ-7558-2023; wang, yixuan/GXW-2866-2022; su, dan/GYJ-1940-2022; wang, yiran/IAP-0414-2023; Wang, Yijun/GXW-1763-2022; Wang, Yin/HCI-9352-2022; wang, yi/GVT-8516-2022</t>
  </si>
  <si>
    <t>Major Teaching Reform Research Project of Anhui Province [2015zdjy052]</t>
  </si>
  <si>
    <t>Major Teaching Reform Research Project of Anhui Province</t>
  </si>
  <si>
    <t>The study was funded by Major Teaching Reform Research Project of Anhui Province (2015zdjy052).</t>
  </si>
  <si>
    <t>0966-0429</t>
  </si>
  <si>
    <t>1365-2834</t>
  </si>
  <si>
    <t>J NURS MANAGE</t>
  </si>
  <si>
    <t>J. Nurs. Manag.</t>
  </si>
  <si>
    <t>10.1111/jonm.12754</t>
  </si>
  <si>
    <t>Management; Nursing</t>
  </si>
  <si>
    <t>Business &amp; Economics; Nursing</t>
  </si>
  <si>
    <t>HY1BU</t>
  </si>
  <si>
    <t>WOS:000467849600003</t>
  </si>
  <si>
    <t>Qu, RJ; Janssen, O; Shi, K</t>
  </si>
  <si>
    <t>Qu, Rujie; Janssen, Onne; Shi, Kan</t>
  </si>
  <si>
    <t>Leader-member exchange and follower creativity: the moderating roles of leader and follower expectations for creativity</t>
  </si>
  <si>
    <t>Follower creativity; follower self-expectations for creativity; leader creativity expectations; leader-member exchange</t>
  </si>
  <si>
    <t>ORGANIZATIONAL CITIZENSHIP BEHAVIOR; VERTICAL DYAD LINKAGE; EMPLOYEE CREATIVITY; TRANSFORMATIONAL LEADERSHIP; INNOVATIVE BEHAVIOR; VALUE CONGRUENCE; SELF-EFFICACY; EXPLICIT KNOWLEDGE; CONTEXTUAL FACTORS; WORK-ENVIRONMENT</t>
  </si>
  <si>
    <t>We examined leader and follower expectations for creativity as moderators in the relationship between leader-member exchange (LMX) and follower creativity. The results of a survey among 193 leader-follower dyads from two high-tech companies in mainland China show that LMX positively relates to follower creativity, and that leader and follower expectations for creativity moderate this relationship. Specifically, the relationship between LMX and follower creativity is positive and significant when either leaders or followers, or both leaders and followers, set high rather than low expectations for creativity, with the highest level of follower creativity observed when leaders and followers congruently hold high creativity expectations. In contrast, the LMX-follower creativity relationship is blurred when leaders and followers congruently hold low expectations for creativity. We discuss the relevance of these results from theoretical and professional perspectives.</t>
  </si>
  <si>
    <t>[Qu, Rujie; Shi, Kan] Univ Chinese Acad Sci, Sch Management, Beijing, Peoples R China; [Janssen, Onne] Univ Groningen, Fac Econ &amp; Business, Groningen, Netherlands; [Qu, Rujie] East China Normal Univ, Sch Publ Adm, Shanghai, Peoples R China</t>
  </si>
  <si>
    <t>Chinese Academy of Sciences; University of Chinese Academy of Sciences, CAS; University of Groningen; East China Normal University</t>
  </si>
  <si>
    <t>Qu, RJ (corresponding author), Univ Chinese Acad Sci, Sch Management, Beijing, Peoples R China.;Qu, RJ (corresponding author), East China Normal Univ, Sch Publ Adm, Shanghai, Peoples R China.</t>
  </si>
  <si>
    <t>qurjivy@163.com</t>
  </si>
  <si>
    <t>National Natural Science Foundation of China [71102162, 71101148]; National Social Science Foundation of China [13ZD155]</t>
  </si>
  <si>
    <t>National Natural Science Foundation of China(National Natural Science Foundation of China (NSFC)); National Social Science Foundation of China</t>
  </si>
  <si>
    <t>This work was supported by the National Natural Science Foundation of China [grant number 71102162], [grant number 71101148]; the National Social Science Foundation of China [grant number 13&amp;ZD155].</t>
  </si>
  <si>
    <t>10.1080/09585192.2015.1105843</t>
  </si>
  <si>
    <t>EO6GM</t>
  </si>
  <si>
    <t>WOS:000396790200003</t>
  </si>
  <si>
    <t>Chen, TT; Leung, K; Li, FL; Ou, ZY</t>
  </si>
  <si>
    <t>Chen, Tingting; Leung, Kwok; Li, Fuli; Ou, Zhanying</t>
  </si>
  <si>
    <t>Interpersonal harmony and creativity in China</t>
  </si>
  <si>
    <t>harmony motives; creative effort; creativity; reward for creativity</t>
  </si>
  <si>
    <t>ASIAN CULTURE CONFUCIANISM; EMPLOYEE CREATIVITY; INNOVATIVE BEHAVIOR; MODERATED MEDIATION; SOCIAL NETWORKS; CONFLICT; PERFORMANCE; MOTIVES; WORK; COLLECTIVISM</t>
  </si>
  <si>
    <t>This research examined the influence of interpersonal harmony on employee creativity in China. The dualistic model of harmony differentiates harmony enhancement, a genuine desire for a harmonious and mutually beneficial interpersonal relationship, from disintegration avoidance, a tendency to avoid the disruption of an interpersonal relationship to protect self-interest. A survey in China showed that the harmony enhancement motive had a positive relationship, and the disintegration avoidance motive had a negative relationship, with creativity mediated by creative effort. Reward for creativity showed different moderating effects on the two mediated relationships, such that it mitigated the positive relationship between harmony enhancement and creativity mediated by creative effort, and buffered the negative relationship between disintegration avoidance and creativity mediated by creative effort. We replicated some major findings with a multi-wave survey study and provided direct evidence for the underlying mechanisms that account for the opposite relationships between the two harmony motives and creative effort. Copyright (c) 2015 John Wiley &amp; Sons, Ltd.</t>
  </si>
  <si>
    <t>[Chen, Tingting] Lingnan Univ, Dept Management, Tuen Mun, Hong Kong, Peoples R China; [Leung, Kwok] Chinese Univ Hong Kong, Dept Management, Shatin, Hong Kong, Peoples R China; [Li, Fuli] Xi An Jiao Tong Univ, Sch Management, Xian 710049, Shaanxi, Peoples R China; [Ou, Zhanying] Guangzhou Univ, Sch Business Adm, Guangzhou, Guangdong, Peoples R China</t>
  </si>
  <si>
    <t>Lingnan University; Chinese University of Hong Kong; Xi'an Jiaotong University; Guangzhou University</t>
  </si>
  <si>
    <t>Ou, ZY (corresponding author), Guangzhou Higher Educ Mega Ctr, 230 Wai Huan Xi Rd, Guangzhou 510006, Guangdong, Peoples R China.</t>
  </si>
  <si>
    <t>fuli@mail.xjtu.edu.cn; zhyou@gzhu.edu.cn</t>
  </si>
  <si>
    <t>10.1002/job.2001</t>
  </si>
  <si>
    <t>CM2PW</t>
  </si>
  <si>
    <t>WOS:000357524800004</t>
  </si>
  <si>
    <t>Wojtczuk-Turek, A; Turek, D</t>
  </si>
  <si>
    <t>Wojtczuk-Turek, Agnieszka; Turek, Dariusz</t>
  </si>
  <si>
    <t>Innovative behaviour in the workplace The role of HR flexibility, individual flexibility and psychological capital: the case of Poland</t>
  </si>
  <si>
    <t>EUROPEAN JOURNAL OF INNOVATION MANAGEMENT</t>
  </si>
  <si>
    <t>Psychological capital; HR flexibility; Individual flexibility; Innovative behaviour</t>
  </si>
  <si>
    <t>CREATIVE SELF-EFFICACY; PERSON-ORGANIZATION; EMPLOYEE CREATIVITY; LABOR FLEXIBILITY; METHOD VARIANCE; MEDIATING ROLE; WORK; PERFORMANCE; PERCEPTIONS; LEADERSHIP</t>
  </si>
  <si>
    <t>Purpose - The purpose of this paper is to describe and explain the manner in which HR system's flexibility, in combination with employees' individual flexibility (IF) and their positive character traits, such as: optimism, hope, resistance or self-efficacy (which comprise psychological capital (PsychCap)), allow to predict employees' readiness to display innovative behaviors in the workplace. Design/methodology/approach - A quantitative research methodology was adopted which resulted in the development of a both self-administered online survey instrument (n = 166) and employees students in the postgraduate program at the Warsaw School of Economics (n = 70). Using a national database of service companies, a random sample of 700 e-mail addresses was generated and respondents were invited to participate in the online survey. This resulted in the completion of 166 online surveys, representing a response rate of 26 percent. The second group of respondents consisted of 70 employees from different organizations in Poland. Findings - On the basis of the analyses it was shown that HR flexibility (HRF) and IF are a generally weak predictor of innovative behaviors. However, in a situation when PsychCap is set to be a mediator, these variables allow to predict innovative work behavior. Originality/value - Research on the relation of HRF to innovative behaviors has not been sufficiently clarified so far. The achieved results shed new light on the relations of these two variables and indicate that HRF does not translate directly into behaviors of the personnel. However, it should be noted that the relationship of these variables are of indirect nature.</t>
  </si>
  <si>
    <t>[Wojtczuk-Turek, Agnieszka] Warsaw Sch Econ, Dept Human Capital Dev, Warsaw, Poland; [Turek, Dariusz] Warsaw Sch Econ, Inst Enterprise, Warsaw, Poland</t>
  </si>
  <si>
    <t>Warsaw School of Economics; Warsaw School of Economics</t>
  </si>
  <si>
    <t>Turek, D (corresponding author), Warsaw Sch Econ, Inst Enterprise, Warsaw, Poland.</t>
  </si>
  <si>
    <t>dturek@sgh.waw.pl</t>
  </si>
  <si>
    <t>Turek, Dariusz/AAN-8115-2020</t>
  </si>
  <si>
    <t>Turek, Dariusz/0000-0002-0084-3396</t>
  </si>
  <si>
    <t>1460-1060</t>
  </si>
  <si>
    <t>1758-7115</t>
  </si>
  <si>
    <t>EUR J INNOV MANAG</t>
  </si>
  <si>
    <t>Eur. J. Innov. Manag.</t>
  </si>
  <si>
    <t>10.1108/EJIM-03-2014-0027</t>
  </si>
  <si>
    <t>V79IN</t>
  </si>
  <si>
    <t>WOS:000212108800006</t>
  </si>
  <si>
    <t>Conceicao, O; Fontes, M; Calapez, T</t>
  </si>
  <si>
    <t>Conceicao, Oscarina; Fontes, Margarida; Calapez, Teresa</t>
  </si>
  <si>
    <t>The commercialisation decisions of research-based spin-off: Targeting the market for technologies</t>
  </si>
  <si>
    <t>Research-based entrepreneurship; Commercialisation strategy; Markets for technology; Determinants of strategic choice</t>
  </si>
  <si>
    <t>START-UPS; COMPLEMENTARY ASSETS; FIRMS; INNOVATION; DYNAMICS; INDUSTRY; PERFORMANCE; STRATEGIES; KNOWLEDGE; REGIMES</t>
  </si>
  <si>
    <t>This paper addresses the commercialisation decisions of research-based spin-off firms (RBSOs), focusing on the case of companies specialising in the production and sale of intellectual property a model of entrepreneurial behaviour increasingly frequent in science-based fields and that research-based spin-offs may be more prone to adopt, given their specific characteristics. Combining insights from the economics of technological change and the strategic management of technology literature, we discuss the conditions that can influence firms' ability to operate in the market for technology, and advance some theory-driven hypotheses regarding key factors that are likely to determine it - nature of knowledge being exploited, appropriability conditions, location and degree of control upon complementary assets and institutional setting of origin - as well as their impact upon firms' decisions. These hypotheses are tested on a group of 80 European RBSOs, using data collected specifically for this purpose, on the basis of questionnaire-based interviews. This research adds to recent work on the determinants of the commercialisation strategy of technology-based SMEs, but by focusing on a particular group of companies - the RBSOs - we also take into consideration some distinctive characteristics of this group, which introduce some specificity in their innovative behaviour. (C) 2011 Elsevier Ltd. All rights reserved.</t>
  </si>
  <si>
    <t>[Conceicao, Oscarina] Univ Minho, P-4719 Braga, Portugal; [Conceicao, Oscarina; Fontes, Margarida] DINAMIA CET, Lisbon, Portugal; [Fontes, Margarida] LNEG, Lisbon, Portugal; [Calapez, Teresa] UNIDE, ISCTE IUL, Lisbon, Portugal</t>
  </si>
  <si>
    <t>Universidade do Minho; Laboratorio Nacional de Energia e Geologia IP (LNEG); Instituto Universitario de Lisboa</t>
  </si>
  <si>
    <t>Conceicao, O (corresponding author), Univ Minho, P-4719 Braga, Portugal.</t>
  </si>
  <si>
    <t>oscarina.conceicao@gmail.com</t>
  </si>
  <si>
    <t>LNEG, UMOSE/C-1701-2010; Fontes, Margarida/D-4907-2011; Calapez, Maria Teresa D/A-3112-2013</t>
  </si>
  <si>
    <t>Fontes, Margarida/0000-0002-2198-2061; Calapez, Maria Teresa D/0000-0002-8584-2906; Conceicao, Oscarina/0000-0001-8072-8250</t>
  </si>
  <si>
    <t>PICO (Academic entrepreneurship, from knowledge creation to knowledge diffusion) [028928]; European Commission</t>
  </si>
  <si>
    <t>PICO (Academic entrepreneurship, from knowledge creation to knowledge diffusion); European Commission(European CommissionEuropean Commission Joint Research Centre)</t>
  </si>
  <si>
    <t>Support from the PICO project (Academic entrepreneurship, from knowledge creation to knowledge diffusion, contract no 028928) sponsored by the Sixth Framework Programme of the European Commission is gratefully acknowledged. The authors are grateful for the helpful suggestions and comments of the editor and two anonymous referees of this journal. All errors and omissions remain our responsibility.</t>
  </si>
  <si>
    <t>1879-2383</t>
  </si>
  <si>
    <t>10.1016/j.technovation.2011.07.009</t>
  </si>
  <si>
    <t>873UR</t>
  </si>
  <si>
    <t>WOS:000298909000006</t>
  </si>
  <si>
    <t>Hjalager, AM</t>
  </si>
  <si>
    <t>Hjalager, Anne-Mette</t>
  </si>
  <si>
    <t>Cultural Tourism Innovation Systems - The Roskilde Festival</t>
  </si>
  <si>
    <t>SCANDINAVIAN JOURNAL OF HOSPITALITY AND TOURISM</t>
  </si>
  <si>
    <t>Roskilde Festival; innovation system; tourism spin-offs; policy</t>
  </si>
  <si>
    <t>NETWORKS</t>
  </si>
  <si>
    <t>It is only recently that the innovation systems approach has become a framework for micro-economic research in new institutional economics in tourism-related businesses and activities. There is still much to be explored. Cultural tourism phenomena constitute noteworthy objects for illustrative case studies, embedded as they are in business as well as maintaining relations with public governance structures and voluntary organizations. Since 1971, Roskilde Festival (Denmark) has developed its role as a leading element in an emerging cultural innovation system. Festival organizers maintain long-term, dense and multifaceted relations. Funds from the (non-profit) festival are efficiently channelled into cultural and sports facilities, enhancing the attractiveness of the region. To keep ahead in the festival market, innovators in the field of managerial systems, technologies and services are deliberately invited to use the grounds as test benches for new ideas. The concept of innovation systems allows for a better understanding of the complex driving forces and mechanisms that mediate the conditions, the extent and the outcomes of innovative behaviour. Roskilde is a not static event. Since 2001 especially, wider ranging organizational structures have been constructed and politically enforced with the aim of nurturing spin-offs, and including strong representation within the educational and research sectors.</t>
  </si>
  <si>
    <t>Univ So Denmark, DK-6700 Esbjerg, Denmark</t>
  </si>
  <si>
    <t>Hjalager, AM (corresponding author), Univ So Denmark, Niels Bohrsvej 9, DK-6700 Esbjerg, Denmark.</t>
  </si>
  <si>
    <t>hjalager@advance1.dk</t>
  </si>
  <si>
    <t>Hjalager, Anne-Mette/J-5454-2017</t>
  </si>
  <si>
    <t>Hjalager, Anne-Mette/0000-0001-5648-4401</t>
  </si>
  <si>
    <t>1502-2250</t>
  </si>
  <si>
    <t>1502-2269</t>
  </si>
  <si>
    <t>SCAND J HOSP TOUR</t>
  </si>
  <si>
    <t>Scand. J. Hosp. Tour.</t>
  </si>
  <si>
    <t>10.1080/15022250903034406</t>
  </si>
  <si>
    <t>Hospitality, Leisure, Sport &amp; Tourism; Sociology</t>
  </si>
  <si>
    <t>Social Sciences - Other Topics; Sociology</t>
  </si>
  <si>
    <t>523QL</t>
  </si>
  <si>
    <t>WOS:000272089300009</t>
  </si>
  <si>
    <t>Moser, KJ; Tumasjan, A; Welpe, IM</t>
  </si>
  <si>
    <t>Moser, Kilian J.; Tumasjan, Andranik; Welpe, Isabell M.</t>
  </si>
  <si>
    <t>Small but attractive: Dimensions of new venture employer attractiveness and the moderating role of applicants' entrepreneurial behaviors</t>
  </si>
  <si>
    <t>Recruitment; New ventures; Organizational attractiveness; Anticipatory psychological contract; Legitimacy; Legitimate distinctiveness</t>
  </si>
  <si>
    <t>PERSON-ORGANIZATION FIT; INNOVATIVE BEHAVIOR; JOB CHOICE; CAREER; WORK; PERFORMANCE; RESOURCES; BUSINESS; ORIENTATION; LEGITIMACY</t>
  </si>
  <si>
    <t>Operating under high levels of uncertainty and limited public recognition, one of the most significant challenges for new ventures is attracting qualified employees. Building on the concept of legitimate distinctiveness, our study investigates how recruitment-related heterogeneous and homogeneous entrepreneurial identity claims influence applicants' judgments of new ventures' employer attractiveness. We combine anticipatory psychological contract theory and legitimacy theory to build theory about the way applicants evaluate new venture employer attractiveness. Using a metric conjoint experiment, we study 9,824 employer attractiveness judgments made by 307 job seekers. Our multi-level approach also yields cross-level interaction effects of job applicants' innovative behavior, which offer novel insights into which new venture employment dimensions specifically attract entrepreneurially-minded potential employees. We derive implications for new venture recruitment theory and offer practical implications for startup staffing. (C) 2017 The Authors. Published by Elsevier Inc.</t>
  </si>
  <si>
    <t>[Moser, Kilian J.] Tech Univ Munich, Ctr Digital Technol &amp; Management, Arcisstr 21, D-80333 Munich, Germany; [Moser, Kilian J.; Tumasjan, Andranik; Welpe, Isabell M.] Tech Univ Munich, Chair Strategy &amp; Org, Arcisstr 21, D-80333 Munich, Germany</t>
  </si>
  <si>
    <t>Technical University of Munich; Technical University of Munich</t>
  </si>
  <si>
    <t>Moser, KJ (corresponding author), Tech Univ Munich, Chair Strategy &amp; Org, Arcisstr 21, D-80333 Munich, Germany.</t>
  </si>
  <si>
    <t>moser@cdtm.de; andranik.tumasjan@tum.de; welpe@tum.de</t>
  </si>
  <si>
    <t>10.1016/j.jbusvent.2017.05.001</t>
  </si>
  <si>
    <t>FG3CC</t>
  </si>
  <si>
    <t>WOS:000410013400008</t>
  </si>
  <si>
    <t>Giebels, E; de Reuver, RSM; Rispens, S; Ufkes, EG</t>
  </si>
  <si>
    <t>Giebels, Ellen; de Reuver, Renee S. M.; Rispens, Sonja; Ufkes, Elze G.</t>
  </si>
  <si>
    <t>The Critical Roles of Task Conflict and Job Autonomy in the Relationship Between Proactive Personalities and Innovative Employee Behavior</t>
  </si>
  <si>
    <t>JOURNAL OF APPLIED BEHAVIORAL SCIENCE</t>
  </si>
  <si>
    <t>conflict; innovation; proactivity; task autonomy</t>
  </si>
  <si>
    <t>INTRAGROUP CONFLICT; ORGANIZATIONAL RESEARCH; GROUP DIVERSITY; WORK; PERFORMANCE; PREDICTORS; MEDIATION; ANTECEDENTS; CREATIVITY; MANAGEMENT</t>
  </si>
  <si>
    <t>We examine why and when proactive personality is beneficial for innovative behavior at work. Based on a survey among 166 employees working in 35 departments of a large municipality in the Netherlands we show that an increase in task conflicts explains the positive relation between a proactive personality and innovative employee behavior. This process is moderated by job autonomy in such a way that the relationship between proactive personality and task conflict is particularly strong under low compared with high autonomy. The present research contributes to the discussion on the potential benefits of task conflict for change processes and highlights the importance of examining the interplay between personality and work context for understanding innovation practices.</t>
  </si>
  <si>
    <t>[Giebels, Ellen; Ufkes, Elze G.] Univ Twente, Enschede, Netherlands; [de Reuver, Renee S. M.] Tilburg Univ, Tilburg, Netherlands; [Rispens, Sonja] Eindhoven Univ Technol, Eindhoven, Netherlands</t>
  </si>
  <si>
    <t>University of Twente; Tilburg University; Eindhoven University of Technology</t>
  </si>
  <si>
    <t>Giebels, E (corresponding author), Univ Twente, Dept Psychol Conflict Risk &amp; Safety, POB 217, NL-7500 AE Enschede, Netherlands.</t>
  </si>
  <si>
    <t>e.giebels@utwente.nl</t>
  </si>
  <si>
    <t>Ufkes, Elze/G-2264-2015</t>
  </si>
  <si>
    <t>Ufkes, Elze/0000-0002-9568-6310</t>
  </si>
  <si>
    <t>0021-8863</t>
  </si>
  <si>
    <t>1552-6879</t>
  </si>
  <si>
    <t>J APPL BEHAV SCI</t>
  </si>
  <si>
    <t>J. Appl. Bahav. Sci.</t>
  </si>
  <si>
    <t>10.1177/0021886316648774</t>
  </si>
  <si>
    <t>Behavioral Sciences; Psychology, Applied; Management; Psychology, Experimental</t>
  </si>
  <si>
    <t>Behavioral Sciences; Psychology; Business &amp; Economics</t>
  </si>
  <si>
    <t>DU4WP</t>
  </si>
  <si>
    <t>Green Published, hybrid</t>
  </si>
  <si>
    <t>WOS:000382213800003</t>
  </si>
  <si>
    <t>Liu, CH</t>
  </si>
  <si>
    <t>Liu, Chih-Hsing</t>
  </si>
  <si>
    <t>The processes of social capital and employee creativity: empirical evidence from intraorganizational networks</t>
  </si>
  <si>
    <t>creativity; network ties; relationship quality; social capital; social interaction</t>
  </si>
  <si>
    <t>INNOVATIVE BEHAVIOR; KNOWLEDGE CREATION; MODERATING ROLE; TRUST; PERFORMANCE; PERSPECTIVE; GOVERNANCE; MECHANISMS; MANAGEMENT; LEADERSHIP</t>
  </si>
  <si>
    <t>The aim of this paper is to extend and elaborate social capital approaches to organizational creativity by identifying different mechanisms that employees can deploy to promote the development of social capital through social interaction, relationship quality and network ties. The findings, based on data from a sample of 382 employees across different areas of expertise and countries in a multinational manufacturing firm, indicate that relationship quality and network ties play a mediating role between social interaction and organizational creativity. The findings of this study contribute to the development of a conceptual theoretical model for explaining the interrelationships among three mechanisms of social capital and organizational creativity performance.</t>
  </si>
  <si>
    <t>Ming Chuan Univ, Leisure &amp; Recreat Adm Dept, Taipei, Taiwan</t>
  </si>
  <si>
    <t>Ming Chuan University</t>
  </si>
  <si>
    <t>Liu, CH (corresponding author), Ming Chuan Univ, Leisure &amp; Recreat Adm Dept, Taipei, Taiwan.</t>
  </si>
  <si>
    <t>phd20110909@gmail.com</t>
  </si>
  <si>
    <t>NOV 1</t>
  </si>
  <si>
    <t>10.1080/09585192.2013.781519</t>
  </si>
  <si>
    <t>226PN</t>
  </si>
  <si>
    <t>WOS:000325048400008</t>
  </si>
  <si>
    <t>Knott, AM; Posen, HE</t>
  </si>
  <si>
    <t>Knott, Anne Marie; Posen, Hart E.</t>
  </si>
  <si>
    <t>Firm R&amp;D Behavior and Evolving Technology in Established Industries</t>
  </si>
  <si>
    <t>ORGANIZATION SCIENCE</t>
  </si>
  <si>
    <t>technological opportunity; appropriability; R&amp; D</t>
  </si>
  <si>
    <t>MARKET-STRUCTURE; STRATEGIC RENEWAL; INNOVATION; PRODUCT; GROWTH; DIFFUSION; EVOLUTION; DEMAND; ENTRY; APPROPRIABILITY</t>
  </si>
  <si>
    <t>One of the key mechanisms of firms' strategic renewal is R&amp;D, and a key driver of the intensity of R&amp;D is industry context. A number of theories develop propositions linking industry factors to firm R&amp;D behavior, but these theories lack consensus. To date, empirical tests have been unable to resolve the competing predictions because of lack of time-varying measures of technology. We create new measures for technology and then conduct a test of the competing theories. Our results indicate that the data best match a model of innovative behavior in which firms invest in R&amp;D principally to regain eroded advantage rather than to pursue the new frontier.</t>
  </si>
  <si>
    <t>[Knott, Anne Marie] Washington Univ, John M Olin Sch Business, St Louis, MO 63130 USA; [Posen, Hart E.] Univ Michigan, Stephen M Ross Sch Business, Ann Arbor, MI 48109 USA</t>
  </si>
  <si>
    <t>Washington University (WUSTL); University of Michigan System; University of Michigan</t>
  </si>
  <si>
    <t>Knott, AM (corresponding author), Washington Univ, John M Olin Sch Business, St Louis, MO 63130 USA.</t>
  </si>
  <si>
    <t>knott@wustl.edu; hposen@umich.edu</t>
  </si>
  <si>
    <t>Knott, Anne Marie/AAD-8455-2019</t>
  </si>
  <si>
    <t>INFORMS</t>
  </si>
  <si>
    <t>CATONSVILLE</t>
  </si>
  <si>
    <t>5521 RESEARCH PARK DR, SUITE 200, CATONSVILLE, MD 21228 USA</t>
  </si>
  <si>
    <t>1047-7039</t>
  </si>
  <si>
    <t>ORGAN SCI</t>
  </si>
  <si>
    <t>Organ Sci.</t>
  </si>
  <si>
    <t>10.1287/orsc.1070.0332</t>
  </si>
  <si>
    <t>429AH</t>
  </si>
  <si>
    <t>WOS:000264892700005</t>
  </si>
  <si>
    <t>Liu, YJ; Xu, SY; Zhang, BN</t>
  </si>
  <si>
    <t>Liu, Yanjun; Xu, Shiyong; Zhang, Bainan</t>
  </si>
  <si>
    <t>Thriving at Work: How a Paradox Mindset Influences Innovative Work Behavior</t>
  </si>
  <si>
    <t>self-determination theory; paradox mindset; thriving at work; innovative work behavior</t>
  </si>
  <si>
    <t>LEADER-MEMBER EXCHANGE; PROACTIVE PERSONALITY; MEDIATING ROLE; TRANSFORMATIONAL LEADERSHIP; PSYCHOLOGICAL SAFETY; SELF-DETERMINATION; CREATIVITY; MODEL; MOTIVATION; OUTCOMES</t>
  </si>
  <si>
    <t>A paradox mindset indicates the extent to which individuals embrace and are energized by tensions. The adoption of a paradox mindset can help people leverage tensions and produce creative outputs. We propose a multilevel model based on self-determination theory that examines the effects of a paradox mindset on individuals' innovative work behavior. We use data collected at two points in time from 369 employees in 90 teams; the multilevel data analysis shows that employees' paradox mindset has a positive influence on their innovative behaviors via thriving at work. In addition, the cross-level moderated mediation results demonstrate that leaders' paradox mindset strengthens the relationship between employees' paradox mindset and thriving at work; also, it is positively associated with employees' innovative work behavior. This study contributes to the literature on individuals' approaches to paradoxes illustrating the psychological process from a paradox mindset to employees' innovative work behavior.</t>
  </si>
  <si>
    <t>[Liu, Yanjun; Xu, Shiyong; Zhang, Bainan] Renmin Univ China, Beijing, Peoples R China</t>
  </si>
  <si>
    <t>Renmin University of China</t>
  </si>
  <si>
    <t>Xu, SY (corresponding author), Renmin Univ China, Ctr Human Resources Dev &amp; Assessment, Sch Labor &amp; Human Resources, Beijing, Peoples R China.</t>
  </si>
  <si>
    <t>xusy@ruc.edu.cn</t>
  </si>
  <si>
    <t>Liu, Yanjun/0000-0002-7253-8964</t>
  </si>
  <si>
    <t>The author(s) disclosed receipt of the following financial support for the research, authorship, and/or publication of this article: This work was supported by the Outstanding Innovative Talents Cultivation Funded Programs 2017 of Renmin University of China.</t>
  </si>
  <si>
    <t>10.1177/0021886319888267</t>
  </si>
  <si>
    <t>NOV 2019</t>
  </si>
  <si>
    <t>MK6FR</t>
  </si>
  <si>
    <t>WOS:000496389200001</t>
  </si>
  <si>
    <t>Bammens, YPM</t>
  </si>
  <si>
    <t>Bammens, Yannick P. M.</t>
  </si>
  <si>
    <t>Employees' Innovative Behavior in Social Context: A Closer Examination of the Role of Organizational Care</t>
  </si>
  <si>
    <t>SELF-DETERMINATION THEORY; LEADER-MEMBER EXCHANGE; AUTHENTIC LEADERSHIP; INTRINSIC MOTIVATION; JOB-PERFORMANCE; WORK-ENVIRONMENT; CREATIVITY; SUPPORT; COMMITMENT; MODERATOR</t>
  </si>
  <si>
    <t>A substantial body of research has examined the antecedents of innovation in organizational settings, but our current understanding of how social aspects of the work environment influence the innovative behavior of employees remains underdeveloped. One of these social aspects connected to the theme of doing well by doing good concerns organizational care, with scholars examining how actions centered on promoting employee well-being may result in pro-organizational outcomes. The purpose of this study is to present a conceptual analysis of the intricate relationship between organizational care and employees' innovative behavior by detailing key mediating mechanisms and conditional factors. This research will combine insights from multiple theories and literatures, most notably self-determination theory, social exchange theory, and the literatures on organizational care, work motivation, and innovation. The proposed multilevel model clarifies how organizational care affects the creative, complex, and mundane elements of employees' innovative behavior through its effect on the motivational constructs of intrinsic motivation, identified motivation, and introjected obligation feelings, respectively. Moreover, the model highlights the potential dark sides of organizational care that managers must consider when designing and implementing caring policies and practices. Specifically, it clarifies how the effect of organizational care on employees' innovative behavior may depend on their subjective perceptions of care intrusiveness and care insincerity. As such, this study responds to calls for rich and nuanced conceptual research in the innovation field, especially concerning the role of employees' social work environment in motivating their innovative behavior. Important theoretical and practical implications of this conceptual analysis will be discussed, and valuable directions for future research will be outlined.</t>
  </si>
  <si>
    <t>[Bammens, Yannick P. M.] Maastricht Univ, Sch Business &amp; Econ, POB 616, NL-6200 MD Maastricht, Netherlands</t>
  </si>
  <si>
    <t>Maastricht University</t>
  </si>
  <si>
    <t>Bammens, YPM (corresponding author), Maastricht Univ, Sch Business &amp; Econ, POB 616, NL-6200 MD Maastricht, Netherlands.</t>
  </si>
  <si>
    <t>y.bammens@maastrichtuniversity.nl</t>
  </si>
  <si>
    <t>10.1111/jpim.12267</t>
  </si>
  <si>
    <t>DJ2QA</t>
  </si>
  <si>
    <t>WOS:000374048700001</t>
  </si>
  <si>
    <t>Chai, S; Shih, W</t>
  </si>
  <si>
    <t>Chai, Sen; Shih, Willy</t>
  </si>
  <si>
    <t>Bridging science and technology through academic-industry partnerships</t>
  </si>
  <si>
    <t>Economic development; Technological change and growth; Technological change; Research and development; Government policy</t>
  </si>
  <si>
    <t>RESEARCH JOINT VENTURES; DEVELOPMENT SUBSIDIES; DRUG DISCOVERY; LIFE SCIENCES; IVORY TOWER; FIRM SIZE; INNOVATION; UNIVERSITY; SCIENTISTS; KNOWLEDGE</t>
  </si>
  <si>
    <t>Partnerships that foster the translation of scientific advances emerging from academic research organizations into commercialized products at private firms are a policy tool that has attracted increased interest. This paper examines empirical data from the Danish National Advanced Technology Foundation, an agency that funds partnerships between universities and private companies. We assess the effect on participating firms' innovative performance, comparing patent count, publication count and proportion of cross-institutional publications between funded and unfunded firms. Specifically, we measure the impact on each of these variables based on three dimensions - small and medium-sized enterprises (SME), younger firms, and size of the collaboration firms participated in - to establish boundary conditions. Our results suggest that receiving funding affects firms' innovative behavior differently depending on the type of firm, where (1) peer-reviewed publications increased significantly more for SMEs and larger projects, (2) granted patents increased significantly up to 4 years after funding for young firms and those in larger projects, and (3) proportion of cross-institutional publications increased significantly more 3 years after funding for all three sample specifications. (C) 2015 Elsevier B.V. All rights reserved.</t>
  </si>
  <si>
    <t>[Chai, Sen] ESSEC Business Sch, Cergy Pontoise, France; [Shih, Willy] Harvard Univ, Sch Business, Cambridge, MA 02138 USA</t>
  </si>
  <si>
    <t>ESSEC Business School; Harvard University</t>
  </si>
  <si>
    <t>Chai, S (corresponding author), ESSEC Business Sch, Cergy Pontoise, France.</t>
  </si>
  <si>
    <t>chais@nber.org; wshih@hbs.edu</t>
  </si>
  <si>
    <t>Harvard Business School Department of Research and Doctoral Program</t>
  </si>
  <si>
    <t>We would like to thank the Harvard Business School Department of Research and Doctoral Program for supporting this work. We are grateful to Lee Fleming, Richard Freeman, Carliss Baldwin, Vicki Sato, Richard Freeman, Shai Bernstein and participants of the NBER 2013 Conference on the Changing Financing Market for Innovation and Entrepreneurship, The Vienna Conference on Strategy 2013 and the 8th European Meeting on Applied Evolutionary Economics, for their insightful comments and feedback. We are also especially thankful to Casper Binow Hansen for his research assistance and DNATF executives for kindly providing the data used in this study. All errors remain our own.</t>
  </si>
  <si>
    <t>10.1016/j.respol.2015.07.007</t>
  </si>
  <si>
    <t>DA0JT</t>
  </si>
  <si>
    <t>WOS:000367484100012</t>
  </si>
  <si>
    <t>Cefis, E; Marsili, O</t>
  </si>
  <si>
    <t>Cefis, Elena; Marsili, Orietta</t>
  </si>
  <si>
    <t>Crossing the innovation threshold through mergers and acquisitions</t>
  </si>
  <si>
    <t>Mergers and acquisitions; Innovation; Small and medium sized enterprises; Dynamic random effect probit models; Multiplicative interaction models</t>
  </si>
  <si>
    <t>RESEARCH-AND-DEVELOPMENT; EMPIRICAL-ANALYSIS; SECTORAL PATTERNS; FIRMS; PERSISTENCE; SURVIVAL; MODELS; PERFORMANCE; TAXONOMY; IMPACT</t>
  </si>
  <si>
    <t>Firms are resorting more and more to mergers and acquisitions (M&amp;A) to bridge the gap between where they are and where they would like to be in relation to innovation and performance. This paper investigates whether involvement in M&amp;A triggers distinct patterns of innovative behaviour across firms, and whether this effect is conditional on firm size. The analysis combines data from four waves of the Community Innovation Survey (CIS) and the Business Register of Dutch manufacturing firms. We observe that M&amp;As influence the probability that firms will begin innovation activities or persist with them, and these effects vary at different points in the firm size distribution. In particular, by using M&amp;A firms are able to persist with the innovation efforts and output over time, and this effect is especially strong for large firms. For small firms, M&amp;A help them to cross the 'innovation threshold', increasing the probability of the transition from a non-innovator to an active innovator. However, the M&amp;A effect does not mitigate the tendency of small firms to be occasional innovators. (C) 2014 Elsevier B.V. All rights reserved.</t>
  </si>
  <si>
    <t>[Cefis, Elena] Univ Bergamo, Dept Management Econ &amp; Quantitat Methods, I-24127 Bergamo, Italy; [Cefis, Elena] St Anna Sch Adv Studies, Lab Econ &amp; Management, Pisa, Italy; [Marsili, Orietta] Univ Bath, Sch Management, Bath BA2 7AY, Avon, England</t>
  </si>
  <si>
    <t>University of Bergamo; Scuola Superiore Sant'Anna; University of Bath</t>
  </si>
  <si>
    <t>Cefis, E (corresponding author), Univ Bergamo, Dept Management Econ &amp; Quantitat Methods, Via Caniana 2, I-24127 Bergamo, Italy.</t>
  </si>
  <si>
    <t>elena.cefis@unibg.it; o.marsili@bath.ac.uk</t>
  </si>
  <si>
    <t>Cefis, Elena/AAJ-3162-2020</t>
  </si>
  <si>
    <t>Cefis, Elena/0000-0001-9960-4354; Marsili, Orietta/0000-0002-4879-6701</t>
  </si>
  <si>
    <t>NWO, The Netherlands (Dynamics of Innovation Programme) [472-04-008]; Department of Management, Economics and Quantitative Methods, University of Bergamo [60CEFI13]</t>
  </si>
  <si>
    <t>NWO, The Netherlands (Dynamics of Innovation Programme); Department of Management, Economics and Quantitative Methods, University of Bergamo</t>
  </si>
  <si>
    <t>The authors thank Rob Alessie, Roberto Fontana, Adrian Kalwij, Stephen Klepper dagger, Andreas Pyka, Hans Schenk, Utz Weitzel, the participants at the 15th International Schumpeterian Society Conference (ISS 2014), two anonymous referees for helpful comments and suggestions, and Mihaela Ghita for valuable research assistance. The empirical research was carried out at the Centre for Research of Economic Microdata, of Statistics Netherlands (CBS). The views expressed are those of the authors and do not necessarily reflect the policies of Statistics Netherlands. The authors thank Ruurd Schoonhoven and CBS staff for their valuable collaboration. E. Cells acknowledges the financial support from NWO, The Netherlands (Dynamics of Innovation Programme, grant no.: 472-04-008) and the Department of Management, Economics and Quantitative Methods, University of Bergamo ('The Effect of M&amp;As on Innovation' research project of E. Cefis and the grant ex 60%, no. 60CEFI13)</t>
  </si>
  <si>
    <t>10.1016/j.respol.2014.10.010</t>
  </si>
  <si>
    <t>WOS:000350837800011</t>
  </si>
  <si>
    <t>Kim, SL</t>
  </si>
  <si>
    <t>Kim, Seckyoung Loretta</t>
  </si>
  <si>
    <t>The interaction effects of proactive personality and empowering leadership and close monitoring behaviour on creativity</t>
  </si>
  <si>
    <t>CREATIVITY AND INNOVATION MANAGEMENT</t>
  </si>
  <si>
    <t>EMPLOYEE CREATIVITY; SELF-EFFICACY; PSYCHOLOGICAL EMPOWERMENT; INNOVATIVE BEHAVIOR; SUPERVISOR SUPPORT; MEDIATING ROLE; PERFORMANCE; MODEL; WORK; NEED</t>
  </si>
  <si>
    <t>In today's hurried information-oriented business environment, it is crucial to examine under what conditions individuals may perform for creativity. Taking an interactional perspective, this study investigates how the interactions of proactive personality and empowering leadership or close monitoring behaviour may influence employee creativity in opposite directions. Data from 163 samples indicate that proactive personality promotes creativity, while close monitoring behaviour lowers creativity. Furthermore, the study shows that proactive employees are likely to engage in creativity when their leaders demonstrate high levels of empowering leadership. Theoretical and practical implications are discussed.</t>
  </si>
  <si>
    <t>[Kim, Seckyoung Loretta] Incheon Natl Univ, Business Adm, Incheon, South Korea</t>
  </si>
  <si>
    <t>Incheon National University</t>
  </si>
  <si>
    <t>Kim, SL (corresponding author), Incheon Natl Univ, Business Adm, Incheon, South Korea.</t>
  </si>
  <si>
    <t>loretta@inu.ac.kr</t>
  </si>
  <si>
    <t>0963-1690</t>
  </si>
  <si>
    <t>1467-8691</t>
  </si>
  <si>
    <t>CREAT INNOV MANAG</t>
  </si>
  <si>
    <t>Creat. Innov. Manag.</t>
  </si>
  <si>
    <t>10.1111/caim.12304</t>
  </si>
  <si>
    <t>IA0SJ</t>
  </si>
  <si>
    <t>WOS:000469267200008</t>
  </si>
  <si>
    <t>Carmeli, A; Russo, M</t>
  </si>
  <si>
    <t>Carmeli, Abraham; Russo, Marcello</t>
  </si>
  <si>
    <t>The power of micro-moves in cultivating regardful relationships: Implications for work-home enrichment and thriving</t>
  </si>
  <si>
    <t>HUMAN RESOURCE MANAGEMENT REVIEW</t>
  </si>
  <si>
    <t>Micro-moves; Positive regard; Work-home enrichment; Thriving; Positive relationships; Generativity</t>
  </si>
  <si>
    <t>FAMILY CONFLICT; INNOVATIVE BEHAVIORS; TRAINING MOTIVATION; MULTIPLE ROLES; MEDIATING ROLE; COMPASSION; INTERFACE; SUPPORT; MINDFULNESS; PERSONALITY</t>
  </si>
  <si>
    <t>In this article, we highlight the power of micro-moves in cultivating positive regard from work and nonwork sources (stakeholders) and how the latter facilitates work-home enrichment (in both directions) and can foster employee thriving in the work and nonwork domains. Integrating the emerging literature on micro generative moments (Dutton &amp; Carlsen, 2011), the Resource-Gain-Development model of enrichment (Wayne et al., 2007) and the socially embedded model of thriving (Spreitzer et al., 2005), we specify how micro-relational moves can build regardful relationships (i.e., positive regard) and how this, in turn, can foster greater work-home enrichment and thriving. Our theoretical model further suggests that employees who sense a positive regard from their managers and coworkers as well as from their relatives and friends are likely to experience significant development, affect and capital gains (high work-home enrichment), which expands opportunities to thrive (i.e., develop an enhanced capacity for learning and a sense of vitality). We also suggest that work-home enrichment fosters greater thriving in life, but that this relationship depends on personal and contextual characteristics, including people's level of mindfulness, motivation to learn, preferences for integration (personal characteristics) and job autonomy and quality of family life (contextual characteristics). We aim to advance theorizing about generative relationships and the context in which they allow individuals to experience work-home enrichment and help them to thrive and realize their full potential. (C) 2015 Elsevier Inc. All rights reserved.</t>
  </si>
  <si>
    <t>[Carmeli, Abraham] Tel Aviv Univ, IL-69978 Tel Aviv, Israel; [Carmeli, Abraham] Univ Birmingham, Birmingham B15 2TT, W Midlands, England; [Russo, Marcello] Kedge Business Sch, Dept Management, 680 Cours Liberat, F-33405 Talence, France</t>
  </si>
  <si>
    <t>Tel Aviv University; RLUK- Research Libraries UK; University of Birmingham; Kedge Business School</t>
  </si>
  <si>
    <t>Carmeli, A (corresponding author), Tel Aviv Univ, Fac Management, IL-69978 Tel Aviv, Israel.</t>
  </si>
  <si>
    <t>avic@post.tau.ac.il; marcello.russo@kedgebs.com</t>
  </si>
  <si>
    <t>Carmeli, Abraham/B-5351-2013; Russo, Marcello MR/B-5319-2013</t>
  </si>
  <si>
    <t>RUSSO, MARCELLO/0000-0002-0452-7673</t>
  </si>
  <si>
    <t>1053-4822</t>
  </si>
  <si>
    <t>1873-7889</t>
  </si>
  <si>
    <t>HUM RESOUR MANAGE R</t>
  </si>
  <si>
    <t>Hum. Resour. Manage. Rev.</t>
  </si>
  <si>
    <t>10.1016/j.hrmr.2015.09.007</t>
  </si>
  <si>
    <t>DH4LW</t>
  </si>
  <si>
    <t>WOS:000372758500003</t>
  </si>
  <si>
    <t>Vila, LE; Perez, PJ; Coll-Serrano, V</t>
  </si>
  <si>
    <t>Vila, Luis E.; Perez, Pedro J.; Coll-Serrano, Vicente</t>
  </si>
  <si>
    <t>Innovation at the workplace: Do professional competencies matter?</t>
  </si>
  <si>
    <t>Professional competences; Innovation; Graduates; Higher education; Probability models</t>
  </si>
  <si>
    <t>This paper analyzes individuals' propensity to innovate in professional environments, by focusing on the specific competency profile of individuals who play a role in the incorporation of product, technological, and knowledge innovations at work. The analysis draws on economic and managerial literature on innovation, innovative, behavior, and competencies to gain a better understanding of the relationships between the process of competency development and innovative behavior in working environments. Using data from REFLEX, a European survey on the transition from higher education to labor markets, the empirical component of this study estimates discrete response models to explain the propensity of individuals to innovate at work. The models take the responses to a set of 19 questionnaire items as the basis for determining individuals' competency profiles, while also incorporating firm, working environment, and personal characteristics. The estimation results provide evidence of significant marginal effects of specific competencies on the probability that individuals act as innovators at the workplace. Competencies such as alertness to new opportunities, ability to present products, ideas or reports, ability to mobilize the capacities of others, ability to come up with new ideas and solutions, and ability to use computers and the Internet appear to have stronger marginal effects on the likelihood of innovating and, consequently, emerge as key competencies in explaining the propensity of individuals to become innovators in their working environments. (C) 2013 Elsevier Inc. All rights reserved.</t>
  </si>
  <si>
    <t>[Vila, Luis E.; Coll-Serrano, Vicente] Univ Valencia, Dept Appl Econ, Valencia 46022, Spain; [Perez, Pedro J.] Univ Valencia, Dept Econ Anal, Valencia 46022, Spain</t>
  </si>
  <si>
    <t>University of Valencia; University of Valencia</t>
  </si>
  <si>
    <t>Vila, LE (corresponding author), Univ Valencia, Dept Appl Econ, Avda Dels Tarongers S-N, Valencia 46022, Spain.</t>
  </si>
  <si>
    <t>Luis.Vila@uv.es; Pedro.J.Perez@uv.es; Vicente.Coll@uv.es</t>
  </si>
  <si>
    <t>Perez, Pedro/R-6630-2017</t>
  </si>
  <si>
    <t>Perez, Pedro/0000-0001-9375-6330; Coll Serrano, Vicente/0000-0002-7813-7379</t>
  </si>
  <si>
    <t>10.1016/j.jbusres.2013.11.039</t>
  </si>
  <si>
    <t>AE2AO</t>
  </si>
  <si>
    <t>WOS:000333775900017</t>
  </si>
  <si>
    <t>Jonsson, KA; Fabre, PH; Irestedt, M</t>
  </si>
  <si>
    <t>Jonsson, Knud A.; Fabre, Pierre-Henri; Irestedt, Martin</t>
  </si>
  <si>
    <t>Brains, tools, innovation and biogeography in crows and ravens</t>
  </si>
  <si>
    <t>BMC EVOLUTIONARY BIOLOGY</t>
  </si>
  <si>
    <t>Biogeography; Brain; Cognition; Crow; Systematics; Tool use</t>
  </si>
  <si>
    <t>GEOGRAPHIC RANGE; DIVERGENCE TIMES; PHYLOGENETICS; EVOLUTION; CONVERGENCE; INFERENCE; COGNITION; BIRDS; AVES; DIVERSIFICATION</t>
  </si>
  <si>
    <t>Background: Crows and ravens (Passeriformes: Corvus) are large-brained birds with enhanced cognitive abilities relative to other birds. They are among the few non-hominid organisms on Earth to be considered intelligent and well-known examples exist of several crow species having evolved innovative strategies and even use of tools in their search for food. The 40 Corvus species have also been successful dispersers and are distributed on most continents and in remote archipelagos. Results: This study presents the first molecular phylogeny including all species and a number of subspecies within the genus Corvus. We date the phylogeny and determine ancestral areas to investigate historical biogeographical patterns of the crows. Additionally, we use data on brain size and a large database on innovative behaviour and tool use to test whether brain size (i) explains innovative behaviour and success in applying tools when foraging and (ii) has some correlative role in the success of colonization of islands. Our results demonstrate that crows originated in the Palaearctic in the Miocene from where they dispersed to North America and the Caribbean, Africa and Australasia. We find that relative brain size alone does not explain tool use, innovative feeding strategies and dispersal success within crows. Conclusions: Our study supports monophyly of the genus Corvus and further demonstrates the direction and timing of colonization from the area of origin in the Palaearctic to other continents and archipelagos. The Caribbean was probably colonized from North America, although some North American ancestor may have gone extinct, and the Pacific was colonized multiple times from Asia and Australia. We did not find a correlation between relative brain size, tool use, innovative feeding strategies and dispersal success. Hence, we propose that all crows and ravens have relatively large brains compared to other birds and thus the potential to be innovative if conditions and circumstances are right.</t>
  </si>
  <si>
    <t>[Jonsson, Knud A.; Fabre, Pierre-Henri] Univ Copenhagen, Ctr Macroecol Evolut &amp; Climate, Nat Hist Museum Denmark, DK-2100 Copenhagen O, Denmark; [Irestedt, Martin] Swedish Museum Nat Hist, Mol Systemat Lab, SE-10405 Stockholm, Sweden</t>
  </si>
  <si>
    <t>University of Copenhagen; Swedish Museum of Natural History</t>
  </si>
  <si>
    <t>Jonsson, KA (corresponding author), Univ Copenhagen, Ctr Macroecol Evolut &amp; Climate, Nat Hist Museum Denmark, Univ Pk 15, DK-2100 Copenhagen O, Denmark.</t>
  </si>
  <si>
    <t>kajonsson@snm.ku.dk</t>
  </si>
  <si>
    <t>Nummer2, CMEC/HKE-1900-2023; Irestedt, Martin/AAF-2525-2019; Jonsson, Knud A/F-6902-2012; Jønsson, Knud/GMW-5310-2022</t>
  </si>
  <si>
    <t>Jønsson, Knud/0000-0002-1875-9504; Pierre-Henri, Fabre/0000-0002-3414-5625</t>
  </si>
  <si>
    <t>Danish National Research Foundation</t>
  </si>
  <si>
    <t>Danish National Research Foundation(Danmarks Grundforskningsfond)</t>
  </si>
  <si>
    <t>We thank a number of institutions for supplying samples for this study: AM, Australian Museum, Sydney, Australia; AMNH, American Museum of Natural History, USA; ANWC, Australian National Wildlife Collection, Canberra, Australia; FMNH, Field Museum of Natural History, Chicago, USA; NRM, Naturhistoriska Riksmuseet, Stockholm, Sweden; RMNH, Rijksmuseum van Natuurlijke Histoire, Leiden, Netherlands; UWBM, University of Washington, Burke Museum, Seattle, USA; ZMUC, Zoological Museum, University of Copenhagen, Denmark. KAJ and PHF acknowledge the Danish National Research Foundation for support to the Center for Macroecology, Evolution, and Climate. We also thank Leo Joseph, Jon Fjeldsa and two anonymous reviewers for comments on the manuscript.</t>
  </si>
  <si>
    <t>BMC</t>
  </si>
  <si>
    <t>CAMPUS, 4 CRINAN ST, LONDON N1 9XW, ENGLAND</t>
  </si>
  <si>
    <t>1471-2148</t>
  </si>
  <si>
    <t>BMC EVOL BIOL</t>
  </si>
  <si>
    <t>BMC Evol. Biol.</t>
  </si>
  <si>
    <t>MAY 29</t>
  </si>
  <si>
    <t>10.1186/1471-2148-12-72</t>
  </si>
  <si>
    <t>Evolutionary Biology; Genetics &amp; Heredity</t>
  </si>
  <si>
    <t>027CJ</t>
  </si>
  <si>
    <t>Green Published, gold</t>
  </si>
  <si>
    <t>WOS:000310329100001</t>
  </si>
  <si>
    <t>Koschatzky, K; Bross, U; Stanovnik, P</t>
  </si>
  <si>
    <t>Development and innovation potential in the Slovene manufacturing industry: analysis of an industrial innovation survey</t>
  </si>
  <si>
    <t>system transformation; industrial innovation; innovation networking; Slovenia</t>
  </si>
  <si>
    <t>In the transformation of economic structures and industrial sectors in Central and Eastern European Countries, innovation plays a critical role for adapting production processes and products to global market requirements, for improving economic competitiveness and for social welfare. Since innovation processes were organised according to a linear science-push innovation model during socialist times, interactive learning processes, which are an important feature in recent innovative activity, were underdeveloped or non-existent. Using empirical data from an industrial innovation survey carried out in the Republic of Slovenia, the paper analyses structural characteristics of the Slovenian manufacturing industry and its innovative behaviour. It will be shown that although a high share of firms innovated between 1994 and 1996, interactive learning processes through innovation networking are still not fully utilised. Go-operation takes place firstly on the level of informal information exchange and less on the formal level of joint research and development. (C) 2001 Elsevier Science Ltd. All rights reserved.</t>
  </si>
  <si>
    <t>ISI, Fraunhofer Inst Syst &amp; Innovat Res, D-76139 Karlsruhe, Germany; IER, Ljubljana 1001, Slovenia</t>
  </si>
  <si>
    <t>Fraunhofer Gesellschaft</t>
  </si>
  <si>
    <t>Koschatzky, K (corresponding author), ISI, Fraunhofer Inst Syst &amp; Innovat Res, Breslauer Str 48, D-76139 Karlsruhe, Germany.</t>
  </si>
  <si>
    <t>ko@isi.fhg.de</t>
  </si>
  <si>
    <t>10.1016/S0166-4972(00)00050-X</t>
  </si>
  <si>
    <t>415XH</t>
  </si>
  <si>
    <t>WOS:000167748500004</t>
  </si>
  <si>
    <t>BUZZACCHI, L; COLOMBO, MG; MARIOTTI, S</t>
  </si>
  <si>
    <t>TECHNOLOGICAL REGIMES AND INNOVATION IN SERVICES - THE CASE OF THE ITALIAN BANKING INDUSTRY</t>
  </si>
  <si>
    <t>ADOPTION</t>
  </si>
  <si>
    <t>In this paper we propose a conceptual model to analyse innovations originating from the diffusion of Information Technologies in the banking sector. We argue that technical change in this industry exhibits a revolutionary character. A distinction is made between the 'mass automation' regime, focusing mainly on the mechanization of back-office procedures in the 1960s and 1970s, and the 'smart automation' regime, originating from the introduction of distributed data processing and network technologies and centered around the supply of electronic banking services. A theoretical model is developed which emphasizes the crucial role played by demand-pull variables in stimulating innovative behaviour under the smart automation regime. In contrast, limited importance is attributed to cumulative and learning-by-doing effects relating to back-office automation, at least for banks endowed with sufficient absorptive capacity. The theoretical hypotheses are tested through an econometric analysis of the determinants of the innovative behaviour in electronic payment systems of a sample of Italian commercial banks.</t>
  </si>
  <si>
    <t>POLITECN MILAN, DIPARTIMENTO ECON &amp; PROD, I-20133 MILAN, ITALY</t>
  </si>
  <si>
    <t>Polytechnic University of Milan</t>
  </si>
  <si>
    <t>BUZZACCHI, L (corresponding author), POLITECN TORINO, DIPARTIMENTO SISTEMI PROD &amp; ECON AZIENDA, TURIN, ITALY.</t>
  </si>
  <si>
    <t>Buzzacchi, Luigi/0000-0001-7670-6665; Colombo, Massimo G./0000-0003-0373-1565</t>
  </si>
  <si>
    <t>10.1016/0048-7333(93)00756-J</t>
  </si>
  <si>
    <t>QC083</t>
  </si>
  <si>
    <t>WOS:A1995QC08300009</t>
  </si>
  <si>
    <t>Nazir, O; Ul Islam, J</t>
  </si>
  <si>
    <t>Nazir, Owais; Ul Islam, Jamid</t>
  </si>
  <si>
    <t>Influence of CSR-specific activities on work engagement and employees? innovative work behaviour: an empirical investigation</t>
  </si>
  <si>
    <t>CURRENT ISSUES IN TOURISM</t>
  </si>
  <si>
    <t>Corporate social responsibility; work engagement; self-determined intrinsic motivation; employee innovative behaviour; hotels</t>
  </si>
  <si>
    <t>CORPORATE SOCIAL-RESPONSIBILITY; SELF-DETERMINATION THEORY; JOB DEMANDS; SUSTAINABLE TOURISM; NEED SATISFACTION; PUBLIC-RELATIONS; PREDICT BURNOUT; WELL; RESOURCES; MODEL</t>
  </si>
  <si>
    <t>This study empirically demonstrates the essentiality of addressing employees? psychological needs of autonomy, competence, and relatedness through CSR-specific activities which intrinsically motivate employees to find their work engaging and execute their jobs by being innovative in their approach. In this direction, a theoretical model is proposed and empirically validated by executing a questionnaire survey among 585 employees of various luxury hotels in India. The findings of this study build on and extend previous research in the growing area of CSR and its outcomes. Theoretically, through the establishment of some novel links, this study furthers insight into the domain of micro-CSR where research is still fragmented. Besides, the paper outlines key practical implications for managers in helping them realize how to build and maintain an engaging and innovative workforce.</t>
  </si>
  <si>
    <t>[Nazir, Owais] Indian Inst Technol Roorkee, Dept Management studies, Roorkee, Uttarakhand, India; [Ul Islam, Jamid] Prince Sultan Univ, Coll Business Adm, Riyadh, Saudi Arabia</t>
  </si>
  <si>
    <t>Indian Institute of Technology System (IIT System); Indian Institute of Technology (IIT) - Roorkee; Prince Sultan University</t>
  </si>
  <si>
    <t>Ul Islam, J (corresponding author), Prince Sultan Univ, Coll Business Adm, Riyadh, Saudi Arabia.</t>
  </si>
  <si>
    <t>jammicms.kmr@gmail.com</t>
  </si>
  <si>
    <t>Islam, Jamid Ul/T-9235-2018; Nazir, Owais/AAD-6838-2021</t>
  </si>
  <si>
    <t>Islam, Jamid Ul/0000-0002-2545-5162; Nazir, Owais/0000-0002-9340-8309</t>
  </si>
  <si>
    <t>Business, Society &amp; Environment (BSE) Research Lab, Prince Sultan University, Saudi Arabia</t>
  </si>
  <si>
    <t>The second author (Dr Jamid Ul Islam) would like to acknowledge Business, Society &amp; Environment (BSE) Research Lab, Prince Sultan University, Saudi Arabia for their support.</t>
  </si>
  <si>
    <t>1368-3500</t>
  </si>
  <si>
    <t>1747-7603</t>
  </si>
  <si>
    <t>CURR ISSUES TOUR</t>
  </si>
  <si>
    <t>Curr. Issues Tour.</t>
  </si>
  <si>
    <t>DEC 16</t>
  </si>
  <si>
    <t>10.1080/13683500.2019.1678573</t>
  </si>
  <si>
    <t>OCT 2019</t>
  </si>
  <si>
    <t>OV1TM</t>
  </si>
  <si>
    <t>WOS:000491024400001</t>
  </si>
  <si>
    <t>Luksyte, A; Unsworth, KL; Avery, DR</t>
  </si>
  <si>
    <t>Luksyte, Aleksandra; Unsworth, Kerrie L.; Avery, Derek R.</t>
  </si>
  <si>
    <t>Innovative work behavior and sex-based stereotypes: Examining sex differences in perceptions and evaluations of innovative work behavior</t>
  </si>
  <si>
    <t>innovative work behavior; performance evaluations; sex</t>
  </si>
  <si>
    <t>GENDER STEREOTYPES; JOB-PERFORMANCE; ATTRIBUTIONAL RATIONALIZATION; INDIVIDUAL INNOVATION; SELF-LEADERSHIP; CREATIVITY; FEMALE; WOMEN; BIAS; MULTILEVEL</t>
  </si>
  <si>
    <t>Building on role congruity theory, we predict that innovative work behaviors are stereotypically ascribed to men more than to women. Because of this bias, women who innovate may not receive better performance evaluations than those who do not innovate, whereas engaging in innovative work behaviors is beneficial for men. These predictions were supported across 3 complementary field and experimental studies. The results of an experiment (Study 1; N=407) revealed that innovative work behaviors are stereotypically associated with men more than women. In Studies 2 and 3, using multisource employee evaluation data (N=153) and by experimentally manipulating innovative work behaviors (N=232), respectively, we found that favorable performance evaluations were associated with innovative work behaviors for men but not for women. These studies highlight a previously unidentified form of sex bias and are particularly important for those wishing to increase innovative behaviors in the workplace: We need to address this phenomenon of think innovation-think male.</t>
  </si>
  <si>
    <t>[Luksyte, Aleksandra] Univ Western Australia, Management &amp; Org, 35 Stirling Highway M261, Crawley, WA 6009, Australia; [Unsworth, Kerrie L.] Univ Leeds, Sch Business, Leeds, W Yorkshire, England; [Avery, Derek R.] Wake Forest Univ, Sch Business, Winston Salem, NC 27109 USA</t>
  </si>
  <si>
    <t>University of Western Australia; N8 Research Partnership; RLUK- Research Libraries UK; White Rose University Consortium; University of Leeds; Wake Forest University</t>
  </si>
  <si>
    <t>Luksyte, A (corresponding author), Univ Western Australia, Management &amp; Org, 35 Stirling Highway M261, Crawley, WA 6009, Australia.</t>
  </si>
  <si>
    <t>alex.luksyte@uwa.edu.au</t>
  </si>
  <si>
    <t>; Unsworth, Kerrie/I-2370-2013</t>
  </si>
  <si>
    <t>Luksyte, Aleksandra/0000-0001-8882-4087; Unsworth, Kerrie/0000-0002-0826-7565</t>
  </si>
  <si>
    <t>10.1002/job.2219</t>
  </si>
  <si>
    <t>FY0OQ</t>
  </si>
  <si>
    <t>WOS:000426511700004</t>
  </si>
  <si>
    <t>Sozbilir, F</t>
  </si>
  <si>
    <t>Sozbilir, Fikret</t>
  </si>
  <si>
    <t>The interaction between social capital, creativity and efficiency in organizations</t>
  </si>
  <si>
    <t>THINKING SKILLS AND CREATIVITY</t>
  </si>
  <si>
    <t>Social capital; Creativity; Efficiency; Organization; Productivity</t>
  </si>
  <si>
    <t>INNOVATIVE BEHAVIOR; PERSPECTIVE; PERFORMANCE; MANAGEMENT; NETWORKS; CLIMATE; MODEL</t>
  </si>
  <si>
    <t>Some have argued social capital provides synergy for creative cooperation among employees. Creativity and efficiency have been established as two concepts that oppose each other; however, they are both essential to maintain the competitiveness of an organization. This study investigated the interaction between social capital on organizational creativity and efficiency and examined the links between organizational creativity and efficiency. In addition, it is aimed to provide recommendations based on results regarding the effectiveness of social capital on organizational creativity. In this empirical study, the data on perceptions concerning social capital, organizational creativity and organizational efficiency was gathered by means of a questionnaire completed by 131 managers working in the Turkish Employment Agency. Subsequently, data was analyzed with the SmartPLS software and presented in tables. The findings showed that social capital has an effect on organizational creativity and organizational efficiency. Results also provided support for the effect of organizational creativity on the organizational efficiency.</t>
  </si>
  <si>
    <t>[Sozbilir, Fikret] Artvin Coruh Univ, Hopa Fac Econ &amp; Adm Sci, Dept Business Adm, Hopa, Artvin, Turkey</t>
  </si>
  <si>
    <t>Artvin Coruh University</t>
  </si>
  <si>
    <t>Sozbilir, F (corresponding author), Artvin Coruh Univ, Hopa Fac Econ &amp; Adm Sci, Dept Business Adm, Hopa, Artvin, Turkey.</t>
  </si>
  <si>
    <t>fsozbilir@artvin.edu.tr</t>
  </si>
  <si>
    <t>Sözbilir, Fikret/W-5130-2017</t>
  </si>
  <si>
    <t>Sözbilir, Fikret/0000-0003-2665-1795</t>
  </si>
  <si>
    <t>1871-1871</t>
  </si>
  <si>
    <t>1878-0423</t>
  </si>
  <si>
    <t>THINK SKILLS CREAT</t>
  </si>
  <si>
    <t>Think. Skills Creat.</t>
  </si>
  <si>
    <t>10.1016/j.tsc.2017.12.006</t>
  </si>
  <si>
    <t>FZ4HI</t>
  </si>
  <si>
    <t>WOS:000427552900009</t>
  </si>
  <si>
    <t>Destler, KN</t>
  </si>
  <si>
    <t>Destler, Katharine Neem</t>
  </si>
  <si>
    <t>A Matter of Trust: Street Level Bureaucrats, Organizational Climate and Performance Management Reform</t>
  </si>
  <si>
    <t>TRANSFORMATIONAL LEADERSHIP; INNOVATIVE BEHAVIOR; PUBLIC MANAGEMENT; CULTURE; POLICY; SENSEMAKING</t>
  </si>
  <si>
    <t>The effects of performance management-on organizational outcomes and, to a lesser extent, organizational behavior-have been widely studied. However, we know little about how organizations dominated by street-level bureaucrats respond to performance management reform. Focusing on one large urban school district that adopted performance management reforms in 2007, this article analyzes qualitative and quantitative data to understand how organizational climate shapes street-level bureaucrats' performance management values and performance management behavior. Using a validated scale of organizational climate, it finds that a human relations climate is positively associated with the espousal performance management values and performance management behaviors. Individual dimensions of human relations climate, moreover, exhibit different effects. A climate that prioritizes employee welfare is positively associated with performance management reform, while one that facilitates employee involvement and dissent is negatively associated with performance management reform. Moreover, certain elements of climate, such as trust among colleagues and supervisory support, affect certain performance behaviors more than others.</t>
  </si>
  <si>
    <t>[Destler, Katharine Neem] Western Washington Univ, Bellingham, WA 98225 USA</t>
  </si>
  <si>
    <t>Western Washington University</t>
  </si>
  <si>
    <t>Destler, KN (corresponding author), Western Washington Univ, Bellingham, WA 98225 USA.</t>
  </si>
  <si>
    <t>kdestler@yahoo.com</t>
  </si>
  <si>
    <t>US Department of Education, Institute of Education Sciences [R305B090012]</t>
  </si>
  <si>
    <t>US Department of Education, Institute of Education Sciences(US Department of Education)</t>
  </si>
  <si>
    <t>This research completed through the generous support of a predoctoral training grant from the US Department of Education, Institute of Education Sciences (#R305B090012).</t>
  </si>
  <si>
    <t>10.1093/jopart/muw055</t>
  </si>
  <si>
    <t>FC9YM</t>
  </si>
  <si>
    <t>WOS:000407197000009</t>
  </si>
  <si>
    <t>Bang, H; Reio, TG</t>
  </si>
  <si>
    <t>Bang, Hyejin; Reio, Thomas G.</t>
  </si>
  <si>
    <t>Personal Accomplishment, Mentoring, and Creative Self-Efficacy as Predictors of Creative Work Involvement: The Moderating Role of Positive and Negative Affect</t>
  </si>
  <si>
    <t>JOURNAL OF PSYCHOLOGY</t>
  </si>
  <si>
    <t>Creative self-efficacy; creative work involvement; mentoring; personal accomplishment</t>
  </si>
  <si>
    <t>POTENTIAL ANTECEDENTS; TRANSFORMATIONAL LEADERSHIP; EMPLOYEE CREATIVITY; INNOVATIVE BEHAVIOR; MEDIATING ROLE; SOCIALIZATION; CONSEQUENCES; DETERMINANTS; OPTIMISM; ANXIETY</t>
  </si>
  <si>
    <t>This research explores the relationships among personal accomplish- ment, mentoring, affect, creative self-efficacy, and creative involvement. With a sample of working adults (N = 242), structural equation modeling results revealed that the data fit the theoretical model well in that creative self-efficacy fully mediated the relationships between personal accomplishment and creative work involvement and between mentoring and creative work involvement. Hierarchical regression analyses demonstrated that positive affect moderated the relationship between personal accomplishment and creative self-efficacy but negative affect did not, signifying that positive affect may be a necessary situational factor to optimize the personal accomplishment-creative self-efficacy link. In contrast, negative but not positive affect moderated the link between mentoring experiences and creative self-efficacy, suggesting that mentoring experiences associated with negative affect situationally may have been likely to have a significant consequence in weakening creative self-efficacy. The findings expand upon self-efficacy and mentoring theories by highlighting the importance of employing theoretically relevant moderating and mediating variables in research investigating the etiology of possible variables associated with vital workplace outcomes.</t>
  </si>
  <si>
    <t>[Bang, Hyejin; Reio, Thomas G.] Florida Int Univ, Miami, FL 33199 USA</t>
  </si>
  <si>
    <t>State University System of Florida; Florida International University</t>
  </si>
  <si>
    <t>Bang, H (corresponding author), 11200 SW 8th St,ZEB 339A, Miami, FL 33199 USA.</t>
  </si>
  <si>
    <t>bangh@fiu.edu</t>
  </si>
  <si>
    <t>Reio, Thomas G./AAP-5361-2021</t>
  </si>
  <si>
    <t>Reio, Thomas G./0000-0002-2554-1159</t>
  </si>
  <si>
    <t>0022-3980</t>
  </si>
  <si>
    <t>1940-1019</t>
  </si>
  <si>
    <t>J PSYCHOL</t>
  </si>
  <si>
    <t>J. Psychol.</t>
  </si>
  <si>
    <t>10.1080/00223980.2016.1248808</t>
  </si>
  <si>
    <t>EL2PF</t>
  </si>
  <si>
    <t>WOS:000394461200003</t>
  </si>
  <si>
    <t>Leadership and Creative Performance Behaviors in R&amp;D Laboratories: Examining the Mediating Role of Justice Perceptions</t>
  </si>
  <si>
    <t>leadership; creative performance behaviors; justice perceptions; R&amp;D management</t>
  </si>
  <si>
    <t>EMPLOYEE CREATIVITY; ORGANIZATIONAL JUSTICE; EMPOWERING LEADERSHIP; INNOVATIVE BEHAVIOR; TRANSFORMATIONAL LEADERSHIP; TRANSACTIONAL LEADERSHIP; FAIRNESS PERCEPTIONS; INTRINSIC MOTIVATION; LEARNING-BEHAVIOR; WORK-ENVIRONMENT</t>
  </si>
  <si>
    <t>The present study examines the direct relationship between leadership and creative performance behaviors as well as the mediating role of justice perceptions for this relationship in a R&amp;D context. Data were collected using a survey questionnaire from 482 scientists working in 11 public-owned Indian R&amp;D laboratories. Structural equation modeling was used to test the hypothesized relationships between the study variables. The study found evidence for both direct and indirect relationships between leadership and creative performance behaviors. Justice perceptions partially mediate the relationship between leadership and creative performance behaviors. The study presents a process model of creativity linking leadership to creative performance behaviors through employee justice perceptions. Implications for theory and practice are discussed.</t>
  </si>
  <si>
    <t>10.1177/1548051813517002</t>
  </si>
  <si>
    <t>CA5AY</t>
  </si>
  <si>
    <t>WOS:000348920700002</t>
  </si>
  <si>
    <t>Lu, KY; Zhu, JX; Bao, HJ</t>
  </si>
  <si>
    <t>Lu, Kangyin; Zhu, Jinxia; Bao, Haijun</t>
  </si>
  <si>
    <t>High-performance human resource management and firm performance The mediating role of innovation in China</t>
  </si>
  <si>
    <t>INDUSTRIAL MANAGEMENT &amp; DATA SYSTEMS</t>
  </si>
  <si>
    <t>China; Innovation; Human resource management</t>
  </si>
  <si>
    <t>WORK SYSTEMS; ORGANIZATIONAL PERFORMANCE; MANUFACTURING PERFORMANCE; TECHNOLOGY INNOVATION; MARKET ORIENTATION; IMPACT; PRODUCTIVITY; HRM; DETERMINANTS; METAANALYSIS</t>
  </si>
  <si>
    <t>Purpose - Human resources have become a key issue in relation to the strong competition between service firms. Therefore, the purpose of this paper is to explore the relationship between high-performance human resource management (HRM) within this field to firm performance, making a useful attempt to explore the black box of enterprise human resources management effect on firm performance. Design/methodology/approach - In order to validate the relationship between high-performance HRM and firm performance, Chinese service industry samples were collected. Structural equation modeling and regression are adopted to estimate the direct effect of high-performance HRM on firm performance and the mediating role of innovation. Findings - The results show that the impacts of high-performance HRM on firm performance are significant. Moreover, innovation plays a partial mediating role between them. Training, work analysis and employee participation has a significantly positive impact on firm performance, while effects of profit sharing, employee development and performance evaluation on enterprise performance is not significant. The results strongly support the hypothesis that innovation holds intermediary variables between high-performance HRM and firm performance. Practical implications - Studying the relationship between high-performance HRM and firm performance can help Chinese enterprises more reasonable and effective learning foreign advanced management ideas and methods. And then can help Chinese enterprises to establish a high-performance HRM system that is suitable for Chinese enterprises; the research can help enterprises to identify meaningful practice of human resources management, outstanding keys, and perfect the HRM system of enterprises; research on innovation and innovative thinking is conducive to develop employees' innovation motive, promote employee' innovative behavior, and improve firm performance. Originality/value - This paper takes innovation as a mediating variable into the model and studies the intermediary role of innovation.</t>
  </si>
  <si>
    <t>[Lu, Kangyin; Zhu, Jinxia] NE Normal Univ, Sch Business, Changchun, Peoples R China; [Bao, Haijun] Zhejiang Univ Finance &amp; Econ, Sch Urban Rural Planning &amp; Management, Hangzhou, Zhejiang, Peoples R China</t>
  </si>
  <si>
    <t>Northeast Normal University - China; Zhejiang University of Finance &amp; Economics</t>
  </si>
  <si>
    <t>Bao, HJ (corresponding author), Zhejiang Univ Finance &amp; Econ, Sch Urban Rural Planning &amp; Management, Hangzhou, Zhejiang, Peoples R China.</t>
  </si>
  <si>
    <t>baohaijun@zufe.edu.cn</t>
  </si>
  <si>
    <t>Lu, Kangyin/0000-0002-0698-1327</t>
  </si>
  <si>
    <t>National Philosophy and Social Science Fund of China [14BJL040]; Fundamental Research Funds for the Central Universities [14ZZ1203]</t>
  </si>
  <si>
    <t>National Philosophy and Social Science Fund of China; Fundamental Research Funds for the Central Universities(Fundamental Research Funds for the Central Universities)</t>
  </si>
  <si>
    <t>This research was financially supported by the National Philosophy and Social Science Fund of China (14BJL040) and the Fundamental Research Funds for the Central Universities (14ZZ1203).</t>
  </si>
  <si>
    <t>0263-5577</t>
  </si>
  <si>
    <t>1758-5783</t>
  </si>
  <si>
    <t>IND MANAGE DATA SYST</t>
  </si>
  <si>
    <t>Ind. Manage. Data Syst.</t>
  </si>
  <si>
    <t>10.1108/IMDS-10-2014-0317</t>
  </si>
  <si>
    <t>Computer Science, Interdisciplinary Applications; Engineering, Industrial</t>
  </si>
  <si>
    <t>Computer Science; Engineering</t>
  </si>
  <si>
    <t>CE8OR</t>
  </si>
  <si>
    <t>WOS:000352103300008</t>
  </si>
  <si>
    <t>Regional Innovation Systems: The Case of Angling Tourism</t>
  </si>
  <si>
    <t>TOURISM GEOGRAPHIES</t>
  </si>
  <si>
    <t>Angling; innovation system; Denmark; environmental regulation; spin-offs</t>
  </si>
  <si>
    <t>For more than two decades, the 'innovation systems approach' has been a favoured framework for micro-economic research in new institutional economics in many Western countries. The concept allows for a better understanding of the complex driving forces and mechanisms that mediate the conditions, the extent and the outcomes of innovative behaviour. However, the ideas behind 'national', 'regional' and 'sectoral' innovation systems remain to be tested in tourism. With environmental protection and tourism development as objectives, the Sea Trout Funen initiative started in 1989 as a collaboration between the county council, the Anglers' Association, tourism businesses and a hatching plant. The activities merit the label 'tourism innovation system', first, because there are stable relations between a large number of actors from the public, voluntary and business sectors with intermittent links to educational institutions. Secondly, the relationship has proven to be mutually beneficial and synergetic. Thirdly, examples are found of consequential innovations in terms of products and services for tourists, in terms of environmental protection and development methods and in terms of the development of human resources. Fourthly, the innovation system has been able to benefit distinctly and positively from external opportunities, such as new regulations.</t>
  </si>
  <si>
    <t>Univ So Denmark, Ctr Tourism Innovat &amp; Culture, DK-6700 Esbjerg, Denmark</t>
  </si>
  <si>
    <t>Hjalager, AM (corresponding author), Univ So Denmark, Ctr Tourism Innovat &amp; Culture, Niels Bohrsvej 9-10, DK-6700 Esbjerg, Denmark.</t>
  </si>
  <si>
    <t>1461-6688</t>
  </si>
  <si>
    <t>1470-1340</t>
  </si>
  <si>
    <t>TOURISM GEOGR</t>
  </si>
  <si>
    <t>Tour. Geogr.</t>
  </si>
  <si>
    <t>PII 922931097</t>
  </si>
  <si>
    <t>10.1080/14616681003725201</t>
  </si>
  <si>
    <t>610HX</t>
  </si>
  <si>
    <t>WOS:000278723600002</t>
  </si>
  <si>
    <t>Aboramadan, M; Kundi, YM; Farao, C</t>
  </si>
  <si>
    <t>Aboramadan, Mohammed; Kundi, Yasir Mansoor; Farao, Caterina</t>
  </si>
  <si>
    <t>Examining the effects of environmentally-specific servant leadership on green work outcomes among hotel employees: the mediating role of climate for green creativity</t>
  </si>
  <si>
    <t>JOURNAL OF HOSPITALITY MARKETING &amp; MANAGEMENT</t>
  </si>
  <si>
    <t>Environmentally-specific servant leadership; climate for green creativity; green innovative work behavior; organizational citizenship behavior for the environment; hotels</t>
  </si>
  <si>
    <t>ORGANIZATIONAL CITIZENSHIP BEHAVIOR; CORPORATE SOCIAL-RESPONSIBILITY; PARTIAL LEAST-SQUARES; INNOVATIVE BEHAVIOR; TRANSFORMATIONAL LEADERSHIP; JOB-PERFORMANCE; METHOD BIAS; HOSPITALITY; MULTILEVEL; INDUSTRY</t>
  </si>
  <si>
    <t>Drawing upon theories of conservation of resources, social information processing and organizational creativity, this study examines the potential effects of environmentally-specific servant leadership (ESSL) on green employee work outcomes (i.e., green innovative work behavior and organizational citizenship behavior for the environment) as well as the possible mediating role of climate for green creativity in the ESSL-green work outcomes relationships. Based on two-wave data collected from 237 employees working in Pakistani hotels, the findings showed that ESSL has a positive association with green work outcomes. Moreover, the results showed that the climate for green creativity mediates the positive association of ESSL with green innovative work behavior and organizational citizenship behavior for the environment. This study is one of the first studies which extends the servant leadership-innovative work behavior literature in hospitality to green innovative behaviors. Discussion, implications and limitations are discussed.</t>
  </si>
  <si>
    <t>[Aboramadan, Mohammed; Farao, Caterina] Univ Insubria, Dept Econ, Via Ravasi 2, I-21100 Varese, Varese, Italy; [Kundi, Yasir Mansoor] Aix Marseille Univ, IAE Aix Grad Sch Management, CERGAM, Marseille, France</t>
  </si>
  <si>
    <t>University of Insubria; UDICE-French Research Universities; Aix-Marseille Universite</t>
  </si>
  <si>
    <t>Aboramadan, M (corresponding author), Univ Insubria, Dept Econ, Via Ravasi 2, I-21100 Varese, Varese, Italy.</t>
  </si>
  <si>
    <t>mohammed.aboramadan@uninsubria.it</t>
  </si>
  <si>
    <t>Kundi, Yasir Mansoor/AAH-6724-2021; Aboramadan, Mohammed/AAJ-3001-2021</t>
  </si>
  <si>
    <t>Kundi, Yasir Mansoor/0000-0001-8962-2751; Aboramadan, Mohammed/0000-0002-3826-0559</t>
  </si>
  <si>
    <t>1936-8623</t>
  </si>
  <si>
    <t>1936-8631</t>
  </si>
  <si>
    <t>J HOSP MARKET MANAG</t>
  </si>
  <si>
    <t>J. Hosp. Market. Manag.</t>
  </si>
  <si>
    <t>NOV 17</t>
  </si>
  <si>
    <t>10.1080/19368623.2021.1912681</t>
  </si>
  <si>
    <t>MAY 2021</t>
  </si>
  <si>
    <t>Business; Hospitality, Leisure, Sport &amp; Tourism; Management</t>
  </si>
  <si>
    <t>WL2RL</t>
  </si>
  <si>
    <t>WOS:000650472500001</t>
  </si>
  <si>
    <t>Aggarwal, A; Chand, PK; Jhamb, D; Mittal, A</t>
  </si>
  <si>
    <t>Aggarwal, Arun; Chand, Pawan Kumar; Jhamb, Deepika; Mittal, Amit</t>
  </si>
  <si>
    <t>Leader-Member Exchange, Work Engagement, and Psychological Withdrawal Behavior: The Mediating Role of Psychological Empowerment</t>
  </si>
  <si>
    <t>leader-member exchange; psychological empowerment; work engagement; psychological withdrawal behavior; structural equation modeling; research and development</t>
  </si>
  <si>
    <t>RESEARCH-AND-DEVELOPMENT; ORGANIZATIONAL CITIZENSHIP BEHAVIOR; MODERATING ROLE; JOB-SATISFACTION; EMPLOYEE ENGAGEMENT; LMX DIFFERENTIATION; INNOVATIVE BEHAVIOR; TURNOVER INTENTION; TRANSACTIONAL LEADERSHIP; SOCIAL EXCHANGES</t>
  </si>
  <si>
    <t>Perceptions of psychological empowerment play a vital role in the way an individual perceives things at the workplace. In spite of this, there is scant research on the antecedents and consequences of psychological empowerment. This study is an attempt to fill this gap by analyzing the mediating role of psychological empowerment on the relationship between its antecedents (leader-member exchange) and its consequences (work engagement and psychological withdrawal behavior). Data were collected from 454 employees working in the Research and Development (R&amp;D) departments of the information technology (IT) and pharmaceutical sectors operating in India. Results suggest that employees who have a high-quality relationship with their leader have high psychological empowerment, they are highly engaged at work, and their psychological withdrawal behavior is also low. In addition to this, high levels of psychological empowerment have a positive impact on their engagement toward work, which further leads to a low psychological withdrawal behavior. The theoretical and practical implications of these results are discussed.</t>
  </si>
  <si>
    <t>[Aggarwal, Arun; Chand, Pawan Kumar; Jhamb, Deepika; Mittal, Amit] Chitkara Univ, Chitkara Business Sch, Rajpura, Punjab, India</t>
  </si>
  <si>
    <t>Chitkara University, Punjab</t>
  </si>
  <si>
    <t>Aggarwal, A (corresponding author), Chitkara Univ, Chitkara Business Sch, Rajpura, Punjab, India.</t>
  </si>
  <si>
    <t>arunaggarwal.mba@gmail.com</t>
  </si>
  <si>
    <t>Aggarwal, Arun/AAC-8673-2021; MITTAL, AMIT/AAD-2112-2019</t>
  </si>
  <si>
    <t>Aggarwal, Arun/0000-0003-3986-188X; MITTAL, AMIT/0000-0002-1191-4620</t>
  </si>
  <si>
    <t>MAR 31</t>
  </si>
  <si>
    <t>10.3389/fpsyg.2020.00423</t>
  </si>
  <si>
    <t>LE5JH</t>
  </si>
  <si>
    <t>WOS:000526754500001</t>
  </si>
  <si>
    <t>Nazir, S; Shafi, A; Atif, MM; Qun, W; Abdullah, SM</t>
  </si>
  <si>
    <t>Nazir, Sajjad; Shafi, Amina; Atif, Mian Muhammad; Qun, Wang; Abdullah, Syed Muhammad</t>
  </si>
  <si>
    <t>How organization justice and perceived organizational support facilitate employees' innovative behavior at work</t>
  </si>
  <si>
    <t>EMPLOYEE RELATIONS</t>
  </si>
  <si>
    <t>Organizational justice; Innovative behaviour; Organizational culture; Affective commitment; Perceived organization support</t>
  </si>
  <si>
    <t>LEADER-MEMBER EXCHANGE; SOCIAL-EXCHANGE; AFFECTIVE COMMITMENT; PROCEDURAL JUSTICE; PSYCHOLOGICAL EMPOWERMENT; CITIZENSHIP BEHAVIORS; NORMATIVE COMMITMENT; SUPERVISOR SUPPORT; POWER DISTANCE; CULTURE</t>
  </si>
  <si>
    <t>Purpose The purpose of this paper is to analyze the relationships among organizational justice, innovative organization culture, perceived organizational support (POS), affective commitment and innovative behavior (IB). The mediating role of POS is tested within the relationship of justice dimensions, affective commitment and IB. Design/methodology/approach Data for this research were collected from 367 managerial and executive employees working in manufacturing and IT sector firms in Pakistan. Structural equation modeling was utilized to test hypothesized relationships. Findings Results indicate that organizational justice (distributive, procedural and interactional justice), innovative organization culture and POS are significantly related to affective commitment and employees' IB. The findings also showed that organizational justice stimulates employees' affective commitment and IB through mediating POS as well as directly. Originality/value This study makes important theoretical contributions using social exchange theory. It also expands the research in the area of organizational justice dimensions, organizational culture and POS as antecedents of affective commitment and IB. This study is an exceptional investigation of justice, organization culture, POS, commitment and IB in the Pakistan cultural context.</t>
  </si>
  <si>
    <t>[Nazir, Sajjad; Shafi, Amina] Hohai Univ, Hohai Business Sch, Nanjing, Jiangsu, Peoples R China; [Atif, Mian Muhammad] Natl Univ Comp &amp; Emerging Sci, FAST Sch Management, Lahore, Pakistan; [Qun, Wang] Hohai Univ, Hohai Business Sch, Nanjing, Jiangsu, Peoples R China; [Abdullah, Syed Muhammad] Ghulam Ishaq Khan Inst Engn Sci &amp; Technol, Dept Management Sci, Topi, Pakistan</t>
  </si>
  <si>
    <t>Hohai University; Hohai University; GIK Institute Engineering Science &amp; Technology</t>
  </si>
  <si>
    <t>Nazir, S (corresponding author), Hohai Univ, Hohai Business Sch, Nanjing, Jiangsu, Peoples R China.</t>
  </si>
  <si>
    <t>sajjadnazir@hotmail.com; aminasajjad@hotmail.co.uk; mian.atif@nu.edu.pk; wqun@hhu.edu.cn; s.m.abdullah@live.com</t>
  </si>
  <si>
    <t>National Social Science Fund of China [18BGL129]; Scientific Research Fund for Universities by Chinese Ministry of Education [2018B30214, 2018B47914]</t>
  </si>
  <si>
    <t>The authors would like to thank Editor in Chief Professor Dennis Nickson and the anonymous reviewers for their constructive and helpful comments and suggestions. An earlier version of the paper was accepted for presentation at the 31st Australian and New Zealand Academy of Management, Melbourne in 2017. This study was supported by the National Social Science Fund of China (No 18BGL129) and Scientific Research Fund for Universities by Chinese Ministry of Education (2018B30214 &amp; 2018B47914). The funds are awarded to the author, Professor Wang Qun.</t>
  </si>
  <si>
    <t>0142-5455</t>
  </si>
  <si>
    <t>1758-7069</t>
  </si>
  <si>
    <t>EMPL RELAT</t>
  </si>
  <si>
    <t>Empl. Relat.</t>
  </si>
  <si>
    <t>OCT 7</t>
  </si>
  <si>
    <t>10.1108/ER-01-2017-0007</t>
  </si>
  <si>
    <t>IZ4EH</t>
  </si>
  <si>
    <t>WOS:000487036600009</t>
  </si>
  <si>
    <t>Sonmez, B; Yildirim, A</t>
  </si>
  <si>
    <t>Sonmez, Betul; Yildirim, Aytolan</t>
  </si>
  <si>
    <t>The mediating role of autonomy in the effect of pro-innovation climate and supervisor supportiveness on innovative behavior of nurses</t>
  </si>
  <si>
    <t>13th Nursing Congress of the European-Nurse-Directors-Association (ENDA)</t>
  </si>
  <si>
    <t>OCT 12-14, 2017</t>
  </si>
  <si>
    <t>Opatija, CROATIA</t>
  </si>
  <si>
    <t>European Nurse Directors Assoc</t>
  </si>
  <si>
    <t>Autonomy; Innovative behaviour; Mediating role; Nurse; Pro-innovation climate; Supervisor supportiveness</t>
  </si>
  <si>
    <t>WORK BEHAVIOR; ORGANIZATIONAL-CLIMATE; EMPLOYEE INNOVATION; LEADERSHIP; HOSPITALS; LEVEL</t>
  </si>
  <si>
    <t>Purpose The purpose of this paper is to test the mediating role of autonomy in the effect of a pro-innovation organizational climate and supervisor supportiveness (SS) on the innovative behavior (IB) of nurses. Design/methodology/approach The sample of this cross-sectional, correlational study consisted of 332 nurses, who were selected, on the basis of the convenience sampling method, from among the nurses working at two public university hospitals in Istanbul. The data of the study were collected between February and May of 2015. Descriptive analysis and linear regression analysis were used for data analysis, and the bootstrapping method was applied to test the significance of the mediating role. Findings The model used for examining the mediating role of autonomy was found to be statistically significant, as it explained 36 percent of the variance of IB. When the significance of the mediating role was tested, its effect on both innovation climate and SS was observed to be significant. Originality/value The obtained results indicated that a pro-innovation organizational climate and SS functioned as premises for autonomy. In turn, the rise in autonomy level that served to innovative climate and SS increased the IB of the nurses through boosting their autonomy level. From these results, it can be argued that nurses with a high level of professional autonomy can create innovative outputs and provide added value through the IB they practice in providing patient care and general health services.</t>
  </si>
  <si>
    <t>[Sonmez, Betul; Yildirim, Aytolan] Istanbul Univ Cerrahpasa, Florence Nightingale Fac Nursing, Istanbul, Turkey</t>
  </si>
  <si>
    <t>Istanbul University - Cerrahpasa</t>
  </si>
  <si>
    <t>Sonmez, B (corresponding author), Istanbul Univ Cerrahpasa, Florence Nightingale Fac Nursing, Istanbul, Turkey.</t>
  </si>
  <si>
    <t>betul.sonmez@istanbul.edu.tr; aytolany@istanbul.edu.tr</t>
  </si>
  <si>
    <t>SÖNMEZ, BETÜL/GQP-2799-2022; Sönmez, Betül/AAC-5847-2021</t>
  </si>
  <si>
    <t>JAN 14</t>
  </si>
  <si>
    <t>10.1108/EJIM-05-2018-0088</t>
  </si>
  <si>
    <t>HG3YB</t>
  </si>
  <si>
    <t>WOS:000454910000003</t>
  </si>
  <si>
    <t>D'Acierno, L; Gallo, M; Montella, B</t>
  </si>
  <si>
    <t>D'Acierno, Luca; Gallo, Mariano; Montella, Bruno</t>
  </si>
  <si>
    <t>An Ant Colony Optimisation algorithm for solving the asymmetric traffic assignment problem</t>
  </si>
  <si>
    <t>EUROPEAN JOURNAL OF OPERATIONAL RESEARCH</t>
  </si>
  <si>
    <t>Traffic; Ant Colony Optimisation; Signal settings design; Stochastic traffic assignment</t>
  </si>
  <si>
    <t>SIGNAL SETTINGS; NETWORK EQUILIBRIUM; DESIGN; SYSTEM</t>
  </si>
  <si>
    <t>In this paper we propose an Ant Colony Optimisation (ACO) algorithm for defining the signal settings on urban networks following a local approach. This consists in optimising the signal settings of each intersection of an urban network as a function only of traffic flows at the accesses to the same intersection, taking account of the effects of signal settings on costs and on user route choices. This problem, also known as Local Optimisation of Signal Settings (LOSS), has been widely studied in the literature and can be formulated as an asymmetric assignment problem. The proposed ACO algorithm is based on two kinds of behaviour of artificial ants which allow the LOSS problem to be solved: traditional behaviour based on the response to pheromones for simulating user route choice, and innovative behaviour based on the pressure of an ant stream for solving the signal setting definition problem. Our results on real-scale networks show that the proposed approach allows the solution to be obtained in less time but with the same accuracy as in traditional MSA (Method of Successive Averages) approaches. (C) 2011 Elsevier B.V. All rights reserved.</t>
  </si>
  <si>
    <t>[D'Acierno, Luca; Montella, Bruno] Univ Naples Federico II, Dept Transportat Engn, I-80125 Naples, Italy; [Gallo, Mariano] Univ Sannio, Dept Engn, I-82100 Benevento, Italy</t>
  </si>
  <si>
    <t>University of Naples Federico II; University of Sannio</t>
  </si>
  <si>
    <t>D'Acierno, L (corresponding author), Univ Naples Federico II, Dept Transportat Engn, Via Claudio 21, I-80125 Naples, Italy.</t>
  </si>
  <si>
    <t>dacierno@unina.it; gallo@unisannio.it; montella@unina.it</t>
  </si>
  <si>
    <t>D'Acierno, Luca/A-2189-2012; Montella, Bruno/A-5826-2012; Gallo, Mariano/J-1566-2012</t>
  </si>
  <si>
    <t xml:space="preserve">D'Acierno, Luca/0000-0002-6246-2177; Montella, Bruno/0000-0002-8647-8624; </t>
  </si>
  <si>
    <t>0377-2217</t>
  </si>
  <si>
    <t>1872-6860</t>
  </si>
  <si>
    <t>EUR J OPER RES</t>
  </si>
  <si>
    <t>Eur. J. Oper. Res.</t>
  </si>
  <si>
    <t>10.1016/j.ejor.2011.09.035</t>
  </si>
  <si>
    <t>Management; Operations Research &amp; Management Science</t>
  </si>
  <si>
    <t>Business &amp; Economics; Operations Research &amp; Management Science</t>
  </si>
  <si>
    <t>859JW</t>
  </si>
  <si>
    <t>WOS:000297873700023</t>
  </si>
  <si>
    <t>Teng, CC; Hu, CM; Chang, JH</t>
  </si>
  <si>
    <t>Teng, Chih-Ching; Hu, Cheng-Ming; Chang, Jung-Hua</t>
  </si>
  <si>
    <t>Triggering Creative Self-Efficacy to Increase Employee Innovation Behavior in the Hospitality Workplace</t>
  </si>
  <si>
    <t>creative personality; creative self-efficacy; innovative behavior; job stress; knowledge sharing; psychological empowerment</t>
  </si>
  <si>
    <t>TRANSFORMATIONAL LEADERSHIP; PSYCHOLOGICAL EMPOWERMENT; MEDIATING ROLE; JOB STRESS; POTENTIAL ANTECEDENTS; PERSONALITY-TRAITS; ETHICAL LEADERSHIP; WORK; PERFORMANCE; KNOWLEDGE</t>
  </si>
  <si>
    <t>This study investigated how creative personality, psychological empowerment, and job stress affect creative self-efficacy and innovative behavior in hospitality employees. A hypothesized moderating role of knowledge-sharing role in the relationship between creative self-efficacy and innovative behavior was also tested. Three hundred and thirty-nine employees and 89 supervisors employed by International Tourist Hotels in Taiwan participated in the study. A structural equation modeling analysis indicated that creative self-efficacy significantly mediates the effects of creative personality and psychological empowerment on innovative behavior in the hospitality industry. The positive effect of creative self-efficacy on innovative behavior was larger in high knowledge-sharing work environments than in low knowledge-sharing work environments. Theoretical and practical implications are further discussed.</t>
  </si>
  <si>
    <t>[Teng, Chih-Ching] Fu Jen Catholic Univ, New Taipei, Taiwan; [Hu, Cheng-Ming] Southeast Missouri State Univ, Cape Girardeau, MO 63701 USA; [Chang, Jung-Hua] Natl Sun Yat Sen Univ, Kaohsiung, Taiwan</t>
  </si>
  <si>
    <t>Fu Jen Catholic University; National Sun Yat Sen University</t>
  </si>
  <si>
    <t>Chang, JH (corresponding author), Natl Sun Yat Sen Univ, Inst Mkt Commun, 70 Lienhai Rd, Kaohsiung 80424, Taiwan.</t>
  </si>
  <si>
    <t>junghua1006@gmail.com</t>
  </si>
  <si>
    <t>Teng, Chih-Ching/0000-0002-0424-4323</t>
  </si>
  <si>
    <t>Ministry of Science and Technology of the Republic of China, Taiwan [NSC-101-2511-S-030-004-MY3]</t>
  </si>
  <si>
    <t>Ministry of Science and Technology of the Republic of China, Taiwan(Ministry of Science and Technology, Taiwan)</t>
  </si>
  <si>
    <t>The authors would like to thank the Ministry of Science and Technology of the Republic of China, Taiwan, for financially supporting this research under contract NSC-101-2511-S-030-004-MY3.</t>
  </si>
  <si>
    <t>10.1002/jocb.419</t>
  </si>
  <si>
    <t>JUL 2019</t>
  </si>
  <si>
    <t>PI9OH</t>
  </si>
  <si>
    <t>WOS:000474259800001</t>
  </si>
  <si>
    <t>Customer participation in services and employee innovative behavior: The mediating role of interpersonal trust</t>
  </si>
  <si>
    <t>Services; Affective trust; Employee innovative behavior; Customer participation; Cognitive trust</t>
  </si>
  <si>
    <t>SOCIAL-EXCHANGE; CO-CREATION; TURNOVER INTENTION; JOB-SATISFACTION; HOTEL INDUSTRY; HOSPITALITY; PERFORMANCE; ANTECEDENTS; TOURISM; COPRODUCTION</t>
  </si>
  <si>
    <t>Purpose - This paper aims to investigate the influence of customer participation in services on the innovative behaviors of employees. Although previous studies have acknowledged the importance of customers in service innovation and investigated how customer participation in product development teams affect innovation, the effect of mandatory customer participation in services on the employee innovative behavior has not been examined. In addition to addressing such gap, this study proposed the mediating role of interpersonal trust in the relationship between customer participation and employee innovative behavior and then tested the hypotheses in a restaurant context. Design/methodology/approach - A total of 514 valid questionnaires were collected from frontline employees or entry-level managers in 25 well-known restaurants (including 14 hotels and 11 freestanding restaurants) in Beijing, China. The relationships among customer participation, interpersonal trust and employee innovative behavior were examined using structural models analyzed in AMOS 20.0. Findings - The structural equation modeling results indicate that customers' information and emotional participation in services significantly influence the innovative behavior of employees, whereas behavioral participation does not. In addition, a high level of interpersonal trust between customers and employees may increase employee innovative behaviors. Moreover, unlike cognitive trust, affective trust mediates the relationship between customer information or emotional participation and employee innovative behavior. Practical implications - Findings indicate that service firms can encourage customers to participate actively in service co-creation; their participation in terms of information is encouraged to foster employee innovative behaviors by training employees and establishing an appropriate climate for information exchange. Moreover, service firms must pay attention to the emotions of customers during the service processes. Furthermore, the affective trust between customers and employees is significant to service firms, which need to take measures for employees to manage their relationships with customers well. Originality/value - Based on the concepts of service marketing and organizational behavior, this study contributes to the research on customer-employee co-production and employee innovative behavior from an interdisciplinary perspective. The study reveals the influencing mechanism of customer participation on employee innovative behavior and contributes to the research on customer-employee interpersonal trust. Previous studies emphasized the importance of trust among work group members in innovation, while this study supports the association between customer-employee interpersonal trust and employee innovative behaviors.</t>
  </si>
  <si>
    <t>[Li, Minglong] Zhongnan Univ Econ &amp; Law, Sch Business Adm, Wuhan, Hubei, Peoples R China; [Hsu, Cathy H. C.] Hong Kong Polytech Univ, Sch Hotel &amp; Tourism Management, Kowloon, Hong Kong, Peoples R China</t>
  </si>
  <si>
    <t>Zhongnan University of Economics &amp; Law; Hong Kong Polytechnic University</t>
  </si>
  <si>
    <t>Li, ML (corresponding author), Zhongnan Univ Econ &amp; Law, Sch Business Adm, Wuhan, Hubei, Peoples R China.</t>
  </si>
  <si>
    <t>minglong.li@connect.polyu.hk</t>
  </si>
  <si>
    <t>Li, Minglong/AAO-4228-2021; Hsu, Cathy H.C./H-8453-2017</t>
  </si>
  <si>
    <t>Li, Minglong/0000-0002-6387-2186; Hsu, Cathy H.C./0000-0002-7948-6802</t>
  </si>
  <si>
    <t>10.1108/IJCHM-08-2016-0465</t>
  </si>
  <si>
    <t>GE2FJ</t>
  </si>
  <si>
    <t>WOS:000431030700007</t>
  </si>
  <si>
    <t>Aubert, BA; Kishore, R; Iriyama, A</t>
  </si>
  <si>
    <t>Aubert, Benoit A.; Kishore, Rajiv; Iriyama, Akie</t>
  </si>
  <si>
    <t>Exploring and managing the innovation through outsourcing paradox</t>
  </si>
  <si>
    <t>JOURNAL OF STRATEGIC INFORMATION SYSTEMS</t>
  </si>
  <si>
    <t>Outsourcing; Innovation; Paradox</t>
  </si>
  <si>
    <t>MANAGEMENT CONTROL; EXPLORATION; EXPLOITATION; ORGANIZATIONS; SOFTWARE; COLLABORATION; ADAPTATION; NETWORKS; RESOURCE; STRATEGY</t>
  </si>
  <si>
    <t>This paper identifies the conditions that create a paradox when firms try to obtain innovation using outsourcing contracts. While outsourcing can be a way to obtain new ideas from business partners, most of the guidelines related to good contract management seem to deter innovative behavior. Managers trying to innovate using outsourcing are therefore facing two opposing sets of constraints, and have to manage both at the same time. In this paper, the nature of the innovation through outsourcing paradox is discussed in terms of the tensions between a contractual view of outsourcing and an innovation view of outsourcing, along with their associated reinforcing cycles. The paper outlines four mechanisms that are essentially self-correcting cycles. They include: 1) dual formal reviews; 2) matching governance with level of innovation focus; 3) dynamic decision-making/ extreme contracting; and 4) ambidextrous organization. These can enable managers to deal with this paradox and obtain innovation from outsourcing arrangements in a successful manner. Complexities involved in implementing these mechanisms are discussed and some avenues for future research are offered. (C) 2015 Elsevier B.V. All rights reserved.</t>
  </si>
  <si>
    <t>[Aubert, Benoit A.] Victoria Univ Wellington, Sch Informat Management, Victoria Business Sch, POB 600, Wellington 6140, New Zealand; [Kishore, Rajiv] SUNY Buffalo, Sch Management, Dept Management Sci &amp; Syst, Buffalo, NY 14260 USA; [Iriyama, Akie] WASEDA Business Sch, Shinjuku Ku, Tokyo 1698050, Japan</t>
  </si>
  <si>
    <t>Victoria University Wellington; State University of New York (SUNY) System; State University of New York (SUNY) Buffalo</t>
  </si>
  <si>
    <t>Aubert, BA (corresponding author), Victoria Univ Wellington, Sch Informat Management, Victoria Business Sch, POB 600, Wellington 6140, New Zealand.</t>
  </si>
  <si>
    <t>benoit.aubert@vuw.ac.nz</t>
  </si>
  <si>
    <t>Kishore, Rajiv/AAE-9167-2022</t>
  </si>
  <si>
    <t>Aubert, Benoit/0000-0002-3920-5578</t>
  </si>
  <si>
    <t>0963-8687</t>
  </si>
  <si>
    <t>1873-1198</t>
  </si>
  <si>
    <t>J STRATEGIC INF SYST</t>
  </si>
  <si>
    <t>J. Strateg. Inf. Syst.</t>
  </si>
  <si>
    <t>10.1016/j.jsis.2015.10.003</t>
  </si>
  <si>
    <t>CZ5DB</t>
  </si>
  <si>
    <t>WOS:000367121600005</t>
  </si>
  <si>
    <t>Schulze, A; MacDuffie, JP; Taube, FA</t>
  </si>
  <si>
    <t>Schulze, Anja; MacDuffie, John Paul; Taube, Florian A.</t>
  </si>
  <si>
    <t>Introduction: knowledge generation and innovation diffusion in the global automotive industry-change and stability during turbulent times</t>
  </si>
  <si>
    <t>O33; O31; L62; O32; F23; L22; M13; L62; D43; L16</t>
  </si>
  <si>
    <t>BOUNDARIES; CAPABILITY; EVOLUTION; FIRMS</t>
  </si>
  <si>
    <t>This introduction to this special section establishes the context within which automotive firms cope with turbulence caused by globalization, new governmental regulations, and advances in electronics, communication, and drive train technologies. While exploring change, the papers in the special section also report on stability, e.g. in the central role of Original Equipment Manufacturers in system integration and their resulting dominance over product architecture and supply chain dynamics. We apply the lens of change and stability to two stages of the innovation lifecycle: (i) knowledge generation; and (ii) the diffusion of innovations. The papers, organized along these dimensions, help us understand how and why automotive firms are changing their ways of innovating, but also why past patterns of innovative behavior persist. We close with an outlook on future research topics to complement this special section.</t>
  </si>
  <si>
    <t>[Schulze, Anja] Univ Zurich, Dept Business Adm, Swiss Ctr Automot Res Swiss CAR, CH-8032 Zurich, Switzerland; [MacDuffie, John Paul] Univ Penn, Wharton Sch, Dept Management, Philadelphia, PA 19104 USA; [Taube, Florian A.] Univ Libre Bruxelles, Solvay Brussels Sch Econ &amp; Management, Emile Bernheim Chair Entrepreneurship Global Cont, B-1050 Brussels, Belgium</t>
  </si>
  <si>
    <t>University of Zurich; University of Pennsylvania; Solvay SA; Universite Libre de Bruxelles</t>
  </si>
  <si>
    <t>Schulze, A (corresponding author), Univ Zurich, Dept Business Adm, Swiss Ctr Automot Res Swiss CAR, Plattenstr 14, CH-8032 Zurich, Switzerland.</t>
  </si>
  <si>
    <t>anja.schulze@uzh.ch; macduffie@wharton.upenn.edu; ftaube@ulb.ac.be</t>
  </si>
  <si>
    <t>Schulze, Anja/D-9193-2016; Taeube, Florian/AAS-2804-2021</t>
  </si>
  <si>
    <t xml:space="preserve">Schulze, Anja/0000-0002-7693-2467; </t>
  </si>
  <si>
    <t>Swiss National Science Foundation; Mack Institute for Innovation Management at the Wharton School, University of Pennsylvania; Fondation Bernheim</t>
  </si>
  <si>
    <t>Swiss National Science Foundation(Swiss National Science Foundation (SNSF)); Mack Institute for Innovation Management at the Wharton School, University of Pennsylvania; Fondation Bernheim</t>
  </si>
  <si>
    <t>The first author's reseach is funded by the Swiss National Science Foundation. The second author's research is funded by the Mack Institute for Innovation Management at the Wharton School, University of Pennsylvania. The third author's research is funded by the Fondation Bernheim, which endowed the Emile Bernheim Chair for Entrepreneurship in a Global Context at the Solvay Brussels School, Universite libre de Bruxelles.</t>
  </si>
  <si>
    <t>1464-3650</t>
  </si>
  <si>
    <t>10.1093/icc/dtv015</t>
  </si>
  <si>
    <t>CK5BB</t>
  </si>
  <si>
    <t>WOS:000356236000003</t>
  </si>
  <si>
    <t>Nielsen, M</t>
  </si>
  <si>
    <t>Nielsen, Mark</t>
  </si>
  <si>
    <t>Young Children's Imitative and Innovative Behaviour on the Floating Object Task</t>
  </si>
  <si>
    <t>INFANT AND CHILD DEVELOPMENT</t>
  </si>
  <si>
    <t>imitation; innovation; social learning; tool use; culture</t>
  </si>
  <si>
    <t>OVER-IMITATION; CUMULATIVE CULTURE; EVOLUTION; ANIMALS; OTHERS; SCOPE; OVERIMITATION; CHIMPANZEES; 3RD-PARTY; HUMANS</t>
  </si>
  <si>
    <t>Past research has shown that children will copy the actions of adults with high fidelity, even actions that are obviously causally irrelevant to the modelled outcome. However, this phenomenon has always been documented in cases where a clear functional outcome has been brought about (e.g. getting a box open to retrieve a toy). Here, we demonstrate how young children will continue to adopt the precise actions shown to them by an adult even if the goal of the actions is not realized during modelling. A group of 4-year-old participants were presented with a toy lying at the bottom of a Perspex tube. Despite the availability of a bottle of water, and unlike the responses of a group of adults, few children spontaneously identified the solution of pouring the water into the tube to raise the toy up the tube where it could be reached. The majority did so, however, after seeing an adult demonstrate this approach. Critically, children copied the specific method of the adult, even when this involved the unnecessary steps of pouring from the bottle into a cup before pouring from the cup into the tube. These results highlight the value of overimitation to children growing up in a world filled with objects whose operating mechanisms are often hidden or unclear. Copyright (c) 2012 John Wiley &amp; Sons, Ltd.</t>
  </si>
  <si>
    <t>Univ Queensland, Sch Psychol, Brisbane, Qld 4072, Australia</t>
  </si>
  <si>
    <t>Nielsen, M (corresponding author), Univ Queensland, Sch Psychol, Brisbane, Qld 4072, Australia.</t>
  </si>
  <si>
    <t>nielsen@psy.uq.edu.au</t>
  </si>
  <si>
    <t>Nielsen, Mark/A-6792-2013</t>
  </si>
  <si>
    <t>Nielsen, Mark/0000-0002-0402-8372</t>
  </si>
  <si>
    <t>1522-7227</t>
  </si>
  <si>
    <t>INFANT CHILD DEV</t>
  </si>
  <si>
    <t>Infant Child Dev.</t>
  </si>
  <si>
    <t>10.1002/icd.1765</t>
  </si>
  <si>
    <t>092AR</t>
  </si>
  <si>
    <t>WOS:000315091700004</t>
  </si>
  <si>
    <t>Vetterlein, A</t>
  </si>
  <si>
    <t>Vetterlein, Antje</t>
  </si>
  <si>
    <t>Economic growth, poverty reduction, and the role of social policies: The evolution of the World Bank's social development approach</t>
  </si>
  <si>
    <t>GLOBAL GOVERNANCE</t>
  </si>
  <si>
    <t>World Bank; development strategy; internal advocates; international organizations; discursive change</t>
  </si>
  <si>
    <t>The World Bank has undergone tremendous change recently. One crucial innovation is its initiative to raise social development to the level of core issue within its development strategy. While the Bank has always been concerned with social issues, the meaning and operational significance of social has changed over time. Using a content analysis of relevant World Bank documents, I distinguish three periods where the meaning of social has changed. The article's main objective is to explain this change in the Bank, allowing us to answer questions about the conditions for policy change in international organizations. Is the World Bank merely adapting to the outside world, or is it engaging in innovative behavior? The case study reveals an alternative explanation for policy change in IOs other than either external pressure or internal advocacy. It shows that external and internal triggers are related and reinforce each other.</t>
  </si>
  <si>
    <t>Univ Essex, Colchester CO4 3SQ, Essex, England</t>
  </si>
  <si>
    <t>University of Essex</t>
  </si>
  <si>
    <t>Vetterlein, A (corresponding author), Univ Essex, Colchester CO4 3SQ, Essex, England.</t>
  </si>
  <si>
    <t>Vetterlein, Antje/GZH-0708-2022</t>
  </si>
  <si>
    <t>BRILL</t>
  </si>
  <si>
    <t>LEIDEN</t>
  </si>
  <si>
    <t>PLANTIJNSTRAAT 2, P O BOX 9000, 2300 PA LEIDEN, NETHERLANDS</t>
  </si>
  <si>
    <t>1075-2846</t>
  </si>
  <si>
    <t>1942-6720</t>
  </si>
  <si>
    <t>GLOBAL GOV</t>
  </si>
  <si>
    <t>Glob. Gov.</t>
  </si>
  <si>
    <t>OCT-DEC</t>
  </si>
  <si>
    <t>10.1163/19426720-01304006</t>
  </si>
  <si>
    <t>International Relations</t>
  </si>
  <si>
    <t>235YS</t>
  </si>
  <si>
    <t>WOS:000251270800006</t>
  </si>
  <si>
    <t>Wang, ZN; Meng, LJ; Cai, SH</t>
  </si>
  <si>
    <t>Wang, Zhining; Meng, Lijun; Cai, Shaohan</t>
  </si>
  <si>
    <t>Servant leadership and innovative behavior: a moderated mediation</t>
  </si>
  <si>
    <t>Innovation; Leadership; Multilevel analysis; Positive psychology</t>
  </si>
  <si>
    <t>ETHICAL LEADERSHIP; TEAM REFLEXIVITY; WORK; MULTILEVEL; MODEL; ANTECEDENTS; CREATIVITY; DEMANDS; IMPACT</t>
  </si>
  <si>
    <t>Purpose The purpose of this paper is to explore the cross-level effect of servant leadership on employee innovative behavior by studying the mediating role of thriving at work and the moderating role of team reflexivity. Design/methodology/approach This research collected data from 199 dyads of employees and their direct supervisors in 55 work units, and tested a cross-level moderated mediation model using multilevel path analysis. Findings The findings suggest that thriving at work mediates the relationship between servant leadership and innovative behavior. The results also show that team reflexivity positively moderates the relationship between servant leadership and thriving at work and the mediating effect of thriving at work. Practical implications - The empirical findings suggest that organizations should make efforts to promote servant leadership and encourage team reflexivity. Moreover, managers should make efforts to stimulate employees' thriving at work, thereby facilitating employee and organizational development. Originality/value This research identifies thriving at work as a key mediator that links servant leadership to innovative behavior and reveals the role of team reflexivity in strengthening the effect of servant leadership on employee innovative behavior.</t>
  </si>
  <si>
    <t>[Wang, Zhining; Meng, Lijun] China Univ Min &amp; Technol, Sch Management, Xuzhou, Jiangsu, Peoples R China; [Cai, Shaohan] Carleton Univ, Sprott Sch Business, Ottawa, ON, Canada</t>
  </si>
  <si>
    <t>China University of Mining &amp; Technology; Carleton University</t>
  </si>
  <si>
    <t>Wang, ZN (corresponding author), China Univ Min &amp; Technol, Sch Management, Xuzhou, Jiangsu, Peoples R China.</t>
  </si>
  <si>
    <t>wzncumt@126.com</t>
  </si>
  <si>
    <t>Silva, Gleibson/AAA-8482-2021; meng, li/HTQ-7341-2023; meng, li/GVT-2063-2022</t>
  </si>
  <si>
    <t>Fundamental Research Funds for Central Universities in China [2017XKQY087]; Humanities and Social Sciences Research Funds of the Chinese Education Ministry [17YJA630104]; Double First-Class Initiative Project for Cultural Evolution and Creation of China University of Mining and Technology [2018WHCC03/05]</t>
  </si>
  <si>
    <t>Fundamental Research Funds for Central Universities in China; Humanities and Social Sciences Research Funds of the Chinese Education Ministry; Double First-Class Initiative Project for Cultural Evolution and Creation of China University of Mining and Technology</t>
  </si>
  <si>
    <t>This research is partly supported by the Fundamental Research Funds for Central Universities in China (Grant No. 2017XKQY087), the Humanities and Social Sciences Research Funds of the Chinese Education Ministry (Grant No. 17YJA630104) and the Double First-Class Initiative Project for Cultural Evolution and Creation of China University of Mining and Technology (Grant No. 2018WHCC03/05).</t>
  </si>
  <si>
    <t>NOV 11</t>
  </si>
  <si>
    <t>10.1108/JMP-11-2018-0499</t>
  </si>
  <si>
    <t>JR9GG</t>
  </si>
  <si>
    <t>WOS:000499924200001</t>
  </si>
  <si>
    <t>Purc, E; Laguna, M</t>
  </si>
  <si>
    <t>Purc, Ewelina; Laguna, Mariola</t>
  </si>
  <si>
    <t>Personal Values and Innovative Behavior of Employees</t>
  </si>
  <si>
    <t>values; innovation; innovative behavior; job autonomy; employees</t>
  </si>
  <si>
    <t>JOB AUTONOMY; SELF-DETERMINATION; INDIVIDUAL-VALUES; WORK ENGAGEMENT; MODERATING ROLE; FAIRNESS PERCEPTIONS; CREATIVITY; PERFORMANCE; DESIGN; ORGANIZATIONS</t>
  </si>
  <si>
    <t>Innovations are based on the good ideas of individuals; therefore, it is very important to better understand the role that individuals and their personal characteristics play in innovative initiatives. The aim of the current study was to test the relationships between employees' personal values and their innovative behavior. It was hypothesized that these relationships are mediated by an employee's job autonomy. We integrated Schwartz's basic human values theory with the notion that job autonomy is an important job characteristic that can be redesigned to better fit employees' preferences. The study results (obtained from 263 employees in different branches) showed that openness to change and self-enhancement values are positively related to job autonomy, whereas conservation and self-transcendence values are negatively related to job autonomy, which confirms that personal values are important in explaining autonomy in the workplace. In addition, employees' self-enhancement values are positively related to their innovative behavior, while conservation and self-transcendence values are negatively related to innovative behavior. Mediation analysis with a bias-corrected bootstrapping method showed that job autonomy is a significant mediator of the relationships between employees' personal values (except for openness to change) and their innovative behavior. Our research extends the theory of basic human values, showing that values serve as a personal basis for innovative behavior. Our results also contribute to the innovation research by demonstrating the importance of personal values and job autonomy for innovative behavior in organizations.</t>
  </si>
  <si>
    <t>[Purc, Ewelina; Laguna, Mariola] John Paul II Catholic Univ Lublin, Lublin, Poland</t>
  </si>
  <si>
    <t>Catholic University of Lublin</t>
  </si>
  <si>
    <t>Laguna, M (corresponding author), John Paul II Catholic Univ Lublin, Lublin, Poland.</t>
  </si>
  <si>
    <t>laguna@kul.pl</t>
  </si>
  <si>
    <t>Purc, Ewelina/0000-0003-0021-4802</t>
  </si>
  <si>
    <t>APR 18</t>
  </si>
  <si>
    <t>10.3389/fpsyg.2019.00865</t>
  </si>
  <si>
    <t>HU2TK</t>
  </si>
  <si>
    <t>WOS:000465124400001</t>
  </si>
  <si>
    <t>Chen, Y; Jiang, YJ; Tang, GY; Cooke, FL</t>
  </si>
  <si>
    <t>Chen, Yang; Jiang, Yan J.; Tang, Guiyao; Cooke, Fang L.</t>
  </si>
  <si>
    <t>High-commitment work systems and middle managers' innovative behavior in the Chinese context: The moderating role of work-life conflicts and work climate</t>
  </si>
  <si>
    <t>China; high-commitment working systems; innovation performance; middle managers; work climate; work-family conflict</t>
  </si>
  <si>
    <t>HUMAN-RESOURCE PRACTICES; FAMILY CONFLICT; SOCIAL SUPPORT; CITIZENSHIP BEHAVIOR; HR PRACTICES; PERFORMANCE; STRATEGY; CULTURE; IMPACT; JOB</t>
  </si>
  <si>
    <t>This study advances research on high-commitment work systems (HCWSs) and organizational innovation by examining how the configuration of middle managers' work-family issues (i.e., work-family conflict and work climate for sharing family concerns) shape the relationship between HCWSs and innovation performance. Using a matched sample of senior management team members, middle managers, and frontline employees from 113 Chinese manufacturing firms and two waves of survey, we found that HCWSs are associated with enhanced levels of middle managers' innovative behavior, an association that improves innovation performance. The results also show that high levels of work-family conflict weaken the relationship between HCWSs and innovative behavior, but can be attenuated when a work climate better facilitates the sharing of family concerns. The study contributes to the knowledge of the role of HCWSs and contextual conditions of their effects in enhancing organizational innovation performance, with specific implications for the Chinese context.</t>
  </si>
  <si>
    <t>[Chen, Yang] Southwestern Univ Finance &amp; Econ, Sch Business Adm, Chengdu, Sichuan, Peoples R China; [Jiang, Yan J.] Nanjing Univ, Sch Business, Nanjing, Jiangsu, Peoples R China; [Tang, Guiyao] Shandong Univ, Sch Management, Jinan 250010, Shandong, Peoples R China; [Cooke, Fang L.] Monash Univ, Dept Management, Melbourne, Vic, Australia</t>
  </si>
  <si>
    <t>Southwestern University of Finance &amp; Economics - China; Nanjing University; Shandong University; Monash University</t>
  </si>
  <si>
    <t>Tang, GY (corresponding author), Shandong Univ, Sch Management, Jinan 250010, Shandong, Peoples R China.</t>
  </si>
  <si>
    <t>tangguiyao2010@gmail.com</t>
  </si>
  <si>
    <t>SEP-OCT</t>
  </si>
  <si>
    <t>10.1002/hrm.21922</t>
  </si>
  <si>
    <t>GU0OC</t>
  </si>
  <si>
    <t>WOS:000444949300025</t>
  </si>
  <si>
    <t>Naranjo-Valencia, JC; Jimenez-Jimenez, D; Sanz-Valle, R</t>
  </si>
  <si>
    <t>Naranjo-Valencia, Julia C.; Jimenez-Jimenez, Daniel; Sanz-Valle, Raquel</t>
  </si>
  <si>
    <t>Organizational culture and radical innovation: Does innovative behavior mediate this relationship?</t>
  </si>
  <si>
    <t>PSYCHOLOGICAL EMPOWERMENT; PRODUCT INNOVATION; CORPORATE CULTURE; WORK BEHAVIOR; PERFORMANCE; MODEL; DETERMINANT; ORIENTATION; DIMENSIONS; LEADERSHIP</t>
  </si>
  <si>
    <t>Product innovation, in particular radical product innovation, is considered to have a positive effect on company success. As a consequence, there is growing interest in the literature on how to foster radical product innovation. Organizational culture is frequently cited as an antecedent. The underlying assumption is that the culture facilitates radical innovation by encouraging employees' innovative behavior. However, empirical research on the mediating role of employees' innovative behavior in the relation between organizational culture and radical product innovation is scarce. The purpose of this paper is to analyze this mediating role using a sample of Spanish firms. Findings show that adhocracy and market cultures are positively related with the degree of radicalness of product innovation and that employees' innovative behavior mediates that relation, but only in the case of the adhocracy culture.</t>
  </si>
  <si>
    <t>[Naranjo-Valencia, Julia C.] Univ Nacl Colombia, Manizales, Colombia; [Jimenez-Jimenez, Daniel; Sanz-Valle, Raquel] Univ Murcia, Management &amp; Finance Dept, Fac Econ &amp; Business, Espinardo Campus, E-30100 Murcia, Spain</t>
  </si>
  <si>
    <t>Universidad Nacional de Colombia; University of Murcia</t>
  </si>
  <si>
    <t>Sanz-Valle, R (corresponding author), Univ Murcia, Management &amp; Finance Dept, Fac Econ &amp; Business, Espinardo Campus, E-30100 Murcia, Spain.</t>
  </si>
  <si>
    <t>raquel@um.es</t>
  </si>
  <si>
    <t>Naranjo, Julia/0000-0001-5825-6373; Jimenez-Jimenez, Daniel/0000-0002-1790-0799</t>
  </si>
  <si>
    <t>Spanish Ministry of Economy and Competitiveness [ECO2012-37893]; Foundation CajaMurcia-BMN</t>
  </si>
  <si>
    <t>Spanish Ministry of Economy and Competitiveness(Spanish Government); Foundation CajaMurcia-BMN</t>
  </si>
  <si>
    <t>The authors acknowledge the funding received from the Spanish Ministry of Economy and Competitiveness (Research project ECO2012-37893), and from the Foundation CajaMurcia-BMN. We would also like to express our gratitude for the comments and suggestions of the two anonymous reviewers of this paper.</t>
  </si>
  <si>
    <t>10.1111/caim.12236</t>
  </si>
  <si>
    <t>FN6SR</t>
  </si>
  <si>
    <t>WOS:000416146800008</t>
  </si>
  <si>
    <t>Carmeli, A; Mckay, AS; Kaufman, JC</t>
  </si>
  <si>
    <t>Carmeli, Abraham; McKay, Alexander S.; Kaufman, James C.</t>
  </si>
  <si>
    <t>Emotional Intelligence and Creativity: The Mediating Role of Generosity and Vigor</t>
  </si>
  <si>
    <t>emotional intelligence; creativity; generosity; vigor; positive emotions</t>
  </si>
  <si>
    <t>EMPLOYEE CREATIVITY; INNOVATIVE BEHAVIORS; HEDONIC TONE; MOOD; PERFORMANCE; WORK; METAANALYSIS; ANTECEDENTS; PERSONALITY; ACTIVATION</t>
  </si>
  <si>
    <t>This study examines whether and why emotional intelligence may result in enhanced creativity in the workplace. Using a time-lagged data set collected from employees in three firms, we examined a mediation model where emotional intelligence is indirectly related to creativity serially, through generosity and vigor. The results of structural equation modeling (SEM) indicate a sequential mediation model where emotionally intelligent employees display a high level of generosity; these acts of generosity nurture a sense of vigor, which in turn fosters creative behaviors. We discuss the implications for research on emotional intelligence, generosity, vigor, and creativity.</t>
  </si>
  <si>
    <t>[Carmeli, Abraham] Tel Aviv Univ, IL-69978 Tel Aviv, Israel; [Carmeli, Abraham] Kings Coll London, London WC2R 2LS, England; [Kaufman, James C.] Univ Connecticut, Storrs, CT USA</t>
  </si>
  <si>
    <t>Tel Aviv University; RLUK- Research Libraries UK; University of London; King's College London; University of Connecticut</t>
  </si>
  <si>
    <t>avic@post.tau.ac.il</t>
  </si>
  <si>
    <t>Carmeli, Abraham/B-5351-2013; McKay, Alexander/L-3449-2019</t>
  </si>
  <si>
    <t>McKay, Alexander/0000-0001-7410-2366</t>
  </si>
  <si>
    <t>10.1002/jocb.53</t>
  </si>
  <si>
    <t>AU3KP</t>
  </si>
  <si>
    <t>WOS:000345512300004</t>
  </si>
  <si>
    <t>Marchionatti, R</t>
  </si>
  <si>
    <t>On Keynes' animal spirits</t>
  </si>
  <si>
    <t>KYKLOS</t>
  </si>
  <si>
    <t>BOUNDED RATIONALITY; UNCERTAINTY; ANOMALIES; BEHAVIOR; EXPECTATIONS; ECONOMICS; INDUSTRY; DYNAMICS; ORIGIN</t>
  </si>
  <si>
    <t>According to Keynes the formation of entrepreneurial expectations on investment in an uncertain environment depends on conventional judgements and animal spirits, in addition to and supporting rational calculation. Conventions and animal spirits have no room in the mainstream theoretical framework, because their existence makes long-term expectations exogenous and their influence totally arbitrary. For this reason in particular animal spirits have been excluded from scientific enquiry. This paper argues that: a) the theoretical framework of bounded rationality permits reconsidering and supporting Keynes' hypothesis that in an uncertain environment it is reasonable that the decisions of economic agents should depend on non rational motives, b) in this context, animal spirits can be considered as a typical entrepreneurial impulse, depending on political, social and economic atmosphere: the latter being analysed in terms of motivations of innovative behaviour.</t>
  </si>
  <si>
    <t>Univ Turin, Dept Econ, I-10124 Turin, Italy</t>
  </si>
  <si>
    <t>University of Turin</t>
  </si>
  <si>
    <t>Marchionatti, R (corresponding author), Univ Turin, Dept Econ, Via Po 53, I-10124 Turin, Italy.</t>
  </si>
  <si>
    <t>108 COWLEY RD, OXFORD OX4 1JF, OXON, ENGLAND</t>
  </si>
  <si>
    <t>0023-5962</t>
  </si>
  <si>
    <t>Kyklos</t>
  </si>
  <si>
    <t>10.1111/j.1467-6435.1999.tb00225.x</t>
  </si>
  <si>
    <t>227NQ</t>
  </si>
  <si>
    <t>WOS:000082086800007</t>
  </si>
  <si>
    <t>Iqbal, A; Latif, KF; Ahmad, MS</t>
  </si>
  <si>
    <t>Iqbal, Amjad; Latif, Khawaja Fawad; Ahmad, Muhammad Shakil</t>
  </si>
  <si>
    <t>Servant leadership and employee innovative behaviour: exploring psychological pathways</t>
  </si>
  <si>
    <t>Servant leadership; Psychological safety; Thriving; Innovative behaviour; IT companies</t>
  </si>
  <si>
    <t>TRANSFORMATIONAL LEADERSHIP; MEDIATING ROLE; MULTILEVEL MEDIATION; CREATIVITY; WORK; SAFETY; IDENTIFICATION; CONSERVATION; RESOURCES; WORKPLACE</t>
  </si>
  <si>
    <t>Purpose Drawing on social exchange theory (SET) and conservation of resource (COR) theory, the purpose of this research is to examine the relationship between servant leadership and employees' innovative behaviour and explore the neglected mediating role of psychological safety and thriving. Design/methodology/approach Following cross-sectional research design, data was collected from 347 employees of large size information technology (IT) companies in Pakistan. Partial least squares structural equation modeling (PLS-SEM) technique was used for data analysis. Findings The results reveal that servant leadership has direct and positive relationship with employees' innovative behaviour. Moreover, psychological safety and thriving partially mediate this relationship. Practical implications This research reinforces the role of servant leadership in organizations striving for a high rate of innovation. Findings of this study suggest managers to practice servant leadership behaviours which enhance employees psychological resources: psychological safety and thriving and prompt them to engage in innovative behaviour. Originality/value This research makes novel contribution to the incipient literature by providing first empirical evidence on the simultaneous role of psychological safety and thriving in translating the influence of servant leadership on employees' innovative behaviour.</t>
  </si>
  <si>
    <t>[Iqbal, Amjad] COMSATS Univ Islamabad, Dept Management Sci, Wah Campus, Wah Cantt, Pakistan; [Latif, Khawaja Fawad; Ahmad, Muhammad Shakil] COMSATS Univ Islamabad, Dept Management Sci, Attock Campus, Attock, Pakistan</t>
  </si>
  <si>
    <t>COMSATS University Islamabad (CUI); COMSATS University Islamabad (CUI)</t>
  </si>
  <si>
    <t>Iqbal, A (corresponding author), COMSATS Univ Islamabad, Dept Management Sci, Wah Campus, Wah Cantt, Pakistan.</t>
  </si>
  <si>
    <t>amjadiqbal76536@gmail.com</t>
  </si>
  <si>
    <t>Silva, Gleibson/AAA-8482-2021; Iqbal, Amjad/AAH-6943-2020; Ahmad, Muhammad/HNB-9408-2023; Latif, Khawaja Fawad/G-7674-2019; Ahmad, Muhammad Shakil/T-5381-2019</t>
  </si>
  <si>
    <t>Silva, Gleibson/0000-0003-0945-2567; Iqbal, Amjad/0000-0003-1475-0913; Latif, Khawaja Fawad/0000-0001-6400-1908; Ahmad, Muhammad Shakil/0000-0002-2458-3082</t>
  </si>
  <si>
    <t>10.1108/LODJ-11-2019-0474</t>
  </si>
  <si>
    <t>JUL 2020</t>
  </si>
  <si>
    <t>MP5YR</t>
  </si>
  <si>
    <t>WOS:000547275100001</t>
  </si>
  <si>
    <t>Demircioglu, MA; Audretsch, DB</t>
  </si>
  <si>
    <t>Demircioglu, Mehmet Akif; Audretsch, David B.</t>
  </si>
  <si>
    <t>Conditions for complex innovations: evidence from public organizations</t>
  </si>
  <si>
    <t>Innovation; Innovation complexity; Public sector innovation; Public organizations</t>
  </si>
  <si>
    <t>RESEARCH-AND-DEVELOPMENT; SECTOR INNOVATION; BEHAVIOR</t>
  </si>
  <si>
    <t>Despite the growing interest in understanding innovative activities, an important limitation of the current literature on innovation-both public and private-is an assumption that innovative activity is a homogeneous phenomenon. However, most innovative activities are heterogeneous in nature. One way of characterizing innovation heterogeneity is the complexity of innovations. Using data from public organizations, this paper is one of the first studies to develop a framework for and provide an empirical test of the main influences on innovation complexity within the public sector context. The empirical evidence suggests that employees' innovative behavior and cooperation, along with collaborating with important external sources and the ability to work in a complex environment, are positively associated with complex innovations in the public sector, suggesting that the influences on complex innovations span the individual, work group, and external environment levels. However, an organization's leadership quality and innovation climate do not have any statistical effect on complex innovations.</t>
  </si>
  <si>
    <t>[Demircioglu, Mehmet Akif] Natl Univ Singapore, Lee Kuan Yew Sch Publ Policy, 469C Bukit Timah Rd,Oei Tiong Ham Bldg, Singapore, Singapore; [Audretsch, David B.] Indiana Univ, Sch Publ &amp; Environm Affairs, Inst Dev Strategies, 1315 E Tenth St, Bloomington, IN 47405 USA</t>
  </si>
  <si>
    <t>National University of Singapore; Indiana University System; Indiana University Bloomington</t>
  </si>
  <si>
    <t>Demircioglu, MA (corresponding author), Natl Univ Singapore, Lee Kuan Yew Sch Publ Policy, 469C Bukit Timah Rd,Oei Tiong Ham Bldg, Singapore, Singapore.</t>
  </si>
  <si>
    <t>mehmet@nus.edu.sg; daudrets@indiana.edu</t>
  </si>
  <si>
    <t>Demircioglu, Mehmet Akif/0000-0003-2137-1452; Audretsch, David/0000-0002-3815-7762</t>
  </si>
  <si>
    <t>National University of Singapore [R-603-000-270-133]</t>
  </si>
  <si>
    <t>National University of Singapore(National University of Singapore)</t>
  </si>
  <si>
    <t>Funding was provided by National University of Singapore (Grant No. R-603-000-270-133).</t>
  </si>
  <si>
    <t>10.1007/s10961-018-9701-5</t>
  </si>
  <si>
    <t>LL8KM</t>
  </si>
  <si>
    <t>WOS:000531803500009</t>
  </si>
  <si>
    <t>Amankwaa, A; Gyensare, MA; Susomrith, P</t>
  </si>
  <si>
    <t>Amankwaa, Albert; Gyensare, Michael Asiedu; Susomrith, Pattanee</t>
  </si>
  <si>
    <t>Transformational leadership with innovative behaviour Examining multiple mediating paths with PLS-SEM</t>
  </si>
  <si>
    <t>Transformational leadership; Job autonomy; Affective commitment; Innovative work behaviour; Supportive management</t>
  </si>
  <si>
    <t>ORGANIZATIONAL COMMITMENT; PSYCHOLOGICAL EMPOWERMENT; TURNOVER INTENTION; 3-COMPONENT MODEL; WORK-ENVIRONMENT; MEMBER EXCHANGE; MODERATING ROLE; PERFORMANCE; CREATIVITY; SATISFACTION</t>
  </si>
  <si>
    <t>Purpose The purpose of this paper is to examine simultaneously multiple mediating mechanisms through which transformational leadership affects innovative work behaviour (IWB). Specifically, the authors test job autonomy, affective commitment and supportive management as the three mediating paths through which transformational leadership predicts innovative wok behaviour. Design/methodology/approach Data were collected from 358 employees working in large retail banks in Accra, the capital of Ghana. A partial least squares structural equation modelling technique was used to estimate the measurement and structural models. Findings Job autonomy and supportive management rather than affective commitment mediated the relationship between transformational leadership and IWB. In addition, transformational leadership positively relates to job autonomy, affective commitment, supportive management and IWB. Originality/value Although it is important to understand the mechanisms or processes through which transformational leadership behaviour promotes IWB, research in this area is scanty and scarce. This study theorises and empirically examines job autonomy and support management as novel mechanisms through which transformational leadership behaviour translates into workers' innovative behaviour in formal banking institutions.</t>
  </si>
  <si>
    <t>[Amankwaa, Albert; Susomrith, Pattanee] Edith Cowan Univ, Sch Business &amp; Law, Joondalup, Australia; [Gyensare, Michael Asiedu] Univ Educ Winneba, Dept Human Resource Management, Winneba, Ghana</t>
  </si>
  <si>
    <t>Edith Cowan University</t>
  </si>
  <si>
    <t>Gyensare, MA (corresponding author), Univ Educ Winneba, Dept Human Resource Management, Winneba, Ghana.</t>
  </si>
  <si>
    <t>mgasiedu@gmail.com</t>
  </si>
  <si>
    <t>Gyensare, Michael Asiedu/AAV-3216-2020; Amankwaa, Albert/X-9631-2019</t>
  </si>
  <si>
    <t>Gyensare, Michael Asiedu/0000-0001-7150-3594; Amankwaa, Albert/0000-0002-6725-7885</t>
  </si>
  <si>
    <t>JUN 10</t>
  </si>
  <si>
    <t>10.1108/LODJ-10-2018-0358</t>
  </si>
  <si>
    <t>IO3DU</t>
  </si>
  <si>
    <t>WOS:000479261600001</t>
  </si>
  <si>
    <t>Cucculelli, M</t>
  </si>
  <si>
    <t>Cucculelli, Marco</t>
  </si>
  <si>
    <t>Firm age and the probability of product innovation. Do CEO tenure and product tenure matter?</t>
  </si>
  <si>
    <t>JOURNAL OF EVOLUTIONARY ECONOMICS</t>
  </si>
  <si>
    <t>Product innovation; Firm age; CEO tenure; Product tenure; Product lifecycle; Industry lifecycle</t>
  </si>
  <si>
    <t>LIFE-CYCLE; CORPORATE-GROWTH; FAMILY OWNERSHIP; INDUSTRY; PERFORMANCE; EVOLUTION; ORGANIZATION; DYNAMICS; PATTERNS; PARADOX</t>
  </si>
  <si>
    <t>This paper examines the influence that the age of a firm has on the probability of product innovation by taking into account two factors: the role of the CEO's tenure and the lifecycle of the last product introduced. In a sample of Italian manufacturing firms (n = 2163), analysis reveals that the new entrants' high innovative activity is mainly driven by the new CEO's innovation propensity, which is strictly dependent on his tenure. Likewise, the lower innovation activity observed in mature firms is mostly explained by the dynamics of the product's lifecycle and the CEO's tenure. More generally, the existence of a negative relationship between innovation and firm age is questioned, as controlling for time-related variables that overlap during the company's lifecycle -product age and CEO's tenure - turns the relationship positive. Finally, the innovative behavior of incumbent companies turns out to be dependent on the renewal abilities of newly appointed external CEOs, whereas CEOs from within the family play a minor role.</t>
  </si>
  <si>
    <t>[Cucculelli, Marco] Univ Politecn Marche, Dept Econ &amp; Social Sci, Piazzale Martelli 8, I-60100 Ancona, Italy</t>
  </si>
  <si>
    <t>Marche Polytechnic University</t>
  </si>
  <si>
    <t>Cucculelli, M (corresponding author), Univ Politecn Marche, Dept Econ &amp; Social Sci, Piazzale Martelli 8, I-60100 Ancona, Italy.</t>
  </si>
  <si>
    <t>m.cucculelli@univpm.it</t>
  </si>
  <si>
    <t>Cucculelli, Marco/J-2479-2019</t>
  </si>
  <si>
    <t>Cucculelli, Marco/0000-0003-0035-9454</t>
  </si>
  <si>
    <t>0936-9937</t>
  </si>
  <si>
    <t>1432-1386</t>
  </si>
  <si>
    <t>J EVOL ECON</t>
  </si>
  <si>
    <t>J. Evol. Econ.</t>
  </si>
  <si>
    <t>10.1007/s00191-017-0542-4</t>
  </si>
  <si>
    <t>FT4JV</t>
  </si>
  <si>
    <t>WOS:000423122300007</t>
  </si>
  <si>
    <t>Widmann, A; Messmann, G; Mulder, RH</t>
  </si>
  <si>
    <t>Widmann, Andreas; Messmann, Gerhard; Mulder, Regina H.</t>
  </si>
  <si>
    <t>The Impact of Team Learning Behaviors on Team Innovative Work Behavior: A Systematic Review</t>
  </si>
  <si>
    <t>HUMAN RESOURCE DEVELOPMENT REVIEW</t>
  </si>
  <si>
    <t>team development; innovative work behavior; innovation; creativity; team learning</t>
  </si>
  <si>
    <t>INDIVIDUAL INNOVATION; MINORITY DISSENT; PERFORMANCE; CREATIVITY; KNOWLEDGE; BOUNDARY; ORGANIZATIONS; REFLEXIVITY; PERCEPTIONS; LEADERSHIP</t>
  </si>
  <si>
    <t>The aim of this review was to get insight into the impact of learning behaviors on innovative behavior in work teams. We addressed this issue by carrying out a systematic literature review. Thirty-one articles that reported studies on learning and innovation development in work teams were included in the review. By integrating the correlational findings of the original studies, we found that, at large, all investigated team learning behaviors had an effect on aspects of team innovative work behavior. Concerning specific team learning behaviors, sharing, team reflection, and team activity had the strongest impact on teams' engagement in innovation development. A central conclusion is that learning and innovation development are mutually dependent aspects of teamwork and that fostering one aspect will also be beneficial for the other. Based on our findings, we draw practical implications for fostering team development through enhancing learning behaviors and innovative work behavior in teams.</t>
  </si>
  <si>
    <t>[Widmann, Andreas; Messmann, Gerhard; Mulder, Regina H.] Univ Regensburg, Regensburg, Germany</t>
  </si>
  <si>
    <t>University of Regensburg</t>
  </si>
  <si>
    <t>Widmann, A (corresponding author), Univ Regensburg, Inst Sci Educ, Univ Str 31, D-93053 Regensburg, Germany.</t>
  </si>
  <si>
    <t>Andreas.Widman@ur.de</t>
  </si>
  <si>
    <t>Widmann, Andreas/0000-0002-0910-3060</t>
  </si>
  <si>
    <t>Deutsche Forschungsgemeinschaft (German Research Foundation) [MU 2833/4-1]</t>
  </si>
  <si>
    <t>Deutsche Forschungsgemeinschaft (German Research Foundation)(German Research Foundation (DFG))</t>
  </si>
  <si>
    <t>The author(s) disclosed receipt of the following financial support for the research, authorship, and/or publication of this article: This work was supported by the Deutsche Forschungsgemeinschaft (German Research Foundation), grant MU 2833/4-1, awarded to Regina H. Mulder).</t>
  </si>
  <si>
    <t>1534-4843</t>
  </si>
  <si>
    <t>1552-6712</t>
  </si>
  <si>
    <t>HUM RESOUR DEV REV</t>
  </si>
  <si>
    <t>Hum. Resour. Dev. Rev.</t>
  </si>
  <si>
    <t>10.1177/1534484316673713</t>
  </si>
  <si>
    <t>ED4YF</t>
  </si>
  <si>
    <t>WOS:000388857400003</t>
  </si>
  <si>
    <t>Battistelli, A; Montani, F; Odoardi, C; Vandenberghe, C; Picci, P</t>
  </si>
  <si>
    <t>Battistelli, Adalgisa; Montani, Francesco; Odoardi, Carlo; Vandenberghe, Christian; Picci, Patrizia</t>
  </si>
  <si>
    <t>Employees' concerns about change and commitment to change among Italian organizations: the moderating role of innovative work behavior</t>
  </si>
  <si>
    <t>affective; concerns about change; innovative work behavior; normative and continuance commitment to change; organizational change</t>
  </si>
  <si>
    <t>LEADER-MEMBER EXCHANGE; TRANSFORMATIONAL LEADERSHIP; NORMATIVE COMMITMENT; RESISTANCE; IMPLEMENTATION; ANTECEDENTS; CONSEQUENCES; CONTINUANCE; PERCEPTIONS; ACCEPTANCE</t>
  </si>
  <si>
    <t>Despite being regarded as a critical psychological process influencing the effectiveness of change initiatives, concerns about change have not received empirical attention in the organizational change literature. The present study addresses this issue by examining the relationships among employees' concerns about change (conceptualized as including concerns about the contents and benefits of change, and concerns about mastering the change), commitment to change and innovative work behavior. First, in a hospital undergoing a major administrative change (N=435), concerns about change were generally found to be negatively related to affective and normative commitment to change and positively related to continuance commitment to change. These results were replicated in a chemical and pharmaceutical company undergoing a technological change (N=113), except that concerns about change were unrelated to normative commitment to change. In addition, employees' innovative work behavior moderated the relationship of concerns about change to affective commitment to change such that the relationship was negative when innovative behavior was low but nonsignificant when innovative behavior was high. This study provides scholars and practitioners with a theoretically and empirically grounded framework for assessing employees' concerns about change, and moves research a step forward into identifying the behaviors that organizations should support to counteract this psychological threat.</t>
  </si>
  <si>
    <t>[Battistelli, Adalgisa; Montani, Francesco] Univ Montpellier 3, Lab Epsylon EA Dynam Human Abil &amp; Hlth Behav 4556, F-34032 Montpellier, France; [Odoardi, Carlo] Univ Florence, Dept Psychol, Florence, Italy; [Vandenberghe, Christian] Univ Montreal, HEC Montreal, Montreal, PQ, Canada; [Picci, Patrizia] Univ Verona, Dept Philosophy Educ &amp; Psychol, I-37100 Verona, Italy</t>
  </si>
  <si>
    <t>Universite de Montpellier; Universite Paul-Valery; University of Florence; Universite de Montreal; HEC Montreal; University of Verona</t>
  </si>
  <si>
    <t>Battistelli, A (corresponding author), Univ Montpellier 3, Lab Epsylon EA Dynam Human Abil &amp; Hlth Behav 4556, F-34032 Montpellier, France.</t>
  </si>
  <si>
    <t>adalgisa.battistelli@univ-montp3.fr</t>
  </si>
  <si>
    <t>Vandenberghe, Christian/AAD-8737-2020; Battistelli, Adalgisa/B-5059-2012</t>
  </si>
  <si>
    <t>APR 12</t>
  </si>
  <si>
    <t>10.1080/09585192.2013.809012</t>
  </si>
  <si>
    <t>289NA</t>
  </si>
  <si>
    <t>WOS:000329688000002</t>
  </si>
  <si>
    <t>Zhou, Y; Zhang, YY; Montoro-Sanchez, A</t>
  </si>
  <si>
    <t>Zhou, Yu; Zhang, Yingying; Montoro-Sanchez, Angeles</t>
  </si>
  <si>
    <t>Utilitarianism or romanticism: the effect of rewards on employees' innovative behaviour</t>
  </si>
  <si>
    <t>Performance related pay; Entrepreneurialism; Innovation; China</t>
  </si>
  <si>
    <t>RESOURCE MANAGEMENT-PRACTICES; WORK PRACTICES; CREATIVITY; PERFORMANCE; PRODUCTIVITY; INCREASE; ENTREPRENEURSHIP; TURNOVER; IMPACT; FIT</t>
  </si>
  <si>
    <t>Purpose - The aim of this paper is to empirically explore the relationship between human resource rewards management and innovative behaviours, particularly between the utilitarianism and romanticism reward approaches and employee creativity in the workplace. Design/methodology/approach - The paper adopts a quantitative approach. After analysing construct validity and reliability, the study empirically tests its hypotheses by performing a multi-regression analysis with a sample of 216 individuals. Findings - The study reaches three main conclusions. First, tangible extrinsic rewards affect the innovative behaviour of employees in an inverse-U shape. Second, intrinsic motivations have a substantially positive impact on the innovative behaviour of employees. And third, extrinsic rewards and intrinsic motivations have positive interaction effects on individual creativity at the workplace. Originality/value - The paper focuses on the theoretical battle between the utilitarianism and the romanticism perspective of human resource reward approaches toward employees' creativity. Based on examination of the main effects of monetary incentives and intrinsic reward practices respectively, the study highlights a complementary view to explore a positive interaction between the two reward configurations, and to exploit a total reward system for facilitating individual innovative behaviours.</t>
  </si>
  <si>
    <t>[Zhou, Yu] Renmin Univ China, Sch Business, Dept Org &amp; Human Resources, Beijing, Peoples R China; [Zhang, Yingying] Univ Complutense Madrid, CUNEF, Madrid, Spain; [Montoro-Sanchez, Angeles] Univ Complutense Madrid, F CC Econ &amp; Empresariales, Dept Org Empresas, Madrid, Spain</t>
  </si>
  <si>
    <t>Renmin University of China; Complutense University of Madrid; CUNEF Universidad; Complutense University of Madrid</t>
  </si>
  <si>
    <t>Zhou, Y (corresponding author), Renmin Univ China, Sch Business, Dept Org &amp; Human Resources, Beijing, Peoples R China.</t>
  </si>
  <si>
    <t>zhouyuhr@ruc.edu.cn</t>
  </si>
  <si>
    <t>Zhang Zhang, Yingying/HPF-1076-2023; Zhou, Yu/AAP-7767-2020</t>
  </si>
  <si>
    <t>Zhou, Yu/0000-0002-6376-3430; Zhang Zhang, Yingying/0000-0001-5746-8200</t>
  </si>
  <si>
    <t>10.1108/01437721111121242</t>
  </si>
  <si>
    <t>781AX</t>
  </si>
  <si>
    <t>WOS:000291904100007</t>
  </si>
  <si>
    <t>Jiao, H; Yang, JF; Zhou, JH; Li, JZ</t>
  </si>
  <si>
    <t>Jiao, Hao; Yang, Jifeng; Zhou, Jianghua; Li, Jizhen</t>
  </si>
  <si>
    <t>Commercial partnerships and collaborative innovation in China: the moderating effect of technological uncertainty and dynamic capabilities</t>
  </si>
  <si>
    <t>Dynamic capabilities; Collaborative innovation; Commercial partnership; Technological uncertainty</t>
  </si>
  <si>
    <t>RESEARCH-AND-DEVELOPMENT; PRODUCT DEVELOPMENT; STRATEGIC ALLIANCES; ENVIRONMENTAL UNCERTAINTY; DEVELOPMENT COOPERATION; INTERORGANIZATIONAL COLLABORATION; KNOWLEDGE MANAGEMENT; SUPPLIER INTEGRATION; FIRM PERFORMANCE; DIVERSITY</t>
  </si>
  <si>
    <t>Purpose The purpose of this study is to empirically investigate the extent to which two types of commercial partnerships (business partner and non-business partner) affect the collaborative innovation of firms in emerging economies. Specifically, the roles of two commercial partnerships are investigated. Additionally, the study explores the moderating effect of external technological uncertainty and internal dynamic capabilities on the relationship between two commercial partnerships and on collaborative innovation. Design/methodology/approach Using a sample of 370 high-tech firms in China, the authors applied the partial least squares structural equation modeling approach to model these relationships. Findings The findings reveal opportunities and challenges for companies according to two intensities of commercial partnership for collaborative innovation. The partnership contribution to innovation and competiveness is different within the two routes and ranges. The findings indicate that (1) intense commercial relationships with business partners have a stronger positive significant impact on collaborative innovation than those with non-business partners and (2) non-business partners have a weaker positive impact on collaborative innovation at high external technological uncertainty. It was also found that (3) the positive impact of business partners on collaborative innovation is weakened when a firm has high dynamic capabilities, whereas the positive impact of non-business partners is strengthened. Research limitations/implications - Insight into the roles of two commercial partnerships in achieving collaborative innovation facilitates the advancement of the theoretical understanding of the circumstances under which cooperative innovation can be more effective under different partnerships. Originality/value A key strategic question is whether comprehensiveness enables firms to make better strategic decisions in various environments. In the process of innovation, companies must choose different types and quantities of partners, and they must regulate their partners' innovative behavior by establishing a corresponding network structure and relationship rules. The current study focuses on analysis of how different intensities of commercial partnerships affect collaborative innovation. This research provides a theoretical framework that creates a new classification of commercial relations with regard to collaborative innovation, and it highlights the difference between the two types of partnerships. This study finds that there are many problems in the selection of innovative partners in China's high-tech companies. Therefore, companies should strengthen their understanding of cooperative innovation, and they should build and manage highly efficient innovation networks. This study helps companies, high-tech industry associations, academia and government to take enhanced, informed actions.</t>
  </si>
  <si>
    <t>[Jiao, Hao; Yang, Jifeng; Zhou, Jianghua] Beijing Normal Univ, Business Sch, Beijing, Peoples R China; [Li, Jizhen] Tsinghua Univ, Sch Econ &amp; Management, Beijing, Peoples R China</t>
  </si>
  <si>
    <t>Beijing Normal University; Tsinghua University</t>
  </si>
  <si>
    <t>Jiao, H (corresponding author), Beijing Normal Univ, Business Sch, Beijing, Peoples R China.</t>
  </si>
  <si>
    <t>haojiao@bnu.edu.cn</t>
  </si>
  <si>
    <t>LI, Jizhen/A-7113-2018; , 焦豪-北京师范大学/AAT-6492-2020</t>
  </si>
  <si>
    <t>LI, Jizhen/0000-0003-1940-5633; Jiao, Hao/0000-0002-6323-5259</t>
  </si>
  <si>
    <t>National Natural Science Foundation of China [71572017, 71843010, 71772014]; MOE Project of Key Research Institute of Humanities and Social Sciences at Universities [17JJD630003]</t>
  </si>
  <si>
    <t>National Natural Science Foundation of China(National Natural Science Foundation of China (NSFC)); MOE Project of Key Research Institute of Humanities and Social Sciences at Universities</t>
  </si>
  <si>
    <t>The authors are indebted to Prof Manlio Del Giudice, Prof Shlomo Tarba and anonymous reviewers for their many constructive insights and suggestions. The research was supported by the National Natural Science Foundation of China (71572017; 71843010; 71772014) and the MOE Project of Key Research Institute of Humanities and Social Sciences at Universities (17JJD630003).</t>
  </si>
  <si>
    <t>SEP 9</t>
  </si>
  <si>
    <t>10.1108/JKM-10-2017-0499</t>
  </si>
  <si>
    <t>JB0LC</t>
  </si>
  <si>
    <t>WOS:000488244400008</t>
  </si>
  <si>
    <t>Su, WL; Lin, XQ; Ding, H</t>
  </si>
  <si>
    <t>Su, Weilin; Lin, Xinqi; Ding, He</t>
  </si>
  <si>
    <t>The Influence of Supervisor Developmental Feedback on Employee Innovative Behavior: A Moderated Mediation Model</t>
  </si>
  <si>
    <t>supervisor developmental feedback; employee creative self-efficacy; supervisor's organizational embodiment; employee innovative behavior; moderated mediation model</t>
  </si>
  <si>
    <t>CREATIVE SELF-EFFICACY; PERCEIVED ORGANIZATIONAL SUPPORT; TRANSFORMATIONAL LEADERSHIP; PROACTIVE PERSONALITY; ETHICAL LEADERSHIP; JOB-SATISFACTION; WORK BEHAVIOR; PERCEPTIONS; PERSPECTIVE; PERFORMANCE</t>
  </si>
  <si>
    <t>Previous scholars have recognized the critical role of supervisors in stimulating employee innovative behavior, although it is still unclear whether and how supervisor developmental feedback impacts employee innovative behavior. To resolve this issue, the present study develops and verifies a moderated mediation model to explore the positive influence of supervisor developmental feedback on employee innovative behavior via creative self-efficacy, as well as the moderating role of a supervisor's organizational embodiment in this process. Analyses of the multi-time data from 375 employees indicate that supervisor developmental feedback is positively associated with employee innovative behavior via his/her creative self-efficacy. Moreover, a supervisor's organizational embodiment moderates the influence of supervisor developmental feedback on employee creative self-efficacy and the mediating role of creative self-efficacy. From these analyses, the present study not only further develops several views of pervious research in the field of supervisor feedback and employee innovation, but also provides a potential managerial way to promote employee innovative behavior from the perspective of supervisor feedback.</t>
  </si>
  <si>
    <t>[Su, Weilin; Lin, Xinqi] Renmin Univ China, Sch Labor &amp; Human Resources, Beijing, Peoples R China; [Ding, He] North China Elect Power Univ, Sch Econ &amp; Management, Beijing, Peoples R China</t>
  </si>
  <si>
    <t>Renmin University of China; North China Electric Power University</t>
  </si>
  <si>
    <t>Lin, XQ (corresponding author), Renmin Univ China, Sch Labor &amp; Human Resources, Beijing, Peoples R China.</t>
  </si>
  <si>
    <t>linxq@ruc.edu.cn</t>
  </si>
  <si>
    <t>DING, HE/K-8983-2018; Su, Weilin/ADB-1887-2022</t>
  </si>
  <si>
    <t>Su, Weilin/0000-0001-6582-1481</t>
  </si>
  <si>
    <t>China Scholarship Council [201806360111]</t>
  </si>
  <si>
    <t>China Scholarship Council(China Scholarship Council)</t>
  </si>
  <si>
    <t>This research is funded by China Scholarship Council (Award ID: 201806360111).</t>
  </si>
  <si>
    <t>JUL 9</t>
  </si>
  <si>
    <t>10.3389/fpsyg.2019.01581</t>
  </si>
  <si>
    <t>IH4VA</t>
  </si>
  <si>
    <t>WOS:000474489000001</t>
  </si>
  <si>
    <t>Sanders, K; Jorgensen, F; Shipton, H; Van Rossenberg, Y; Cunha, R; Li, XB; Rodrigues, R; Wong, SI; Dysvik, A</t>
  </si>
  <si>
    <t>Sanders, Karin; Jorgensen, Frances; Shipton, Helen; Van Rossenberg, Yvonne; Cunha, Rita; Li, Xiaobei; Rodrigues, Ricardo; Wong, Sut I.; Dysvik, Anders</t>
  </si>
  <si>
    <t>Performance-based rewards and innovative behaviors</t>
  </si>
  <si>
    <t>HR strength; innovative behavior; performance-based rewards; uncertainty avoidance</t>
  </si>
  <si>
    <t>HUMAN-RESOURCE MANAGEMENT; HRM SYSTEM STRENGTH; SITUATIONAL STRENGTH; NATIONAL CULTURE; CREATIVITY; CLIMATE; PERCEPTIONS; LEADERSHIP; QUALITY; FUTURE</t>
  </si>
  <si>
    <t>This study investigates the effects of two internal factors, performance-based rewards and employee perceptions of human resource (HR) strength, and one external factor, country-level uncertainty avoidance, on employee innovative behaviors. Drawing on situational strength theory, we first hypothesize performance-based rewards will positively relate to innovative behaviors, and second, this relationship is stronger when employees understand the wider Human Resource Management (HRM) system as intended by management, referred to as HR strength. Finally, we assess the effect of uncertainty avoidance on the relationship between performance-based rewards and innovative behaviors. Three-level data from 1,598 employees and 186 managers in 29 organizations across 10 countries showed both employee perceptions of HR strength and uncertainty avoidance of a country that differentially influence the relationship between performance-based rewards and innovative behaviors. However, a significant relationship between performance-based rewards and innovative behaviors was not found. This study offers novel insights into how organizations can use internal factors in a systematic manner to promote innovative behaviors in their workplace, and highlights the limitations of sustaining innovative behaviors in countries characterized by high levels of uncertainty avoidance.</t>
  </si>
  <si>
    <t>[Sanders, Karin] UNSW, Sch Management, Business Sch, Sydney, NSW, Australia; [Jorgensen, Frances] Royal Rd Univ, Fac Management, Vancouver, BC, Canada; [Shipton, Helen] Nottingham Trent Univ, Nottingham Business Sch, Nottingham, England; [Van Rossenberg, Yvonne] Radboud Univ Nijmegen, Nijmegen Sch Management, Inst Management Res, SHRM, Nijmegen, Netherlands; [Cunha, Rita] Univ Nova Lisboa, Nova Sch Business &amp; Econ, Lisbon, Portugal; [Li, Xiaobei] Sungkyunkwan Univ, Grad Sch China, Seoul, South Korea; [Rodrigues, Ricardo] Kings Coll London, Int Human Resource Management, London, England; [Wong, Sut I.] BI Norwegian Business Sch, Dept Commun &amp; Culture, Oslo, Norway; [Dysvik, Anders] BI Norwegian Business Sch, Dept Leadership &amp; Org Behav, Oslo, Norway</t>
  </si>
  <si>
    <t>University of New South Wales Sydney; Nottingham Trent University; RLUK- Research Libraries UK; University of Nottingham; Radboud University Nijmegen; Universidade Nova de Lisboa; Sungkyunkwan University (SKKU); RLUK- Research Libraries UK; University of London; King's College London; BI Norwegian Business School; BI Norwegian Business School</t>
  </si>
  <si>
    <t>Li, XB (corresponding author), GSC Off, Int Bldg,25-2 Sungkyunkwan Ro, Seoul 03063, South Korea.</t>
  </si>
  <si>
    <t>xiaobeili99@163.com</t>
  </si>
  <si>
    <t>Dysvik, Anders/0000-0002-0099-5883; van Rossenberg, Yvonne Gerarda Theodora/0000-0002-1776-4029</t>
  </si>
  <si>
    <t>NOV-DEC</t>
  </si>
  <si>
    <t>10.1002/hrm.21918</t>
  </si>
  <si>
    <t>GZ7WD</t>
  </si>
  <si>
    <t>Green Accepted, Green Submitted</t>
  </si>
  <si>
    <t>WOS:000449695600009</t>
  </si>
  <si>
    <t>Todt, G; Weiss, M; Hoegl, M</t>
  </si>
  <si>
    <t>Todt, Gisa; Weiss, Matthias; Hoegl, Martin</t>
  </si>
  <si>
    <t>Mitigating Negative Side Effects of Innovation Project Terminations: The Role of Resilience and Social Support</t>
  </si>
  <si>
    <t>PERCEIVED ORGANIZATIONAL SUPPORT; SELF-EFFICACY; PSYCHOLOGICAL SAFETY; PRODUCT DEVELOPMENT; MEDIATING ROLE; AFFECTIVE COMMITMENT; POSITIVE EMOTIONS; JOB DEMANDS; WORK; PERFORMANCE</t>
  </si>
  <si>
    <t>A substantial portion of innovation projects are terminated before their successful completion. However, how specifically innovators can be supported given the experience of a project termination is not well understood. Innovator resilience potential (IRP) has been proposed to be important for future innovative behavior and coping and is suspected to be influenced by project terminations and their characteristics. Building on these assumptions, three sources of social support are examined, as such the support from family and friends, from the leader, from the organization, and their relationship with IRP. Moreover, it is argued that IRP, in turn, is an important facilitator of the project commitment of innovators, who have experienced an innovation project termination. The authors examine these theoretical expectations based on two empirical studies. After probing the newly developed measure of IRP based on a sample of 146 software developers from a European software company, the authors test the hypotheses on a survey-based sample of 238 innovators, of whom 180 had experienced an innovation project termination. The results indicate that IRP positively relates to innovators' current project commitment, particularly when they had experienced an innovation project termination before. Moreover, it is found that experiencing social support from the leader and the organization in the context of the termination positively relates to IRP, while no such a relationship was found for social support from family and friends. This hints at ways as to how to support innovators during and after an innovation project termination, showing that social support from work-related sources is most important in such situations.</t>
  </si>
  <si>
    <t>[Todt, Gisa; Weiss, Matthias; Hoegl, Martin] Ludwig Maximilian Univ Munich, Inst Leadership &amp; Org, Geschwister Scholl Pl 1, D-80539 Munich, Germany; [Weiss, Matthias; Hoegl, Martin] WHU Otto Beisheim Sch Management, Vallendar, Germany; [Weiss, Matthias; Hoegl, Martin] Bocconi Univ, Milan, Italy; [Hoegl, Martin] Washington State Univ, Pullman, WA 99164 USA</t>
  </si>
  <si>
    <t>University of Munich; WHU - Otto Beisheim School of Management; Bocconi University; Washington State University</t>
  </si>
  <si>
    <t>Weiss, M (corresponding author), Ludwig Maximilian Univ Munich, Inst Leadership &amp; Org, Geschwister Scholl Pl 1, D-80539 Munich, Germany.</t>
  </si>
  <si>
    <t>weiss@bwl.lmu.de</t>
  </si>
  <si>
    <t>Weiss, Matthias/ABF-3395-2020</t>
  </si>
  <si>
    <t>Weiss, Matthias/0000-0003-0447-760X</t>
  </si>
  <si>
    <t>10.1111/jpim.12426</t>
  </si>
  <si>
    <t>GI1NB</t>
  </si>
  <si>
    <t>WOS:000434136200003</t>
  </si>
  <si>
    <t>Zhang, YC; Zheng, JW; Darko, A</t>
  </si>
  <si>
    <t>Zhang, Yanchun; Zheng, Junwei; Darko, Amos</t>
  </si>
  <si>
    <t>How Does Transformational Leadership Promote Innovation in Construction? The Mediating Role of Innovation Climate and the Multilevel Moderation Role of Project Requirements</t>
  </si>
  <si>
    <t>construction innovation; innovative behavior; transformational leadership; innovation climate; innovativeness as a project requirement; hierarchical linear modeling</t>
  </si>
  <si>
    <t>COVARIANCE STRUCTURE-ANALYSIS; CREATIVE SELF-EFFICACY; ORGANIZATIONAL INNOVATION; EMPLOYEE CREATIVITY; FIT INDEXES; BEHAVIOR; PERFORMANCE; STRATEGIES; CONTEXT; MODELS</t>
  </si>
  <si>
    <t>Innovation plays a critical role in the sustainable development of the construction industry. This research aims at examining transformational leadership's role in shaping employees' innovative behavior by analyzing the mediating effect of innovation climate and the cross-level moderating effect of innovativeness as a project requirement. To achieve this aim, a questionnaire survey was conducted with 300 construction industry professionals in China and 251 valid replies were received. Data collected by the questionnaire were analyzed using the method of hierarchical linear modeling (HLM). The results showed that transformational leaders could nurture a mutual climate for innovation to motivate employees' innovative behaviors. In addition, innovativeness as a project requirement at the project level strengthens the indirect link amongst transformational leadership and innovative behavior via the innovation climate. Therefore, in the presence of higher innovativeness as a project requirement, transformational leadership is more prone to exert a positive influence upon an individual's innovative behavior via the perceived innovation climate. The research findings improve understanding of the roles of leadership and innovation climate in affecting individual behavioral outcomes, and could help project managers and leaders encourage innovative ideas within project organizations.</t>
  </si>
  <si>
    <t>[Zhang, Yanchun] Cent South Univ, Sch Civil Engn, Changsha 410004, Hunan, Peoples R China; [Zheng, Junwei] Kunming Univ Sci &amp; Technol, Fac Civil Engn &amp; Mech, Kunming 650500, Yunnan, Peoples R China; [Darko, Amos] Hong Kong Polytech Univ, Dept Bldg &amp; Real Estate, 11 Yuk Choi Rd, Kowloon, Hong Kong, Peoples R China</t>
  </si>
  <si>
    <t>Central South University; Kunming University of Science &amp; Technology; Hong Kong Polytechnic University</t>
  </si>
  <si>
    <t>Zheng, JW (corresponding author), Kunming Univ Sci &amp; Technol, Fac Civil Engn &amp; Mech, Kunming 650500, Yunnan, Peoples R China.</t>
  </si>
  <si>
    <t>zyc_csu@126.com; zjw1989@kmustedu.cn; amos.darko@connect.polyu.hk</t>
  </si>
  <si>
    <t>Zheng, Junwei/R-7647-2017; Darko, Amos/C-4721-2018</t>
  </si>
  <si>
    <t>Zheng, Junwei/0000-0002-1621-8210; Darko, Amos/0000-0002-7978-6039</t>
  </si>
  <si>
    <t>National Natural Science Foundation of China [71701083, 71761021]; Natural Science Foundation of Hunan Province of China [2018JJ2542]; Talent Training Foundation of Yunnan Province [KKSY201606041]; Training Project of Humanities and Social Sciences in Kunming University of Science and Technology [skpyyb201721]</t>
  </si>
  <si>
    <t>National Natural Science Foundation of China(National Natural Science Foundation of China (NSFC)); Natural Science Foundation of Hunan Province of China(Natural Science Foundation of Hunan Province); Talent Training Foundation of Yunnan Province; Training Project of Humanities and Social Sciences in Kunming University of Science and Technology</t>
  </si>
  <si>
    <t>This study is supported by the National Natural Science Foundation of China (71701083, and 71761021), Natural Science Foundation of Hunan Province of China (2018JJ2542), Talent Training Foundation of Yunnan Province (KKSY201606041) and Training Project of Humanities and Social Sciences in Kunming University of Science and Technology (skpyyb201721).</t>
  </si>
  <si>
    <t>10.3390/su10051506</t>
  </si>
  <si>
    <t>GJ7RP</t>
  </si>
  <si>
    <t>WOS:000435587100202</t>
  </si>
  <si>
    <t>Park, SY; Lee, CK; Kim, H</t>
  </si>
  <si>
    <t>Park, Sun-Young; Lee, Choong-Ki; Kim, Hyesun</t>
  </si>
  <si>
    <t>The influence of corporate social responsibility on travel company employees</t>
  </si>
  <si>
    <t>Employees; Corporate social responsibility; Social exchange theory; Work engagement; Intention to stay; Innovative behaviour</t>
  </si>
  <si>
    <t>WORK ENGAGEMENT; ORGANIZATIONAL COMMITMENT; JOB-PERFORMANCE; INNOVATIVE BEHAVIOR; SATISFACTION; CSR; RESOURCES; BUSINESS; IMPACT; CITIZENSHIP</t>
  </si>
  <si>
    <t>Purpose - The purpose of this paper is to examine how employees' perceptions of corporate social responsibility (CSR) influence their work engagement (WE), innovative behavior (IB) and intention to stay (IS) with their company, to illuminate the role of CSR at the individual employee level. Design/methodology/approach - The data for this study are responses of 455 employees to an online survey at the largest travel company in South Korea. Confirmatory factor analysis and structural equation modeling in Mplus 7.3 are used to analyze the data. Findings - Results show that employee perceptions of CSR regarding customers and employees significantly and positively influence their WE, which in turn positively influence their IB and IS. Moreover, WEmediates these relationships. Research limitations/implications - Results of this study may not represent the entire travel industry or the country. This study's model should be tested in other companies and countries. Additionally, longitudinal studies will help understand how employees' perceptions of CSR and their effects on work attitudes and behavior change over time. Practical implications - CSR can be an important tool for developing social capital within an organization by increasing employees' engagement at work. Higher WE can help employees exert more efforts toward their company's innovation and stay longer with their company, which can contribute to the company's performance and competitiveness. Originality/value - This study develops and empirically tests a theoretical model based on various disciplines. It extends existing CSR studies by examining the effects of CSR on WE and the mediation effects of WE, which have been rarely explored. This further explains how CSR influences employees' attitudes and behavior that benefit a company's competitive advantage to shed light on the resource-based view about employees being an important resource.</t>
  </si>
  <si>
    <t>[Park, Sun-Young] Univ San Francisco, Sch Management, San Francisco, CA 94117 USA; [Lee, Choong-Ki; Kim, Hyesun] Kyung Hee Univ, Dept Tourism, Seoul, South Korea</t>
  </si>
  <si>
    <t>University of San Francisco; Kyung Hee University</t>
  </si>
  <si>
    <t>Park, SY (corresponding author), Univ San Francisco, Sch Management, San Francisco, CA 94117 USA.</t>
  </si>
  <si>
    <t>sypark5@usfca.edu</t>
  </si>
  <si>
    <t>Lee, Choong-Ki/AAH-9113-2020</t>
  </si>
  <si>
    <t>Park, Sun-Young/0000-0002-5153-7276</t>
  </si>
  <si>
    <t>10.1108/IJCHM-07-2016-0372</t>
  </si>
  <si>
    <t>FV3UI</t>
  </si>
  <si>
    <t>WOS:000424495000008</t>
  </si>
  <si>
    <t>Carrasco, I</t>
  </si>
  <si>
    <t>Carrasco, Inmaculada</t>
  </si>
  <si>
    <t>Gender gap in innovation: an institutionalist explanation</t>
  </si>
  <si>
    <t>Gender; Innovation; PLS; Environmental impact</t>
  </si>
  <si>
    <t>TECHNOLOGY</t>
  </si>
  <si>
    <t>Purpose - The aim of this paper is to contribute to knowledge on innovation from a gender perspective, and to investigate how environment affects the process of innovation by women. Design/methodology/approach - The empirical study uses a Structural Equations Model of a Partial Least Squared (PLS) technique. Data of 40 countries from around the world were collected from 2008. Findings - Institutional environment matters for innovative activity by women. An innovative thinking is required for integrating the gender perspective in innovative milieus in order to enrich, diversify and promote stronger innovation activities, mobilising unexploited opportunities for managers in the business sector, and for policy makers in the public one. Research limitations/implications - A new sex-disaggregated dataset will allow us to enlarge and improve upon this study. A longitudinal study would be extremely useful, but for the moment, there are no available data of this kind. Practical implications - Policies designed to reduce the gap for women in innovation activities have to fight against gender segregation in the job market and gender differences in education and training. They must increase flexibility in the workplace, provide more help to conciliate family and working lives, and reduce the gap in family responsibilities taken on by women. Originality/value - This paper contributes to the cross-over of knowledge between innovation and gender, and reduces the lack of information on how external factors may impact innovative behaviour by gender.</t>
  </si>
  <si>
    <t>Univ Castilla La Mancha, Fac Econ &amp; Business, Econ Policy Unit, Albacete, Spain</t>
  </si>
  <si>
    <t>Carrasco, I (corresponding author), Univ Castilla La Mancha, Fac Econ &amp; Business, Econ Policy Unit, Albacete, Spain.</t>
  </si>
  <si>
    <t>inmaculada.carrasco@uclm.es</t>
  </si>
  <si>
    <t>Monteagudo, María Inmaculada Carrasco/K-4756-2017</t>
  </si>
  <si>
    <t>Monteagudo, María Inmaculada Carrasco/0000-0002-3844-4569</t>
  </si>
  <si>
    <t>10.1108/MD-07-2012-0533</t>
  </si>
  <si>
    <t>AF2TO</t>
  </si>
  <si>
    <t>WOS:000334565600012</t>
  </si>
  <si>
    <t>Harelick, L; Viola, D; Tahara, D</t>
  </si>
  <si>
    <t>Harelick, Linda; Viola, Deborah; Tahara, Denise</t>
  </si>
  <si>
    <t>Preconception Health of Low Socioeconomic Status Women: Assessing Knowledge and Behaviors</t>
  </si>
  <si>
    <t>WOMENS HEALTH ISSUES</t>
  </si>
  <si>
    <t>FOLIC-ACID; CARE</t>
  </si>
  <si>
    <t>Introduction: The stalled U.S. infant mortality rate and persistent disparities in adverse pregnancy outcomes may be addressed by optimizing a woman's health throughout her childbearing years. This study examines women's knowledge and behaviors related to preconception risk factors in two community health centers serving lower income, racially diverse populations. Methods: A survey was administered among a convenience sample of women ages 18 to 44 years (n = 340). Questions focused on health behaviors and conditions, knowledge of risk factors, and recommendations of health care providers. Outcomes include the prevalence of risk factors and correlations between the presence of a risk factor and either a respondent's knowledge or a health care provider's recommendation. Data were analyzed for total respondents and two subgroups: Black, non-Hispanic and Hispanic. Results: Despite strong knowledge of risk factors in the preconception period, high-risk behaviors and conditions existed: 63% of women overweight or obese, 20% drinking alcohol, and 42% taking a multivitamin. Significant differences in risk factors Were noted between Black, non-Hispanic and Hispanic respondents. Overweight/obesity (t = 3.0; p &lt; .05) and alcohol use (chi(2) = 9.2; p &lt; .05) were higher among Black, non-Hispanics, whereas Hispanic women had lower rates of multivitamin use (chi(2) = 11.1; p &lt; .05). The majority of respondents recall being spoken to by a health care provider about pregnancy-related risks. Most risk factors were not influenced by provider's recommendations, including multivitamin use, drinking alcohol, and smoking. However, birth control use was correlated with a provider's recommendation (chi(2) = 7.6; p &lt; .05). Correlations between the presence of risk factors and respondent's knowledge existed for immunizations (chi(2) = 9.6; p &lt; .05), but not for multivitamin use, drinking alcohol, or smoking. Conclusion: Our study identified behaviors amenable to change. Knowledge alone or a doctor's recommendation are not enough to change those behaviors. Innovative programs and support systems are required to encourage women to adopt healthy behaviors throughout the childbearing years. Copyright (C) 2011 by the Jacobs Institute of Women's Health. Published by Elsevier Inc.</t>
  </si>
  <si>
    <t>[Harelick, Linda; Viola, Deborah] New York Med Coll, Sch Hlth Sci &amp; Practice, Dept Hlth Policy &amp; Management, Doctoral Program, Valhalla, NY 10595 USA; [Viola, Deborah] New York Med Coll, Sch Hlth Sci &amp; Practice, Ctr Long Term Care Res &amp; Policy, Valhalla, NY 10595 USA</t>
  </si>
  <si>
    <t>New York Medical College; New York Medical College</t>
  </si>
  <si>
    <t>Harelick, L (corresponding author), New York Med Coll, Sch Hlth Sci &amp; Practice, Dept Hlth Policy &amp; Management, Doctoral Program, Valhalla, NY 10595 USA.</t>
  </si>
  <si>
    <t>Linda_Harelick@nymc.edu</t>
  </si>
  <si>
    <t>1049-3867</t>
  </si>
  <si>
    <t>1878-4321</t>
  </si>
  <si>
    <t>WOMEN HEALTH ISS</t>
  </si>
  <si>
    <t>Womens Health Iss.</t>
  </si>
  <si>
    <t>JUL-AUG</t>
  </si>
  <si>
    <t>10.1016/j.whi.2011.03.006</t>
  </si>
  <si>
    <t>Public, Environmental &amp; Occupational Health; Women's Studies</t>
  </si>
  <si>
    <t>792XZ</t>
  </si>
  <si>
    <t>WOS:000292785000004</t>
  </si>
  <si>
    <t>Geographic patterns of industrial innovation in China during the 1990s</t>
  </si>
  <si>
    <t>TIJDSCHRIFT VOOR ECONOMISCHE EN SOCIALE GEOGRAFIE</t>
  </si>
  <si>
    <t>innovation; large and medium enterprises; concentration; China</t>
  </si>
  <si>
    <t>SPATIAL-DISTRIBUTION; PATENTS</t>
  </si>
  <si>
    <t>This study uses a variety of indicators such as patent grants, new product sales and R&amp;D spending to examine the spatial patterns of industrial innovation in China during the 1990s. It is found that industrial innovation in China has been concentrated in the coastal areas, and the spatial concentration has been increasing in the 1990s, which is contrary to what Sun (2000) found on the patterns of all patent applications in 1985 to 1995. The study also reveals that large and medium-sized enterprises in China have experienced a switch in their modes of innovative behaviours in the late 1990s: from more spending on imported technologies to more in-house RD; though expenditure on absorbing imported technologies has been marginal. Finally, enterprises are not well integrated with independent R&amp;D institutes regarding their R&amp;D efforts, which indicates that the national innovation system in China is still fragmented.</t>
  </si>
  <si>
    <t>Sun, YF (corresponding author), Calif State Univ Northridge, Dept Geog, 18111 Nordhoff St, Northridge, CA 91330 USA.</t>
  </si>
  <si>
    <t>0040-747X</t>
  </si>
  <si>
    <t>1467-9663</t>
  </si>
  <si>
    <t>TIJDSCHR ECON SOC GE</t>
  </si>
  <si>
    <t>Tijdschr. Econ. Soc. Geogr.</t>
  </si>
  <si>
    <t>10.1111/1467-9663.00264</t>
  </si>
  <si>
    <t>Economics; Geography</t>
  </si>
  <si>
    <t>Business &amp; Economics; Geography</t>
  </si>
  <si>
    <t>719KV</t>
  </si>
  <si>
    <t>WOS:000185203000008</t>
  </si>
  <si>
    <t>OKUN, BS</t>
  </si>
  <si>
    <t>EVALUATING METHODS FOR DETECTING FERTILITY-CONTROL - COALE AND TRUSSELLS MODEL AND COHORT PARITY ANALYSIS</t>
  </si>
  <si>
    <t>POPULATION STUDIES-A JOURNAL OF DEMOGRAPHY</t>
  </si>
  <si>
    <t>MARITAL FERTILITY; AGE; TRANSITION; MARRIAGE; TRENDS</t>
  </si>
  <si>
    <t>In their attempts to distinguish empirically between the innovation/diffusion and adaptation views of fertility transition, researchers have pointed out that evidence of fertility control practised by a significant proportion of women in pre-transition populations would render claims that fertility fell as a result of innovative behaviour less convincing. This paper uses simulation techniques to evaluate the ability of two indirect measures of fertility control, Coale and Trussell's model (M &amp; m) and Cohort Parity Analysis (CPA), to identify the presence or absence of fertility controllers, as well as to detect changes in the extent of control. We conclude that neither M &amp; m nor CPA can be relied on to identify accurately a minority of controllers in a population of interest. These findings suggest the need for a reassessment of some of the evidence cited in the debate over alternative theories of fertility decline.</t>
  </si>
  <si>
    <t>OKUN, BS (corresponding author), HEBREW UNIV JERUSALEM, DEPT DEMOG, JERUSALEM, ISRAEL.</t>
  </si>
  <si>
    <t>Okun, Barbara S./AAU-9236-2021</t>
  </si>
  <si>
    <t>Okun, Barbara S./0000-0002-9709-5055</t>
  </si>
  <si>
    <t>0032-4728</t>
  </si>
  <si>
    <t>1477-4747</t>
  </si>
  <si>
    <t>POP STUD-J DEMOG</t>
  </si>
  <si>
    <t>Popul. Stud.-J. Demogr.</t>
  </si>
  <si>
    <t>10.1080/0032472031000147766</t>
  </si>
  <si>
    <t>Demography</t>
  </si>
  <si>
    <t>NX247</t>
  </si>
  <si>
    <t>WOS:A1994NX24700001</t>
  </si>
  <si>
    <t>Bagheri, A; Newman, A; Eva, N</t>
  </si>
  <si>
    <t>Bagheri, Afsaneh; Newman, Alexander; Eva, Nathan</t>
  </si>
  <si>
    <t>Entrepreneurial leadership of CEOs and employees' innovative behavior in high-technology new ventures</t>
  </si>
  <si>
    <t>Entrepreneurial leadership; creative self-efficacy; innovative behavior; passion for inventing</t>
  </si>
  <si>
    <t>CREATIVE SELF-EFFICACY; TRANSFORMATIONAL LEADERSHIP; EXPLOITATIVE INNOVATION; PASSION; IMPACT; PERFORMANCE; WORK; ANTECEDENTS; COMPETENCES; MANAGEMENT</t>
  </si>
  <si>
    <t>While previous research has underlined entrepreneurial leadership as an effective style of leadership that promotes innovative behavior, little is known about the mechanisms by which CEOs' entrepreneurial leadership practices influence the innovative behavior of employees. Drawing on social cognitive theory, this study empirically examines whether creative self-efficacy and passion for inventing explain the process by which the entrepreneurial leadership of CEOs influences employees' innovative behavior in high-technology new ventures. Drawing on data from 310 employees working in 32 Iranian high-technology new ventures, and their respective CEOs, entrepreneurial leadership is found to foster employees' innovative behavior through the mediating mechanisms of creative self-efficacy and passion for inventing.</t>
  </si>
  <si>
    <t>[Bagheri, Afsaneh] Univ Tehran, Fac Entrepreneurship, Tehran, Iran; [Newman, Alexander] Deakin Univ, Deakin Business Sch, Dept Management, Geelong, Vic, Australia; [Eva, Nathan] Monash Univ, Monash Business Sch, Clayton, Vic, Australia</t>
  </si>
  <si>
    <t>University of Tehran; Deakin University; Monash University</t>
  </si>
  <si>
    <t>Bagheri, A (corresponding author), Univ Tehran, Fac Entrepreneurship, Tehran, Iran.</t>
  </si>
  <si>
    <t>af.bagheri@ut.ac.ir</t>
  </si>
  <si>
    <t>Eva, Nathan/G-5454-2015; Newman, Alexander/AAH-7376-2020</t>
  </si>
  <si>
    <t>Eva, Nathan/0000-0003-2735-977X; Newman, Alexander/0000-0003-1170-8947</t>
  </si>
  <si>
    <t>JUL 4</t>
  </si>
  <si>
    <t>10.1080/00472778.2020.1737094</t>
  </si>
  <si>
    <t>2D1TM</t>
  </si>
  <si>
    <t>WOS:000811338200003</t>
  </si>
  <si>
    <t>Chen, IS; Fellenz, MR</t>
  </si>
  <si>
    <t>Chen, I-Shuo; Fellenz, Martin R.</t>
  </si>
  <si>
    <t>Personal resources and personal demands for work engagement: Evidence from employees in the service industry</t>
  </si>
  <si>
    <t>Personal resources; Personal demands; Work engagement; Conservation of resources theory; Work-home interface; Chinese</t>
  </si>
  <si>
    <t>CORE SELF-EVALUATIONS; HOSPITALITY INDUSTRY; MEDIATING ROLE; JOB DEMANDS; INNOVATIVE BEHAVIOR; INTEGRATED MODEL; EFFICACY BELIEFS; FAMILY CONFLICT; CHINESE NURSES; BURNOUT</t>
  </si>
  <si>
    <t>Conventional studies have widely demonstrated that individuals' engagement at work depends on their personal resources, which are affected by environmental influences, especially those derived from the workplace and home domains. In this study, we examine whether a change in work engagement may be based on individuals' decisions in managing their personal resources. We use the conservation of resources (COR) theory to explain how personal resources and personal demands at home can influence work engagement through personal resources and personal demands at work. We conducted a daily diary study involving a group of 97 Chinese employees (N = 97) from a range of different service settings for 2 consecutive weeks (N = 1358) and evaluated their daily work engagement using manager ratings. The findings support the hypothesized mediating effects of personal resources and personal demands at work on personal resources and personal demands at home and work engagement.</t>
  </si>
  <si>
    <t>[Chen, I-Shuo] Univ Dundee, Sch Business, Dundee, Scotland; [Fellenz, Martin R.] Trinity Coll Dublin, Trinity Business Sch, Dublin, Ireland</t>
  </si>
  <si>
    <t>University of Dundee; RLUK- Research Libraries UK; Trinity College Dublin</t>
  </si>
  <si>
    <t>Chen, IS (corresponding author), Univ Dundee, Sch Business, Dundee, Scotland.</t>
  </si>
  <si>
    <t>ichen001@dundee.ac.uk</t>
  </si>
  <si>
    <t>Fellenz, Martin/AAC-8936-2022</t>
  </si>
  <si>
    <t>Fellenz, Martin/0000-0001-7001-4406</t>
  </si>
  <si>
    <t>10.1016/j.ijhm.2020.102600</t>
  </si>
  <si>
    <t>NT6OW</t>
  </si>
  <si>
    <t>WOS:000573058700005</t>
  </si>
  <si>
    <t>Mielniczuk, E; Laguna, M</t>
  </si>
  <si>
    <t>Mielniczuk, Emilia; Laguna, Mariola</t>
  </si>
  <si>
    <t>Positive Affect Mediates the Relationship Between Self-efficacy and Innovative Behavior in Entrepreneurs</t>
  </si>
  <si>
    <t>innovative behavior; self-efficacy; affect; entrepreneurship; creativity; longitudinal study</t>
  </si>
  <si>
    <t>CREATIVE PERFORMANCE; MODERATING ROLE; MODEL; METAANALYSIS; BELIEFS; TRAITS; ESTEEM; DETERMINANTS; PERSONALITY; EMOTIONS</t>
  </si>
  <si>
    <t>Innovativeness is one of the crucial factors allowing companies to grow, and innovative behavior of entrepreneurs is an important source of firm innovativeness and business success. This study aims to better understand self-regulatory mechanisms stimulating the innovative behavior of entrepreneurs. We have tested the mediation model in which work-related affect (enthusiasm, comfort, anxiety, and depression) mediates the relationship between work self-efficacy and innovative behavior. A longitudinal study with three measurement times was conducted on a sample of entrepreneurs-business owners. The mediation analysis with bias-corrected bootstrapping method confirmed that the relation between work self-efficacy and innovative behavior of entrepreneurs is mediated by their work-related positive affect-comfort and enthusiasm-but not by negative affect.</t>
  </si>
  <si>
    <t>[Mielniczuk, Emilia; Laguna, Mariola] John Paul II Catholic Univ Lublin, Lublin, Poland</t>
  </si>
  <si>
    <t>Laguna, M (corresponding author), John Paul II Catholic Univ Lublin, Inst Psychol, Al Raclawickie 14, PL-20950 Lublin, Poland.</t>
  </si>
  <si>
    <t>Laguna, Mariola/T-8177-2018</t>
  </si>
  <si>
    <t>Laguna, Mariola/0000-0001-6865-8587</t>
  </si>
  <si>
    <t>National Science Centre, Poland [DEC-2013/10/M/HS6/00475]</t>
  </si>
  <si>
    <t>National Science Centre, Poland(National Science Centre, Poland)</t>
  </si>
  <si>
    <t>This research was financed by the National Science Centre, Poland, grant no. DEC-2013/10/M/HS6/00475.</t>
  </si>
  <si>
    <t>10.1002/jocb.364</t>
  </si>
  <si>
    <t>LY6IE</t>
  </si>
  <si>
    <t>WOS:000540630200004</t>
  </si>
  <si>
    <t>Al-Hawari, MA; Bani-Melhem, S; Quratulain, S</t>
  </si>
  <si>
    <t>Al-Hawari, Mohd Ahmad; Bani-Melhem, Shaker; Quratulain, Samina</t>
  </si>
  <si>
    <t>Abusive supervision and frontline employees' attitudinal outcomes The multilevel effects of customer orientation</t>
  </si>
  <si>
    <t>Customer orientation; Abusive supervision; Employee silence; Capacity to satisfy customers</t>
  </si>
  <si>
    <t>LEADER BEHAVIORAL INTEGRITY; MODERATING ROLE; MEDIATING ROLE; INNOVATIVE BEHAVIOR; SERVICE CLIMATE; SILENCE; VOICE; IMPACT; JUSTICE; ROLES</t>
  </si>
  <si>
    <t>Purpose This study aims to examine a moderated mediation model that explains how abusive supervision influences employees' capacity to satisfy customers (via their silence behavior) and how a customer-oriented work climate moderates the indirect influence of abusive supervision on frontline employees' (FLEs) capacity to satisfy customers. Design/methodology/approach A time-lagged design was used to collect data from 335 FLEs of 57 hospitality organizations. A multilevel analysis was performed to test the hypotheses underpinning the study. Findings The findings revealed that employees are more likely to remain silent when they experience abusive supervision and this silence directly affects their ability to serve customers. The effect that abusive supervision has on silence behaviors is stronger when organizational customer orientation is low. Practical implications - The study findings can provide hospitality managers with a better understanding of the complex relationship between supervisory behaviors and the organizational environment and how these factors influence employees' discretionary behaviors (e.g. decision to intentionally withhold information) and capacity to serve customers. Originality/value The findings provide a novel contribution by explaining how abusive supervision affects hospitality employees' capacity to serve customers and when this effect is more pronounced. These findings highlight that hospitality organizations need to understand that when leader behavior does not align with what is prescribed for a customer-oriented service climate, the benefits of a favorable work climate do not exist.</t>
  </si>
  <si>
    <t>[Al-Hawari, Mohd Ahmad; Bani-Melhem, Shaker; Quratulain, Samina] Univ Sharjah, Coll Business Adm, Dept Management, Sharjah, U Arab Emirates</t>
  </si>
  <si>
    <t>University of Sharjah</t>
  </si>
  <si>
    <t>Al-Hawari, MA (corresponding author), Univ Sharjah, Coll Business Adm, Dept Management, Sharjah, U Arab Emirates.</t>
  </si>
  <si>
    <t>malhawari@sharjah.ac.ae</t>
  </si>
  <si>
    <t>Al-Hawari, MohD Ahmad/0000-0002-2166-0572; Bani Melhem, Shaker/0000-0002-6137-7691</t>
  </si>
  <si>
    <t>APR 13</t>
  </si>
  <si>
    <t>10.1108/IJCHM-06-2019-0510</t>
  </si>
  <si>
    <t>LF9JY</t>
  </si>
  <si>
    <t>WOS:000524919200001</t>
  </si>
  <si>
    <t>Wang, DW; Li, XW; Zhou, MM; Maguire, P; Zong, ZB; Hu, YX</t>
  </si>
  <si>
    <t>Wang, Dawei; Li, Xiaowen; Zhou, Mengmeng; Maguire, Phil; Zong, Zhaobiao; Hu, Yixin</t>
  </si>
  <si>
    <t>Effects of abusive supervision on employees' innovative behavior: The role of job insecurity and locus of control</t>
  </si>
  <si>
    <t>SCANDINAVIAN JOURNAL OF PSYCHOLOGY</t>
  </si>
  <si>
    <t>Abusive supervision; conservation of resources theory; employees' innovative behavior; job insecurity; locus of control</t>
  </si>
  <si>
    <t>MODERATED MEDIATION; EMOTIONAL LABOR; WORK BEHAVIORS; LEADERSHIP; PATH; SELF; UNCERTAINTY; PERFORMANCE; STRESS; GENDER</t>
  </si>
  <si>
    <t>Drawing on the Conservation of Resources Theory by Hobfoll, we examined the relationships between abusive supervision, job insecurity, locus of control, and employees' innovative behavior. Using self-reported data collected from employees among four enterprises in China (N = 641), we found that abusive supervision was positively correlated with job insecurity. In contrast, both job insecurity and abusive supervision were negatively correlated with employees' innovative behavior, with the impact of abusive supervision on innovative behavior being mediated by its effect on job insecurity. Having an external locus of control that served as a buffering factor for employees, mitigating the relationship between abusive supervision and job insecurity. These findings complement the existing research on the impacts of abusive leadership, providing practical information for enterprises on how to enhance levels of innovation and vitality among employees.</t>
  </si>
  <si>
    <t>[Wang, Dawei; Li, Xiaowen; Zhou, Mengmeng; Zong, Zhaobiao; Hu, Yixin] Shandong Normal Univ, Sch Psychol, 88 Wenhua East Rd, Jinan 250014, Shandong, Peoples R China; [Maguire, Phil] Natl Univ Ireland, Dept Comp Sci, Maynooth, Kildare, Ireland</t>
  </si>
  <si>
    <t>Shandong Normal University; Maynooth University</t>
  </si>
  <si>
    <t>Zhou, MM; Hu, YX (corresponding author), Shandong Normal Univ, Sch Psychol, 88 Wenhua East Rd, Jinan 250014, Shandong, Peoples R China.</t>
  </si>
  <si>
    <t>1083122939@qq.com; huyixin2005@163.com</t>
  </si>
  <si>
    <t>National Natural Science Fund of China [31471002]; Natural Science Foundation of Shandong Province of China [ZR2014CM033]; Key R &amp; D program in Shandong Province of China [2015GSF120015]; Young People of Humanities and Social Sciences of the Ministry of Education of China [15YJC190006]; Key Construction Project of Applied Psychology of Shandong; Normal University of China; The 12th Five Emphasis Subject of Development and Education Psychology of Shandong Province of China</t>
  </si>
  <si>
    <t>National Natural Science Fund of China(National Natural Science Foundation of China (NSFC)); Natural Science Foundation of Shandong Province of China(Natural Science Foundation of Shandong Province); Key R &amp; D program in Shandong Province of China; Young People of Humanities and Social Sciences of the Ministry of Education of China; Key Construction Project of Applied Psychology of Shandong; Normal University of China; The 12th Five Emphasis Subject of Development and Education Psychology of Shandong Province of China</t>
  </si>
  <si>
    <t>This study was supported by National Natural Science Fund of China (grant no. 31471002), Natural Science Foundation of Shandong Province of China (grant no. ZR2014CM033), Key R &amp; D program in Shandong Province of China (grant no. 2015GSF120015), Young People of Humanities and Social Sciences of the Ministry of Education of China (grant no. 15YJC190006), Key Construction Project of Applied Psychology of Shandong. Normal University of China and The 12th Five Emphasis Subject of Development and Education Psychology of Shandong Province of China. Dawei Wang and Mengmeng Zhou Share the first authorship.</t>
  </si>
  <si>
    <t>0036-5564</t>
  </si>
  <si>
    <t>1467-9450</t>
  </si>
  <si>
    <t>SCAND J PSYCHOL</t>
  </si>
  <si>
    <t>Scand. J. Psychol.</t>
  </si>
  <si>
    <t>10.1111/sjop.12510</t>
  </si>
  <si>
    <t>HO1XP</t>
  </si>
  <si>
    <t>WOS:000460705900008</t>
  </si>
  <si>
    <t>Rhee, J; Seog, SD; Bozorov, F; Dedahanov, AT</t>
  </si>
  <si>
    <t>Rhee, Jaehoon; Seog, Seo Dae; Bozorov, Faridun; Dedahanov, Alisher Tohirovich</t>
  </si>
  <si>
    <t>centralization; formalization; empowerment; innovative behavior</t>
  </si>
  <si>
    <t>PSYCHOLOGICAL EMPOWERMENT; MARKET ORIENTATION; TEAM EMPOWERMENT; SELF-EFFICACY; MODEL; CENTRALIZATION; ANTECEDENTS; WORK; CREATIVITY; WORKPLACE</t>
  </si>
  <si>
    <t>We examined the mediating role of empowerment in the associations among centralization, formalization, and employee innovative behavior in organizations. Respondents were 750 highly skilled full-time employees of manufacturing organizations in the Republic of Korea who completed a self-administered survey. Structural equation modeling was used to evaluate the hypotheses of our study. The findings demonstrated that centralization and formalization were negatively related with empowerment. Empowerment was positively associated with employee innovative behavior, and played a mediating role among centralization, formalization, and innovative behavior. We recommend that managers of organizations establish self-managed teams that are able to make decisions autonomously, and that managers use a less formalized organizational structure to enhance employee empowerment.</t>
  </si>
  <si>
    <t>[Rhee, Jaehoon; Seog, Seo Dae] Yeungnam Univ, Entrepreneurship Ctr, Gyongsan City, South Korea; [Rhee, Jaehoon] Yeungnam Univ, Sch Business, Gyongsan City, South Korea; [Seog, Seo Dae] Yeungnam Univ, Dept Accounting &amp; Taxat, Gyongsan City, South Korea; [Bozorov, Faridun; Dedahanov, Alisher Tohirovich] Yeungnam Univ, Sch Business, 214-1 Dae Dong, Gyongsan City, South Korea</t>
  </si>
  <si>
    <t>Yeungnam University; Yeungnam University; Yeungnam University; Yeungnam University</t>
  </si>
  <si>
    <t>Bozorov, F; Dedahanov, AT (corresponding author), Yeungnam Univ, Sch Business, 214-1 Dae Dong, Gyongsan City, South Korea.</t>
  </si>
  <si>
    <t>faridun86@gmail.com; sarbon22513@ynu.ac.kr</t>
  </si>
  <si>
    <t>Business for University Entrepreneurship Center - Korea Small and Medium Business Administration</t>
  </si>
  <si>
    <t>This work was supported by the Business for University Entrepreneurship Center, funded by the Korea Small and Medium Business Administration in 2015.</t>
  </si>
  <si>
    <t>10.2224/sbp.6433</t>
  </si>
  <si>
    <t>FK9KF</t>
  </si>
  <si>
    <t>WOS:000413829400010</t>
  </si>
  <si>
    <t>De Clercq, D; Belausteguigoitia, I</t>
  </si>
  <si>
    <t>De Clercq, Dirk; Belausteguigoitia, Imanol</t>
  </si>
  <si>
    <t>The Usefulness of Tenacity in Spurring Problem-Focused Voice: The Moderating Roles of Workplace Adversity</t>
  </si>
  <si>
    <t>Voice behavior; Tenacity; Workplace adversity; Conservation of resources theory; Affective events theory</t>
  </si>
  <si>
    <t>AFFECTIVE EVENTS THEORY; EXTRA-ROLE BEHAVIORS; EMPLOYEE VOICE; INNOVATIVE BEHAVIOR; JOB-SATISFACTION; PERSONAL CONTROL; MODEL; WORK; PERFORMANCE; CONSERVATION</t>
  </si>
  <si>
    <t>Drawing from conservation of resources theory and affective events theory, this article examines the hitherto unexplored relationship between employees' tenacity levels and problem-focused voice behavior, as well as how this relationship may be augmented when employees encounter adversity in relationships with peers or in the organizational climate in general. The study draws on quantitative data collected through a survey administered to employees and their supervisors in a large manufacturing organization. Tenacity increases the likelihood of speaking up about problem areas, and this relationship is strongest when peer relationships are characterized by low levels of goal congruence and trust (relational adversity) or when the organization does not support change (organizational adversity). The augmenting effect of organizational adversity on the usefulness of tenacity is particularly salient when it combines with high relational adversity, which underscores the critical role of tenacity for spurring problem-focused voice behavior when employees negatively appraise different facets of their work environment simultaneously. The results inform organizations that the allocation of personal energy to reporting organizational problems is perceived as particularly useful by employees when they encounter significant adversity in their work environments. This study extends research on voice behavior by providing a better understanding of the likelihood that employees speak up about problem areas, according to their levels of tenacity, and explicating when this influence of tenacity tends to be more prominent.</t>
  </si>
  <si>
    <t>[De Clercq, Dirk] Brock Univ, Goodman Sch Business, St Catharines, ON L2S 3A1, Canada; [De Clercq, Dirk] Kingston Univ, Small Business Res Ctr, Kingston Hill, Kingston Upon Thames KT2 7LB, Surrey, England; [Belausteguigoitia, Imanol] ITAM, Ave Camino Santa Teresa 930, Mexico City 10700, DF, Mexico</t>
  </si>
  <si>
    <t>Brock University; Kingston University; Instituto Tecnologico Autonomo de Mexico</t>
  </si>
  <si>
    <t>De Clercq, D (corresponding author), Brock Univ, Goodman Sch Business, St Catharines, ON L2S 3A1, Canada.;De Clercq, D (corresponding author), Kingston Univ, Small Business Res Ctr, Kingston Hill, Kingston Upon Thames KT2 7LB, Surrey, England.</t>
  </si>
  <si>
    <t>ddeclercq@brocku.ca; imanol@itam.mx</t>
  </si>
  <si>
    <t>10.1007/s10869-016-9455-8</t>
  </si>
  <si>
    <t>EY8HA</t>
  </si>
  <si>
    <t>WOS:000404234200008</t>
  </si>
  <si>
    <t>Feng, CL; Huang, XY; Zhang, LH</t>
  </si>
  <si>
    <t>Feng, Cailing; Huang, Xiaoyu; Zhang, Lihua</t>
  </si>
  <si>
    <t>A multilevel study of transformational leadership, dual organizational change and innovative behavior in groups</t>
  </si>
  <si>
    <t>JOURNAL OF ORGANIZATIONAL CHANGE MANAGEMENT</t>
  </si>
  <si>
    <t>Radical change; Incremental change; Group innovative behaviour; Group transformational leadership</t>
  </si>
  <si>
    <t>EMPLOYEE CREATIVITY; MEMBER EXCHANGE; PERFORMANCE; CLIMATE; EXPLOITATION; EMPOWERMENT; ORIENTATION; EXPLORATION; PERSPECTIVE; COMPLEXITY</t>
  </si>
  <si>
    <t>Purpose - Based on dual organizational theory, the purpose of this paper is to examine the relationship between transformational leadership and innovative behavior in groups. The authors proposed that group innovative behavior was influenced by transformational leadership as a group-level construct which was moderated by dual organizational change that represent organization-level resources. Furthermore, the authors identified two organizational change-related situational variables-radical change and incremental change and examined their effects on group innovative behavior. Design/methodology/approach - The authors collected data from full-time employees working in groups in 43 companies, located in five cities in China including Beijing, Yantai, Chengdu, Xi'an, and Chengde. These enterprises were from a wide range of industries, including manufacturing, financing, information technology, and geological exploration. The authors chose a middle-or senior-level manager from each company to act as chief survey respondent, who were asked to contact managers and employees from a list they had provided and invite them to participate in a web-based survey (via an e-mailed link) or a paper-and-pencil survey. A total of 192 managers and 756 direct subordinates from 112 groups completed the survey. Findings - Results found that transformational leadership was positively related to group innovative behavior, and this relationship was moderated by radical change, but not incremental change; radical change and incremental change were also positively related to group innovative behavior. Research limitations/implications - This study adopts a cross-sectional study design, which is insufficient for deriving causal inferences. Future research may adopt a longitudinal study design to investigate causal impacts. Besides, some unmeasured variables could be related to transformational leadership and innovative behavior. Practical implications - The paper includes implications for adopting appropriate leadership style to motivate innovative behavior, promoting dual organizational change to boost innovative behavior, and generating greater innovative behavior for transformational leaders in times of radical change. Originality/value - This cross-level study contributes to the relationship between transformational leadership and group innovative behavior in the context of dual organizational change.</t>
  </si>
  <si>
    <t>[Feng, Cailing] Ludong Univ, Sch Business, Yantai, Peoples R China; [Huang, Xiaoyu] Calif State Univ San Bernardino, Coll Business &amp; Publ Adm, San Bernardino, CA 92407 USA; [Zhang, Lihua] Renmin Univ China, Sch Labor &amp; Human Resources, Beijing, Peoples R China</t>
  </si>
  <si>
    <t>Ludong University; California State University System; California State University San Bernardino; Renmin University of China</t>
  </si>
  <si>
    <t>Huang, XY (corresponding author), Calif State Univ San Bernardino, Coll Business &amp; Publ Adm, San Bernardino, CA 92407 USA.</t>
  </si>
  <si>
    <t>xiaoyu.huang@mail.utoronto.ca</t>
  </si>
  <si>
    <t>Huang, Crystal/P-1936-2019; Cailing, Feng/K-3459-2016</t>
  </si>
  <si>
    <t>Cailing, Feng/0000-0001-5422-5043; Huang, Xiaoyu/0000-0003-0487-7814</t>
  </si>
  <si>
    <t>National Natural Science Foundation of China [71402067]</t>
  </si>
  <si>
    <t>This paper was funded by National Natural Science Foundation of China (No. 71402067).</t>
  </si>
  <si>
    <t>0953-4814</t>
  </si>
  <si>
    <t>1758-7816</t>
  </si>
  <si>
    <t>J ORGAN CHANGE MANAG</t>
  </si>
  <si>
    <t>J. Organ. Chang. Manage.</t>
  </si>
  <si>
    <t>10.1108/JOCM-01-2016-0005</t>
  </si>
  <si>
    <t>EB2QU</t>
  </si>
  <si>
    <t>WOS:000387207700003</t>
  </si>
  <si>
    <t>Odoardi, C; Montani, F; Boudrias, JS; Battistelli, A</t>
  </si>
  <si>
    <t>Odoardi, Carlo; Montani, Francesco; Boudrias, Jean-Sebastien; Battistelli, Adalgisa</t>
  </si>
  <si>
    <t>Linking managerial practices and leadership style to innovative work behavior The role of group and psychological processes</t>
  </si>
  <si>
    <t>Leadership; Psychological empowerment; Managerial practices; Group processes; Innovative work behaviour</t>
  </si>
  <si>
    <t>EMPOWERING LEADERSHIP; CONTEXTUAL PREDICTORS; INTRINSIC MOTIVATION; EMPLOYEE CREATIVITY; PERFORMANCE; CLIMATE; MANAGEMENT; MODEL; PERCEPTIONS; ORGANIZATIONS</t>
  </si>
  <si>
    <t>Purpose - The purpose of this paper is to propose and test a theoretical model linking individual perceptions of participative leadership style and managerial practices (i.e. teamwork and information sharing) to individual innovative behavior through the mediating mechanisms of: perceptions of team support for innovation and team vision; and psychological empowerment. Design/methodology/approach - Self-report data were collected from 394 employees working in five organizations. Structural equation models were conducted to empirically test the hypothesized research model. Findings - As hypothesized, participative leadership, teamwork and information sharing positively predicted perceptions of team support for innovation and team vision, which in turn fostered psychological empowerment. The latter was further positively associated with innovative performance. Practical implications - The results of the present study inform management of the group processes (i.e. team vision and support for innovation) that can mobilize employees to engage in effective innovative activities. Importantly, the findings indicate that for such processes to be developed and nurtured, teamwork activities should be promoted within work groups, effective communication systems should be implemented throughout the organization, and participatory skills should be developed among supervisors. Originality/value - The study represents one of the first attempts to investigate the perceived group and psychological processes that can explain how managerial practices and leadership style jointly benefit employee innovative behavior.</t>
  </si>
  <si>
    <t>[Odoardi, Carlo] Univ Florence, Dept Psychol, Florence, Italy; [Montani, Francesco] Univ Sherbrooke, Dept Psychol, Sherbrooke, PQ J1K 2R1, Canada; [Boudrias, Jean-Sebastien] Univ Montreal, Dept Psychol, Montreal, PQ H3C 3J7, Canada; [Battistelli, Adalgisa] Univ Bordeaux, Lab Psychol Hlth &amp; Qual Life EA 4139, Bordeaux, France</t>
  </si>
  <si>
    <t>University of Florence; University of Sherbrooke; Universite de Montreal; UDICE-French Research Universities; Universite de Bordeaux</t>
  </si>
  <si>
    <t>Odoardi, C (corresponding author), Univ Florence, Dept Psychol, Florence, Italy.</t>
  </si>
  <si>
    <t>carlo.odoardi@unifi.it</t>
  </si>
  <si>
    <t>10.1108/LODJ-10-2013-0131</t>
  </si>
  <si>
    <t>CM1DM</t>
  </si>
  <si>
    <t>WOS:000357420600006</t>
  </si>
  <si>
    <t>Sciascia, S; Clinton, E; Nason, RS; James, AE; Rivera-Algarin, JO</t>
  </si>
  <si>
    <t>Sciascia, Salvatore; Clinton, Eric; Nason, Robert S.; James, Albert E.; Rivera-Algarin, Juan O.</t>
  </si>
  <si>
    <t>Family Communication and Innovativeness inFamily Firms</t>
  </si>
  <si>
    <t>FAMILY RELATIONS</t>
  </si>
  <si>
    <t>family communication; family firms; innovativeness</t>
  </si>
  <si>
    <t>RESEARCH-AND-DEVELOPMENT; MANAGEMENT TEAM DIVERSITY; ENTREPRENEURIAL ORIENTATION; TOP MANAGEMENT; INTRAGROUP CONFLICT; ORGANIZATIONAL INNOVATION; DEVELOPMENT INVESTMENTS; DECISION-MAKING; PERFORMANCE; BUSINESS</t>
  </si>
  <si>
    <t>This conceptual article seeks to address the heterogeneity of family firms in terms of their innovativeness by investigating business family communication dynamics. We use the established family communication constructs of conversation and conformity orientations to develop a typology of family firms in terms of innovativeness. We provide empirically testable propositions and present possible operationalizations for future research. In particular, we argue that supportive business families (i.e., families characterized by high conversation orientation and moderate conformity orientation) are associated with the highest levels of innovativeness in the family-controlled firm. Through this article we hope to deepen our understanding of the relationship between family and firm levels of analysis, to develop a stronger bond between communication and innovative behavior, and to identify family-related antecedents of heterogeneity in family firm innovativeness.</t>
  </si>
  <si>
    <t>[Sciascia, Salvatore] IULM Univ, Milan, Italy; [Clinton, Eric] Dublin City Univ, DCU Business Sch, Dublin 9, Ireland; [Nason, Robert S.] Syracuse Univ, Whitman Sch Management, Syracuse, NY 13244 USA; [James, Albert E.] Bishops Univ, Williams Sch Business, Sherbrooke, PQ J1M 1Z7, Canada; [Rivera-Algarin, Juan O.] Inter Amer Univ Puerto Rico, San Juan, PR 00957 USA</t>
  </si>
  <si>
    <t>IULM International University Languages &amp; Media; Dublin City University; Syracuse University; Bishops University; Inter American University of Puerto Rico-San German</t>
  </si>
  <si>
    <t>Sciascia, S (corresponding author), IULM Univ, Via Carlo Bo1, Milan, Italy.</t>
  </si>
  <si>
    <t>sciascia@iulm.it</t>
  </si>
  <si>
    <t>Nason, Rob/AAE-5860-2021; James, Albert/R-6388-2018</t>
  </si>
  <si>
    <t>James, Albert/0000-0002-9622-9234</t>
  </si>
  <si>
    <t>0197-6664</t>
  </si>
  <si>
    <t>1741-3729</t>
  </si>
  <si>
    <t>FAM RELAT</t>
  </si>
  <si>
    <t>Fam. Relat.</t>
  </si>
  <si>
    <t>10.1111/fare.12014</t>
  </si>
  <si>
    <t>Family Studies; Social Work</t>
  </si>
  <si>
    <t>157DE</t>
  </si>
  <si>
    <t>WOS:000319875200005</t>
  </si>
  <si>
    <t>Bracken, LJ; Oughton, EA</t>
  </si>
  <si>
    <t>Bracken, Louise J.; Oughton, Elizabeth A.</t>
  </si>
  <si>
    <t>Making sense of policy implementation: The construction and uses of expertise and evidence in managing freshwater environments</t>
  </si>
  <si>
    <t>ENVIRONMENTAL SCIENCE &amp; POLICY</t>
  </si>
  <si>
    <t>Knowledge; Evidence; Intermediary; Knowledge broker; Environmental management; Expertise; Professional</t>
  </si>
  <si>
    <t>3RD WAVE; PEARL MUSSELS; KNOWLEDGE; SCIENCE; INTERMEDIARIES; ORGANIZATIONS; CONSERVATION; GOVERNANCE; WORK</t>
  </si>
  <si>
    <t>This paper explores how, environmental policy is implemented and enacted through the management of technical and institutional knowledge at the local level. We use the conservation of the freshwater pearl mussel in the River Esk, North Yorkshire, UK, as an empirical case study to examine the interaction that takes place between professionals from different institutional and disciplinary backgrounds as they come together to work on a common problem. We focus on two aspects: the way in which an institutional context was created; and the interaction between the professionals involved. Our analysis demonstrates that the strategic intermediary role of professionals is vital to policy implementation. The intermediary uses their strategic vision and undertakes political manoeuvring following the presentation and interaction of different knowledges and evidence to ensure a certain course of action. This is different from a knowledge broker. The role of the professional is to draw on expertise, both formal and tacit, to interpret and judge data in relation to decision making. Those individuals participating in decision making of this nature have multiple histories, roles and motivations which enables innovation in the creation of meaning within environmental management. The quality of the evidence can be assumed adequate once subject to diverse professional scrutiny. These findings are important since innovative behaviour that creates new structures and practices is becoming central to delivering good management of land, water and biodiversity. (C) 2012 Elsevier Ltd. All rights reserved.</t>
  </si>
  <si>
    <t>[Bracken, Louise J.] Univ Durham, Dept Geog, Durham DH1 3LE, England; [Oughton, Elizabeth A.] Newcastle Univ, Ctr Rural Econ Agr Food &amp; Rural Dev, Newcastle Upon Tyne NE1 7RU, Tyne &amp; Wear, England</t>
  </si>
  <si>
    <t>N8 Research Partnership; RLUK- Research Libraries UK; Durham University; N8 Research Partnership; RLUK- Research Libraries UK; Newcastle University - UK</t>
  </si>
  <si>
    <t>Bracken, LJ (corresponding author), Univ Durham, Dept Geog, Durham DH1 3LE, England.</t>
  </si>
  <si>
    <t>l.j.bracken@durham.ac.uk; e.a.oughton@ncl.ac.uk</t>
  </si>
  <si>
    <t>Bracken, Louise/L-8198-2018</t>
  </si>
  <si>
    <t>Bracken, Louise/0000-0002-1268-5516</t>
  </si>
  <si>
    <t>RELU programme [RES-227-25-0002]</t>
  </si>
  <si>
    <t>RELU programme</t>
  </si>
  <si>
    <t>This paper has developed from RES-227-25-0002 funded by the RELU programme. We thank Ben, the Project Officer and fellow members of the ESPMRP who are central to the case study reported. We also thank Jeremy Phillipson, Michael Carrithers, Harriet Bulkeley and three anonymous referees for their helpful comments on an earlier draft and Amy Proctor for her early input.</t>
  </si>
  <si>
    <t>1462-9011</t>
  </si>
  <si>
    <t>1873-6416</t>
  </si>
  <si>
    <t>ENVIRON SCI POLICY</t>
  </si>
  <si>
    <t>Environ. Sci. Policy</t>
  </si>
  <si>
    <t>10.1016/j.envsci.2012.07.010</t>
  </si>
  <si>
    <t>Environmental Sciences</t>
  </si>
  <si>
    <t>Environmental Sciences &amp; Ecology</t>
  </si>
  <si>
    <t>154BE</t>
  </si>
  <si>
    <t>WOS:000319645700002</t>
  </si>
  <si>
    <t>Brusoni, S; Marsili, O; Salter, A</t>
  </si>
  <si>
    <t>The role of codified sources of knowledge in innovation: Empirical evidence from Dutch manufacturing</t>
  </si>
  <si>
    <t>Meeting of the European-Association-for-Research-in-Industrial-Economics</t>
  </si>
  <si>
    <t>SEP 05-08, 2002</t>
  </si>
  <si>
    <t>Madrid, SPAIN</t>
  </si>
  <si>
    <t>European Assoc Res Ind Econ</t>
  </si>
  <si>
    <t>innovation; knowledge; manufacturing industries; codification</t>
  </si>
  <si>
    <t>PATTERNS</t>
  </si>
  <si>
    <t>This paper explores ongoing debates about the role that codified forms of knowledge play in fostering innovative behaviour. It aims to provide an empirical exploration of the use of codified sources of information for innovation at the firm and sectoral level. Despite considerable interest in David and Foray's (1995) work on the codification of knowledge and the changing nature of innovation due to the use of information and communication technologies, there are relatively few empirical studies that probe the role of codified sources of information in the innovation process. Our goal is to assess how important codified sources of information are for innovation among different firms and sectors. We find that use of codified sources of knowledge is highly concentrated in high technology sectors and among firms with existing absorptive capacity. The analysis shows that the use of other sources of information for innovation is a strong predictor of a firms use of codified sources. The data used for the analysis is based on The Netherlands Community Innovation Survey (II) for the manufacturing sector and covers over 2001 firms in 11 industries.</t>
  </si>
  <si>
    <t>Bocconi Univ, CESPRI &amp; CRORA, I-20136 Milan, Italy; Erasmus Univ, Rotterdam Sch Management, NL-3000 DR Rotterdam, Netherlands; Univ London Imperial Coll Sci Technol &amp; Med, Innovat Studies Ctr, Tanaka Business Sch, London SW7 2AZ, England</t>
  </si>
  <si>
    <t>Bocconi University; Erasmus University Rotterdam; Erasmus University Rotterdam - Excl Erasmus MC; RLUK- Research Libraries UK; Imperial College London</t>
  </si>
  <si>
    <t>Brusoni, S (corresponding author), Bocconi Univ, CESPRI &amp; CRORA, Via Sarfatti 25, I-20136 Milan, Italy.</t>
  </si>
  <si>
    <t>stefano.brusoni@unibocconi.it; omarsili@rsm.nl; a.salter@imperial.ac.uk</t>
  </si>
  <si>
    <t>Salter, Ammon/A-9217-2010</t>
  </si>
  <si>
    <t>Salter, Ammon/0000-0003-2065-1268; Marsili, Orietta/0000-0002-4879-6701</t>
  </si>
  <si>
    <t>10.1007/s00191-005-0244-1</t>
  </si>
  <si>
    <t>919TP</t>
  </si>
  <si>
    <t>WOS:000228640800005</t>
  </si>
  <si>
    <t>Boulay, M; Valente, TW</t>
  </si>
  <si>
    <t>The relationship of social affiliation and interpersonal discussion to family planning knowledge, attitudes and practice</t>
  </si>
  <si>
    <t>INTERNATIONAL FAMILY PLANNING PERSPECTIVES</t>
  </si>
  <si>
    <t>FERTILITY</t>
  </si>
  <si>
    <t>Context: Past research has demonstrated an association between membership in a social club and the adoption of family planning, yet little is known about the how these groups promote the diffusion of such behavior. Methods: Data on 2,217 women aged 15-49 and 2,152 men aged 15-54 from the 1994 Kenya Situation Survey are used to examine the role of communication within individuals' social networks in mediating the association between club membership and awareness, approval and use of family planning. Results: In analyses accounting for demographic factors, women club members were 2.3 times as likely as nonmembers to know about modern methods of family planning, and male club members were 1.5 times as likely as nonmembers to know about modern contraceptives and 1.7 times as likely as nonmembers to approve of family planning. Club membership was not directly associated with increased use of contraceptives, but among both men and women, participation in a club was associated with significantly greater odds of having family planning discussions with members of both core and extended social networks. Women who had discussed family planning with both core and extended network members were 8.3 times as likely to be currently using modern contraceptives, and men who had done so were 3.2 times as likely as were those who had limited such discussions to their core network only: Conclusions: By promoting informal discussions about family planning within a group with a diverse membership, social clubs play a mediating role in the diffusion of new information and innovative behaviors.</t>
  </si>
  <si>
    <t>Johns Hopkins Univ, Sch Publ Hlth, Baltimore, MD 21218 USA; Johns Hopkins Univ, Ctr Commun Programs, Baltimore, MD 21218 USA; Johns Hopkins Univ, Dept Populat &amp; Family Hlth Sci, Baltimore, MD 21218 USA</t>
  </si>
  <si>
    <t>Johns Hopkins University; Johns Hopkins University; Johns Hopkins University</t>
  </si>
  <si>
    <t>Boulay, M (corresponding author), Johns Hopkins Univ, Sch Publ Hlth, Baltimore, MD 21218 USA.</t>
  </si>
  <si>
    <t>ALAN GUTTMACHER INST</t>
  </si>
  <si>
    <t>120 WALL STREET, NEW YORK, NY 10005 USA</t>
  </si>
  <si>
    <t>0162-2749</t>
  </si>
  <si>
    <t>INT FAM PLAN PERSPEC</t>
  </si>
  <si>
    <t>Int. Fam. Plan. Perspect.</t>
  </si>
  <si>
    <t>10.2307/2991959</t>
  </si>
  <si>
    <t>Demography; Family Studies; Social Sciences, Biomedical</t>
  </si>
  <si>
    <t>Demography; Family Studies; Biomedical Social Sciences</t>
  </si>
  <si>
    <t>233NE</t>
  </si>
  <si>
    <t>WOS:000082432300001</t>
  </si>
  <si>
    <t>Elidemir, SN; Ozturen, A; Bayighomog, SW</t>
  </si>
  <si>
    <t>Elidemir, Servet Nasifoglu; Ozturen, Ali; Bayighomog, Steven W.</t>
  </si>
  <si>
    <t>Innovative Behaviors, Employee Creativity, and Sustainable Competitive Advantage: A Moderated Mediation</t>
  </si>
  <si>
    <t>innovative behaviors; creativity; high-performance work practices; competitive advantage; 4-and 5-star hotels</t>
  </si>
  <si>
    <t>PERFORMANCE WORK PRACTICES; HUMAN-RESOURCE PRACTICES; SERVICE INNOVATION; FIRM PERFORMANCE; JOB-PERFORMANCE; FUTURE-RESEARCH; HRM PRACTICES; ORGANIZATIONS; CITIZENSHIP; LEADERSHIP</t>
  </si>
  <si>
    <t>It is challenging for enterprises that lack innovation and creativity to survive successfully in the market. Employee top role performance is not always sufficient to gain a competitive advantage, in which innovative behaviors and creativity can be counted as necessary ingredients to build. This study proposed and tested employee innovative behaviors (IB) and creativity as mediator and moderator, respectively, of the impact of high-performance work practices (HPWPs) on sustainable competitive advantage (CA). The resource-based view and job demands resources model provided the theoretical underpinnings for the developed hypotheses that were tested using a sample of 323 customer-contact employees of 4- and 5-star hotels. The results indicated that HPWP indirectly predicted CA via IB. Also, creativity moderated the impact of HPWPs on innovative behaviors positively and on competitive advantage negatively. Employee innovative behaviors can generate substantial returns to service organizations competing with quasi-homogeneous end-products. The relevant theoretical and practical implications are further discussed. The scope of the study calls for caution in the generalizability of the overall findings. The research acknowledges the need to extend the findings by explicitly accounting for national cultural profiles. This study fills the dearth of research in service innovation in the hotel industry by testing the mediating effect of IB on the HPWPs CA nexus and reveals the moderating role that employee creative traits have in these relationships.</t>
  </si>
  <si>
    <t>[Elidemir, Servet Nasifoglu; Ozturen, Ali] Eastern Mediterranean Univ, Fac Tourism, TR-99628 Gazimagusa, North Cyprus, Turkey; [Bayighomog, Steven W.] Eastern Mediterranean Univ, Fac Business &amp; Econ, TR-99628 Gazimagusa, North Cyprus, Turkey</t>
  </si>
  <si>
    <t>Eastern Mediterranean University; Eastern Mediterranean University</t>
  </si>
  <si>
    <t>Elidemir, SN (corresponding author), Eastern Mediterranean Univ, Fac Tourism, TR-99628 Gazimagusa, North Cyprus, Turkey.</t>
  </si>
  <si>
    <t>servet.elidemir@emu.edu.tr; ali.ozturen@emu.edu.tr; steven.bayig@emu.edu.tr</t>
  </si>
  <si>
    <t>Öztüren, Ali/AAG-4907-2021; Bayighomog, Steven W./AAG-6790-2019</t>
  </si>
  <si>
    <t>Öztüren, Ali/0000-0001-8879-1916; Bayighomog, Steven W./0000-0001-5465-7962</t>
  </si>
  <si>
    <t>10.3390/su12083295</t>
  </si>
  <si>
    <t>LR3MY</t>
  </si>
  <si>
    <t>WOS:000535598700228</t>
  </si>
  <si>
    <t>Li, GP; Wang, XY; Wu, JH</t>
  </si>
  <si>
    <t>Li, Guangpei; Wang, Xiaoyu; Wu, Jinhua</t>
  </si>
  <si>
    <t>How scientific researchers form green innovation behavior: An empirical analysis of China's enterprises</t>
  </si>
  <si>
    <t>TECHNOLOGY IN SOCIETY</t>
  </si>
  <si>
    <t>Scientific researchers; Theory of planned behavior; Green innovative intention; Green innovative behavior</t>
  </si>
  <si>
    <t>ECO-INNOVATION; PLANNED BEHAVIOR; ENVIRONMENTAL INNOVATION; REASONED ACTION; SUPPLY CHAIN; IMPACT; DETERMINANTS; PERFORMANCE; MANAGEMENT; CREATIVITY</t>
  </si>
  <si>
    <t>The green innovation behavior of scientific researchers is the premise of green development, but research on the mechanism of green innovation behavior of scientific researchers has been neglected. This study aims to analyze the main internal and external factors that influence the green innovation behavior of researchers and reveal the interaction between them. To this end, based on behavioral and innovation theories, a theoretical model for the formation of green innovation behavior among scientific researchers was established. A large number of data were obtained from multiple industrial cities and different industries in China. The model was tested using hierarchical regression analysis methods. This study, therefore, provides evidence on the mechanism of how both internal and external drivers drive researchers to form the green innovation behavior. The results delicate that endogenous attitude, exogenous attitude, the injunctive norm of green innovative behavior, and the control ability of green innovation have a remarkably positive impact on green innovative intention, while descriptive norm and self-efficacy have no significant impact on green innovative intention. On the contrary, in the transition from green innovative intention to behavior, tacit knowledge commons plays the main moderating role. When the level of knowledge commons is high, it has a strong positive influence on the transition of researchers' green innovative intention to behavior. Different from the qualitative and isolated tendencies in previous research, this study sheds systematic light on the formation mechanism of green innovation behaviors of researchers from the perspective of behavioral science, and also helps to make constructive suggestions on promoting the green innovation behaviors of scientific researchers for enterprises and government.</t>
  </si>
  <si>
    <t>[Li, Guangpei; Wang, Xiaoyu; Wu, Jinhua] Fuzhou Univ, Sch Econ &amp; Management, 2 Xueyuan Rd, Fuzhou 350116, Fujian, Peoples R China</t>
  </si>
  <si>
    <t>Fuzhou University</t>
  </si>
  <si>
    <t>Li, GP (corresponding author), Fuzhou Univ, Sch Econ &amp; Management, 2 Xueyuan Rd, Fuzhou 350116, Fujian, Peoples R China.</t>
  </si>
  <si>
    <t>lgp68@163.com</t>
  </si>
  <si>
    <t>jam, amir/O-6460-2019</t>
  </si>
  <si>
    <t>Fujian Provincial Soft Science research project of China [2018R0056]</t>
  </si>
  <si>
    <t>Fujian Provincial Soft Science research project of China</t>
  </si>
  <si>
    <t>This work was supported by Fujian Provincial Soft Science research project of China (2018R0056).</t>
  </si>
  <si>
    <t>0160-791X</t>
  </si>
  <si>
    <t>1879-3274</t>
  </si>
  <si>
    <t>TECHNOL SOC</t>
  </si>
  <si>
    <t>Technol. Soc.</t>
  </si>
  <si>
    <t>10.1016/j.techsoc.2018.09.012</t>
  </si>
  <si>
    <t>Social Issues; Social Sciences, Interdisciplinary</t>
  </si>
  <si>
    <t>Social Issues; Social Sciences - Other Topics</t>
  </si>
  <si>
    <t>HL3NE</t>
  </si>
  <si>
    <t>WOS:000458621800013</t>
  </si>
  <si>
    <t>Hyland, JJ; Heanue, K; McKillop, J; Micha, E</t>
  </si>
  <si>
    <t>Hyland, John J.; Heanue, Kevin; McKillop, Jessica; Micha, Evgenia</t>
  </si>
  <si>
    <t>Factors underlying farmers' intentions to adopt best practices: The case of paddock based grazing systems</t>
  </si>
  <si>
    <t>AGRICULTURAL SYSTEMS</t>
  </si>
  <si>
    <t>Beef farmers; Rotational grazing; Innovation; Theory of planned behaviour; Resources</t>
  </si>
  <si>
    <t>TECHNOLOGY ADOPTION; PLANNED BEHAVIOR; GRASSLAND MANAGEMENT; CLIMATE-CHANGE; FOOD SECURITY; DAIRY FARMERS; IRELAND; PERFORMANCE; POLICY; CATTLE</t>
  </si>
  <si>
    <t>The Irish beef sector is expected to increase output as part of the most recent national agriculture strategy. General improvements in pasture production efficiency can be achieved by increasing grass utilisation. However, Irish beef production is primarily based on extensive pastoral grazing with low uptake of best management practices among farmers. An important step in facilitating innovation in the sector is to gain improved understanding of the innovative behaviour of farmers. Hence, this study uses psychological constructs to analyse factors that affect the adoption of paddock based grazing systems by Irish beef farmers (n = 382). Farmers were surveyed from different regions within Ireland and Principal Component Analysis used to empirically confirm the hypothesised Theory of Planned Behaviour (TPB) constructs. Cluster analysis was thereafter employed as classification criteria to cluster respondents into types. The TPB was subsequently applied to explain intention to implement the grazing practice. Three clusters of farmers were elicited based on their beliefs of paddock based grazing systems and labelled The Engaged, The Restricted, and The Partially Engaged. The Restricted cluster was particularly unlikely to uptake the grazing practice as they perceived they lacked the required resources to implement the innovation. This was of particular relevance as the practice can be implemented with relatively few resources and therefore signals a knowledge gap. The findings are relevant to policy as they provide insights on the factors influencing the process of targeting knowledge transfer through appropriate channels which can help build potential drivers for behavioural change.</t>
  </si>
  <si>
    <t>[Hyland, John J.; McKillop, Jessica] TEAGASC, Rural Econ &amp; Dev Programme, Athenry, Ireland; [Heanue, Kevin] TEAGASC, Evaluat Unit, Athenry, Ireland; [Micha, Evgenia] TEAGASC, Agr Catchments Programme, Wexford, Ireland</t>
  </si>
  <si>
    <t>Teagasc; Teagasc; Teagasc</t>
  </si>
  <si>
    <t>Hyland, JJ (corresponding author), TEAGASC, Rural Econ &amp; Dev Programme, Athenry, Ireland.</t>
  </si>
  <si>
    <t>John.Hyland@teagasc.ie</t>
  </si>
  <si>
    <t>Hyland, John/0000-0003-0140-2522; Micha, Evgenia/0000-0002-5697-3317</t>
  </si>
  <si>
    <t>Department of Agriculture Food and the Marine through the Food Institutional Research Measure (FIRM) [11/S/148]</t>
  </si>
  <si>
    <t>Department of Agriculture Food and the Marine through the Food Institutional Research Measure (FIRM)</t>
  </si>
  <si>
    <t>This study was funded by the Department of Agriculture Food and the Marine through the Food Institutional Research Measure (FIRM) (11/S/148) funding instrument.</t>
  </si>
  <si>
    <t>0308-521X</t>
  </si>
  <si>
    <t>1873-2267</t>
  </si>
  <si>
    <t>AGR SYST</t>
  </si>
  <si>
    <t>Agric. Syst.</t>
  </si>
  <si>
    <t>10.1016/j.agsy.2018.01.023</t>
  </si>
  <si>
    <t>Agriculture, Multidisciplinary</t>
  </si>
  <si>
    <t>Agriculture</t>
  </si>
  <si>
    <t>GB1PK</t>
  </si>
  <si>
    <t>WOS:000428822500011</t>
  </si>
  <si>
    <t>Mokhber, M; Khairuzzaman, W; Vakilbashi, A</t>
  </si>
  <si>
    <t>Mokhber, Mozhdeh; Khairuzzaman, Wan; Vakilbashi, Amin</t>
  </si>
  <si>
    <t>Leadership and innovation: The moderator role of organization support for innovative behaviors</t>
  </si>
  <si>
    <t>JOURNAL OF MANAGEMENT &amp; ORGANIZATION</t>
  </si>
  <si>
    <t>transformational leadership; organizational innovation; support for innovative behaviors; partial least squares (PLS) analysis</t>
  </si>
  <si>
    <t>TRANSFORMATIONAL LEADERSHIP; TRANSACTIONAL LEADERSHIP; PERFORMANCE; MODEL; VARIABLES; STYLE</t>
  </si>
  <si>
    <t>This study aims to advance the understanding of direct and moderated effect of transformational leadership on organizational innovation. A new framework is proposed in this research to identify the moderating effect of organization support for idea generating, risk taking and decision-making on the relationship between transformational leadership and organizational innovation. A sample of 63 companies from top 100 Iranian companies participated in this research. The results of this study supported the expected positive relationship between transformational leadership and organizational innovation. Besides, two of the predicted moderating effects were supported in this research. The results suggest that transformational leaders might not only promote innovative activity within the organization but also ensure the market success of the innovations.</t>
  </si>
  <si>
    <t>[Mokhber, Mozhdeh; Khairuzzaman, Wan; Vakilbashi, Amin] Univ Teknol Malaysia, Int Business Sch, Kuala Lumpur, Malaysia</t>
  </si>
  <si>
    <t>Universiti Teknologi Malaysia</t>
  </si>
  <si>
    <t>Mokhber, M (corresponding author), Univ Teknol Malaysia, Int Business Sch, Kuala Lumpur, Malaysia.</t>
  </si>
  <si>
    <t>mozhdeh@ibs.utm.my</t>
  </si>
  <si>
    <t>Ismail, Wan Khairuzzaman Wan/AAR-5668-2021</t>
  </si>
  <si>
    <t>Wan Ismail, Wan Khairuzzaman/0000-0002-3492-7483</t>
  </si>
  <si>
    <t>CAMBRIDGE UNIV PRESS</t>
  </si>
  <si>
    <t>CAMBRIDGE</t>
  </si>
  <si>
    <t>EDINBURGH BLDG, SHAFTESBURY RD, CB2 8RU CAMBRIDGE, ENGLAND</t>
  </si>
  <si>
    <t>1833-3672</t>
  </si>
  <si>
    <t>1839-3527</t>
  </si>
  <si>
    <t>J MANAGE ORGAN</t>
  </si>
  <si>
    <t>J. Manag. Organ.</t>
  </si>
  <si>
    <t>10.1017/jmo.2017.26</t>
  </si>
  <si>
    <t>GB0TE</t>
  </si>
  <si>
    <t>WOS:000428759400007</t>
  </si>
  <si>
    <t>Penasco, C; del Rio, P; Romero-Jordan, D</t>
  </si>
  <si>
    <t>Penasco, Cristina; del Rio, Pablo; Romero-Jordan, Desiderio</t>
  </si>
  <si>
    <t>Analysing the Role of International Drivers for Eco-innovators</t>
  </si>
  <si>
    <t>JOURNAL OF INTERNATIONAL MANAGEMENT</t>
  </si>
  <si>
    <t>Eco-innovators; Probit model; International drivers</t>
  </si>
  <si>
    <t>ENVIRONMENTAL-MANAGEMENT SYSTEMS; RESEARCH-AND-DEVELOPMENT; TECHNOLOGY PUSH; PANEL-DATA; FIRMS; DETERMINANTS; PERFORMANCE; GENERATION; CAPABILITIES; IMPROVE</t>
  </si>
  <si>
    <t>The aim of this paper is to analyse the impact of several international drivers on firms developing or adopting eco-innovation (i.e., eco-innovators), with the help of a bivariate probit model with sample selection and using a database of Spanish innovators. We test how the eco-innovative behaviour of innovative firms is affected by international sources of funding, one international regulation (the European Union Emissions Trading Scheme, EU ETS), customers, in foreign markets, cooperation with international institutions and the presence of foreign equity in firms. Our results show that the influence of international factors on the eco-innovativeness of firms is modest. Public subsidies from international sources do not increase the likelihood of being an eco-innovator, although national sources of funding do. The EU ETS and cooperation with international actors positively and significantly affect ecoinnovators. Firms with foreign equity are not more likely to eco-innovate and selling abroad does not increase the likelihood of being an eco-innovator. (C) 2016 Elsevier Inc. All rights reserved.</t>
  </si>
  <si>
    <t>[Penasco, Cristina; del Rio, Pablo] Inst Publ Policies &amp; Goods IPP, CSIC, C Albasanz 26-28, Madrid 28037, Spain; [Romero-Jordan, Desiderio] Univ Rey Juan Carlos, Paseo Ios Artilleros S N, Madrid 28032, Spain</t>
  </si>
  <si>
    <t>Consejo Superior de Investigaciones Cientificas (CSIC); CSIC - Instituto de Politicas y Bienes Publicos (IPP); Universidad Rey Juan Carlos</t>
  </si>
  <si>
    <t>del Rio, P (corresponding author), Inst Publ Policies &amp; Goods IPP, CSIC, C Albasanz 26-28, Madrid 28037, Spain.</t>
  </si>
  <si>
    <t>pablo.delrio@csic.es</t>
  </si>
  <si>
    <t>romero-jordán, desiderio/L-4219-2014; romero-jordán, desiderio/AAZ-2424-2020</t>
  </si>
  <si>
    <t>romero-jordán, desiderio/0000-0002-5699-5364; romero-jordán, desiderio/0000-0002-5699-5364</t>
  </si>
  <si>
    <t>Spanish Ministerio de Economia y Competitividad (Convocatotia del Plan Nacional de Investigacion de Espana para Proyectos de Investigacion Fundamental no Orientada) [CSO2012-32844]</t>
  </si>
  <si>
    <t>Spanish Ministerio de Economia y Competitividad (Convocatotia del Plan Nacional de Investigacion de Espana para Proyectos de Investigacion Fundamental no Orientada)</t>
  </si>
  <si>
    <t>Cristina Penasco and Pablo del Rio acknowledge support from the Spanish Ministerio de Economia y Competitividad (Convocatotia 2012 del Plan Nacional de Investigacion de Espana para Proyectos de Investigacion Fundamental no Orientada, reference CSO2012-32844).</t>
  </si>
  <si>
    <t>1075-4253</t>
  </si>
  <si>
    <t>1873-0620</t>
  </si>
  <si>
    <t>J INT MANAG</t>
  </si>
  <si>
    <t>J. Int. Manag.</t>
  </si>
  <si>
    <t>10.1016/j.intman.2016.09.001</t>
  </si>
  <si>
    <t>EO8XN</t>
  </si>
  <si>
    <t>WOS:000396973900005</t>
  </si>
  <si>
    <t>Carmeli, A; Jones, CD; Binyamin, G</t>
  </si>
  <si>
    <t>Carmeli, Abraham; Jones, Carla D.; Binyamin, Galy</t>
  </si>
  <si>
    <t>The power of caring and generativity in building strategic adaptability</t>
  </si>
  <si>
    <t>caring; generativity; strategic adaptability; micro-foundations; top management teams</t>
  </si>
  <si>
    <t>TOP MANAGEMENT TEAM; FIRM PERFORMANCE; UPPER ECHELONS; BEHAVIORAL INTEGRATION; POSITIVE RELATIONSHIPS; INNOVATIVE BEHAVIORS; MARKET ORIENTATION; DECISION QUALITY; CARE; COMPASSION</t>
  </si>
  <si>
    <t>In this study, we integrate relational theory and the upper echelon perspective to explore how and why caring and generative relationships in top management teams (TMTs) can be a source for building strategic adaptability. We argue that when TMT members care for each other's inner needs, a generative psychological space (which allows members to experience positivity and produce enduring transformative outcomes) is nurtured. This generative psychological space, in turn, helps to build a capacity to respond proactively to the external environment and adapt well to environmental jolts. The results lend support to our hypothesized model in which caring among TMT members nurtures generativity, which in turn enhances strategic adaptability. In so doing, we aim to further cultivate discussion on the micro-foundations of strategic management in general and increase interest in the micro-relational foundations of strategic capabilities in particular.</t>
  </si>
  <si>
    <t>[Carmeli, Abraham] Tel Aviv Univ, IL-69978 Tel Aviv, Israel; [Jones, Carla D.] Sam Houston State Univ, Huntsville, TX 77340 USA; [Binyamin, Galy] Ariel Univ, Ariel, Israel</t>
  </si>
  <si>
    <t>Tel Aviv University; Texas State University System; Sam Houston State University; Ariel University</t>
  </si>
  <si>
    <t>Carmeli, Abraham/B-5351-2013</t>
  </si>
  <si>
    <t>Henry Crown Institute of Business Research in Israel; Eli Hurvitz Institute of Strategic Management at Tel Aviv University</t>
  </si>
  <si>
    <t>We would like to thank the Editor and our anonymous reviewers for their very helpful comments on previous drafts of this paper. We are thankful to Dr. Andrew Farrell for his help with this analysis the AVE estimates and Amit Gal for his help with calculating the diversity indices. We acknowledge the financial support of The Henry Crown Institute of Business Research in Israel and the Eli Hurvitz Institute of Strategic Management at Tel Aviv University. We also thank Esther Singer for her editorial comments. The paper was presented at the 2014 AOM meeting in Philadelphia, and a shorter version was published in 2014 Best Papers Proceedings of the Academy of Management. The first author acknowledges that part of this work was done during his affiliation with King's College, London.</t>
  </si>
  <si>
    <t>10.1111/joop.12106</t>
  </si>
  <si>
    <t>DD7WR</t>
  </si>
  <si>
    <t>WOS:000370136100003</t>
  </si>
  <si>
    <t>Zenko, Z; Mulej, M</t>
  </si>
  <si>
    <t>Zenko, Zdenka; Mulej, Matjaz</t>
  </si>
  <si>
    <t>Diffusion of innovative behaviour with social responsibility</t>
  </si>
  <si>
    <t>Cybernetics; Innovative management; Diffusion of innovations; Dialectical systems theory; Social responsibility</t>
  </si>
  <si>
    <t>SYSTEMS-THEORY; BUSINESS CYBERNETICS; REQUISITE HOLISM; THINKING; MANAGEMENT; ETHICS</t>
  </si>
  <si>
    <t>Purpose - Development or existence of human society depends on innovations and the end of one-sidedness of behavior. The complexity of innovative processes has been widely studied, yet the success rate is still low. The purpose of this paper is to identify by the dialectical systems approach how some concepts, important for development of inventions into innovations can better support requisitely holistic innovative behavior. Design/methodology/approach - System theory, theory of innovations and social responsibility are used to understand diffusion of innovations as part of the innovative processes. Findings - Many established theories, methods, procedures and standards support innovation management, but its economic success remains poor. Invention-innovation-diffusion processes (IMP) remain poorly managed, especially the non-technological. The usual approach is too one-sided. Invention and innovation phases received more attention than the requisitely holistic consideration of the diffusion phase. Social responsibility can help. Research limitations/implications - The paper adds to requisite holism of IIDP management. It focuses on diffusion and its link with social responsibility. Practical implications - The new approach to IIDP is widely applicable for requisitely holistic rather than one-sided political or strategic decisions and actions. ISO 26000 can increase success of IMP. Originality/value - The concepts presented here are not detected in literature and offer great value for further research and understanding, designing and managing of IIDP. The selected dialectical system of viewpoints is original.</t>
  </si>
  <si>
    <t>[Zenko, Zdenka; Mulej, Matjaz] Univ Maribor, Fac Econ &amp; Business, SLO-2000 Maribor, Slovenia</t>
  </si>
  <si>
    <t>Zenko, Z (corresponding author), Univ Maribor, Fac Econ &amp; Business, SLO-2000 Maribor, Slovenia.</t>
  </si>
  <si>
    <t>zdenka.zenko@uni-mb.si</t>
  </si>
  <si>
    <t>9-10</t>
  </si>
  <si>
    <t>10.1108/03684921111169378</t>
  </si>
  <si>
    <t>862XP</t>
  </si>
  <si>
    <t>WOS:000298127700004</t>
  </si>
  <si>
    <t>Anell, A</t>
  </si>
  <si>
    <t>The monopolistic integrated model and health care reform: The Swedish experience</t>
  </si>
  <si>
    <t>health reforms; Sweden; monopolistic integrated model; incentives; internal market</t>
  </si>
  <si>
    <t>This article reviews recent reforms geared to creating internal markets in the Swedish health-care sector. The main purpose is to describe driving forces behind reforms, and to analyse the limitations of reforms oriented towards internal markets within a monopolistic integrated health-care model. The principal part of the article is devoted to a discussion of incentives within Swedish county councils, and of how these incentives have influenced reforms in the direction of more choices for consumers and a separation between purchasers and providers. It is argued that the current incentives, in combination with criticism against county council activities in the early 1990s, account for the present inconsistencies as regards reforms. Furthermore, the article maintains that a weak form of separation between purchasers and providers will lead to,distorted incentives, restricting innovative behaviour and structural change. In conclusion, the process of reforming the Swedish monopolistic integrated health-care model in the direction of some form of internal market is said to rest on shaky ground.</t>
  </si>
  <si>
    <t>Anell, A (corresponding author), SWEDISH INST HLTH ECON,IHE,RABYGATAN 2,BOX 2127,S-22002 LUND,SWEDEN.</t>
  </si>
  <si>
    <t>ELSEVIER SCI IRELAND LTD</t>
  </si>
  <si>
    <t>CUSTOMER RELATIONS MANAGER, BAY 15, SHANNON INDUSTRIAL ESTATE CO, CLARE, IRELAND</t>
  </si>
  <si>
    <t>10.1016/0168-8510(96)00821-4</t>
  </si>
  <si>
    <t>UU416</t>
  </si>
  <si>
    <t>WOS:A1996UU41600002</t>
  </si>
  <si>
    <t>FOXALL, GR; BHATE, S</t>
  </si>
  <si>
    <t>COGNITIVE-STYLE, PERSONAL INVOLVEMENT AND SITUATION AS DETERMINANTS OF COMPUTER USE</t>
  </si>
  <si>
    <t>The paper describes the application of a style/involvement model (SIM) in the explanation of computer use. The SIM's independent variables are cognitive style, measured by the Kirton adaption-innovation inventory (KAI), and personal involvement, measured by Zaichkowsky's personal involvement inventory (PII). These variables were expected, on the basis of prior research, to explain such aspects of usage as number of packages employed and frequency. They were also proposed as operational measures for the constructs 'innate innovativeness' and 'product category interest' in Midgley and Dowling's theory of consumer innovativeness. The theory's emphasis on the situational facilitation of innovative behaviour is additionally represented in a style/involvement/situation model (SISM) by variables relating to respondents' task orientations with respect to computing. Both models were tested for 107 current computer users, graduate students on three one-year business administration programmes each of which made different demands vis-a-vis computer use. Dependent variables were elements of computer usage measured by multiple-act criteria and a standardized index of overall computer use derived from these. In the test of the SIM, both KAI and PII had significant effects on overall computer use. KAI was related significantly to the extent of package usage, PII to frequency of use. Similar results were obtained for the SISM, although, as expected, situational influence exerted a strong effect on overall use and its elements.</t>
  </si>
  <si>
    <t>FOXALL, GR (corresponding author), UNIV BIRMINGHAM,BIRMINGHAM BUSINESS SCH,DEPT COMMERCE,CONSUMER RES UNIT,BIRMINGHAM B15 2TT,W MIDLANDS,ENGLAND.</t>
  </si>
  <si>
    <t>10.1016/0166-4972(91)90033-Z</t>
  </si>
  <si>
    <t>FR734</t>
  </si>
  <si>
    <t>WOS:A1991FR73400004</t>
  </si>
  <si>
    <t>Soluk, J; Kammerlander, N; De Massis, A</t>
  </si>
  <si>
    <t>Soluk, Jonas; Kammerlander, Nadine; De Massis, Alfredo</t>
  </si>
  <si>
    <t>Exogenous shocks and the adaptive capacity of family firms: exploring behavioral changes and digital technologies in the COVID-19 pandemic</t>
  </si>
  <si>
    <t>R &amp; D MANAGEMENT</t>
  </si>
  <si>
    <t>SOCIOEMOTIONAL WEALTH; ORGANIZATIONAL RESILIENCE; ECONOMIC-CRISIS; INNOVATION; GOVERNANCE; HETEROGENEITY; CAPABILITIES; OWNERSHIP; RESPONSES; SURVIVAL</t>
  </si>
  <si>
    <t>The COVID-19 pandemic has been and is currently still affecting organizations of all sizes and in many industries, and research still lacks profound insights into the managerial implications of this phenomenon. In particular, it is unclear how family firms, which are the economic backbone of most of the countries affected by the pandemic, have adapted to COVID-19. This paper addresses this gap by drawing on a rich body of evidence collected from 90 interviews and secondary data in a longitudinal case study of four German family firms. We develop a framework for understanding how family firms adapt to exogenous shocks such as the COVID-19 pandemic and find that the exogenous shock further reinforces the family firm's resource constraints and the family's fear of losing their socioemotional wealth. These motivational sources, in turn, trigger behavioral changes in both the firm and the family. In addition to a temporarily induced short-term orientation, these changes manifest in (pseudo)family cohesion, less rigid mental models, and the utilization of digital technologies. Organizational outcomes such as new alliances, digital platforms, and the adaptive capacity of family firms are the result of these behavioral changes. By providing a comprehensive understanding of how COVID-19 affects family firms, the insights from our study contribute to innovation research, business practice, and policymaking alike. More broadly, we provide innovation scholars with a theoretical comprehension of how exogenous shocks can challenge our canonical understanding of organizations' (innovative) behavior.</t>
  </si>
  <si>
    <t>[Soluk, Jonas; Kammerlander, Nadine] WHU Otto Beisheim Sch Management, Inst Family Business, D-56179 Vallendar, Germany; [Soluk, Jonas; Kammerlander, Nadine] WHU Otto Beisheim Sch Management, Mittelstand Entrepreneurship &amp; Innovat Grp, D-56179 Vallendar, Germany; [Soluk, Jonas] Univ Bern, Fac Econ &amp; Social Sci, CH-3012 Bern, Switzerland; [De Massis, Alfredo] Free Univ Bozen Bolzano, Fac Econ &amp; Management, Ctr Family Business Management, I-39100 Bozen Bolzano, Italy; [De Massis, Alfredo] Univ Lancaster, Management Sch, Lancaster, England; [De Massis, Alfredo] Int Inst Management Dev, Lausanne, Switzerland; [De Massis, Alfredo] Zhejiang Univ, Inst Entrepreneurs, Hangzhou, Peoples R China; [De Massis, Alfredo] Zhejiang Univ, Inst Family Business, Hangzhou, Peoples R China</t>
  </si>
  <si>
    <t>WHU - Otto Beisheim School of Management; WHU - Otto Beisheim School of Management; University of Bern; Free University of Bozen-Bolzano; N8 Research Partnership; RLUK- Research Libraries UK; Lancaster University; International Institute for Management Development (IMD); Zhejiang University; Zhejiang University</t>
  </si>
  <si>
    <t>Soluk, J (corresponding author), WHU Otto Beisheim Sch Management, Inst Family Business, D-56179 Vallendar, Germany.;Soluk, J (corresponding author), WHU Otto Beisheim Sch Management, Mittelstand Entrepreneurship &amp; Innovat Grp, D-56179 Vallendar, Germany.;Soluk, J (corresponding author), Univ Bern, Fac Econ &amp; Social Sci, CH-3012 Bern, Switzerland.</t>
  </si>
  <si>
    <t>jonas.soluk@whu.edu; nadine.kammerlander@whu.edu; alfredo.demassis@unibz.it</t>
  </si>
  <si>
    <t>0033-6807</t>
  </si>
  <si>
    <t>1467-9310</t>
  </si>
  <si>
    <t>R&amp;D MANAGE</t>
  </si>
  <si>
    <t>R D Manage.</t>
  </si>
  <si>
    <t>10.1111/radm.12471</t>
  </si>
  <si>
    <t>MAR 2021</t>
  </si>
  <si>
    <t>TZ9NU</t>
  </si>
  <si>
    <t>WOS:000634656300001</t>
  </si>
  <si>
    <t>Nazir, S; Shafi, A; Asadullah, MA; Qun, W; Khadim, S</t>
  </si>
  <si>
    <t>Nazir, Sajjad; Shafi, Amina; Asadullah, Muhammad Ali; Qun, Wang; Khadim, Sahar</t>
  </si>
  <si>
    <t>Linking paternalistic leadership to follower's innovative work behavior: the influence of leader-member exchange and employee voice</t>
  </si>
  <si>
    <t>Paternalistic leadership; Authoritarian leadership; Moral leadership; Benevolent leadership; LMX; Employee voice; Innovative work behavior</t>
  </si>
  <si>
    <t>RESOURCE MANAGEMENT-PRACTICES; TRANSFORMATIONAL LEADERSHIP; ETHICAL LEADERSHIP; MEDIATING ROLE; PSYCHOLOGICAL EMPOWERMENT; AUTHORITARIAN LEADERSHIP; SOCIAL IDENTITY; MODERATING ROLE; CREATIVITY; LMX</t>
  </si>
  <si>
    <t>Purpose This study examines the serial mediation mechanism between paternalistic leadership and innovative work behavior through the leader-member exchange (LMX) and employee voice behavior. Particularly, this study utilized the social exchange theory to investigate the indirect effect of three distinct dimensions of paternalistic leadership style on innovative work behavior through LMX and employee voice behavior. Design/methodology/approach Self-reported questionnaires were used to collect data from 397 employees in Pakistan. Hypotheses were tested using structural equation modeling (SEM). Findings The two dimensions of paternalistic leadership were significantly related to LMX. LMX had a significant effect on employee voice behavior that was further related to innovative work behavior. The findings also support the mediating role of LMX between authoritarian and moral leadership and employee voice. Further, LMX and employee voice boosted the indirect relationship between moral leadership and innovative behavior. However, authoritarian leadership demonstrated a significant but negative indirect effect on innovative behavior through LMX and employee voice. Practical implications The organizational members need to encourage a high LMX and voice behavior to enhance the positive effects of benevolent and moral leadership styles on innovative employee behaviors. Contrarily, they need to discourage authoritarian leadership if they want to enhance innovative work behavior through LMX and employee voice. Furthermore, when leaders provide a safe environment to employees at the workplace, then they may feel secure to take risks and exhibit innovative work behavior, which ultimately contributes to increasing employee and organizational performance. Originality/value This study extended the existing literature on paternalistic leadership in two important ways. First, this study examined a serial mediation mechanism to test the effect of paternalistic leadership on innovative work behavior through LMX and voice behavior. Second, this is a key study to investigate which dimension of paternalistic leadership is effective to boost employees' innovative work behavior at the individual level in the Pakistani organizational context.</t>
  </si>
  <si>
    <t>[Nazir, Sajjad; Shafi, Amina] Hohai Univ, Dept Management &amp; HR, Sch Business, Nanjing, Peoples R China; [Asadullah, Muhammad Ali] Air Univ, Dept Business Adm, Multan, Pakistan; [Qun, Wang] Changzhou Inst Technol, Dept Human Resource Management, Changzhou, Jiangsu, Peoples R China; [Khadim, Sahar] Univ Engn &amp; Technol UET Lahore Pakistan, Inst Business &amp; Management, Lahore, Pakistan</t>
  </si>
  <si>
    <t>Hohai University; Air University Islamabad; Changzhou Institute of Technology</t>
  </si>
  <si>
    <t>Nazir, S (corresponding author), Hohai Univ, Dept Management &amp; HR, Sch Business, Nanjing, Peoples R China.</t>
  </si>
  <si>
    <t>sajjadnazir@hotmail.com; aminasajjad@hotmail.co.uk; muhammad.asadullah@aumc.edu.pk; wqun@hhu.edu.cn; sahar.khadim@gmail.com</t>
  </si>
  <si>
    <t>Khadim, Sahar/HDL-7066-2022; ASADULLAH, Muhammad Ali/I-8007-2015</t>
  </si>
  <si>
    <t>Khadim, Sahar/0000-0002-1384-1250; ASADULLAH, Muhammad Ali/0000-0002-5977-1809; Nazir, Sajjad/0000-0002-6602-0886</t>
  </si>
  <si>
    <t>The authors are thankful to the editors and two anonymous reviewers for their constructive feedback and valuable suggestions.Funding: This research was funded by National Social Science Fund of China, grant number: No-18BGL129 and Scientific Research Fund for Universities by Chinese Ministry of Education, grant number: (2018B30214 &amp; 2018B47914)</t>
  </si>
  <si>
    <t>JUL 13</t>
  </si>
  <si>
    <t>10.1108/EJIM-01-2020-0005</t>
  </si>
  <si>
    <t>TI3CJ</t>
  </si>
  <si>
    <t>WOS:000552853500001</t>
  </si>
  <si>
    <t>Martinez-Roman, JA; Gamero, J; Delgado-Gonzalez, MD; Tamayo, JA</t>
  </si>
  <si>
    <t>Martinez-Roman, Juan A.; Gamero, Javier; de Loreto Delgado-Gonzalez, Maria; Tamayo, Juan A.</t>
  </si>
  <si>
    <t>Innovativeness and internationalization in SMEs: An empirical analysis in European countries</t>
  </si>
  <si>
    <t>Internationalization; Innovativeness; Performance; Risk; SMEs</t>
  </si>
  <si>
    <t>RESEARCH-AND-DEVELOPMENT; MARKET ORIENTATION; PRODUCT INNOVATION; EXPORT INTENSITY; RISK-MANAGEMENT; RESEARCH AGENDA; SOFTWARE FIRMS; KNOWLEDGE; PERFORMANCE; DETERMINANTS</t>
  </si>
  <si>
    <t>Innovation is essential to the knowledge economy and requires organizations to open to external markets. This paper delves into the influence of product innovation on internationalization in SMEs and elaborates an explanatory model of their innovative behavior. Analysis of the data of 123,395 surveys of firms in 13 European countries demonstrates that product innovation drives the firm's commercial expansion and favors its exportation activity, though with a non-linear relationship and decreasing performances as innovation level increases. It is also demonstrated that, in general terms, risk in geographic market extension does not vary in a relevant way when firms are more innovative. Significant differences were detected between countries in regard to the impact of innovation and its marginal utility, and in the evolution of risk in said market extension with increasing innovation. The comparative analysis reveals differences between more and less technological industries, and, on an aggregate level, between more developed economies in the Western and Eastern European transition economies, with less marked disparities from north to south. Analysis of the model reveals the prominence of internal variables in innovative behavior, as well as a certain disconnect between firms and the institutional context in the set of countries.</t>
  </si>
  <si>
    <t>[Martinez-Roman, Juan A.; Gamero, Javier; de Loreto Delgado-Gonzalez, Maria] Univ Seville, Fac Econ &amp; Business Sci, Dept Appl Econ 1, Ave Ramon y Cajal 1, E-41018 Seville, Spain; [Tamayo, Juan A.] Univ Seville, Fac Econ &amp; Business Sci, Dept Business Adm &amp; Mkt, Ave Ramon y Cajal 1, E-41018 Seville, Spain</t>
  </si>
  <si>
    <t>University of Sevilla; University of Sevilla</t>
  </si>
  <si>
    <t>Martinez-Roman, JA (corresponding author), Univ Seville, Fac Econ &amp; Business Sci, Dept Appl Econ 1, Ave Ramon y Cajal 1, E-41018 Seville, Spain.</t>
  </si>
  <si>
    <t>jamroman@us.es; jgam@us.es; ldelgado@us.es; jtamayo@us.es</t>
  </si>
  <si>
    <t>; Martinez-Roman, Juan A./N-6819-2013</t>
  </si>
  <si>
    <t>Delgado Gonzalez, Maria de Loreto/0000-0001-8072-5420; Tamayo, Juan A./0000-0002-7758-4281; Martinez-Roman, Juan A./0000-0001-5013-6748</t>
  </si>
  <si>
    <t>Eurostat (European Commission); University of Seville [RPP 79-2015-CIS]</t>
  </si>
  <si>
    <t>Eurostat (European Commission); University of Seville</t>
  </si>
  <si>
    <t>This paper has been elaborated from the project A micro-level analysis of knowledge transfer and innovation activities in European regions. A comparative study, conducted under the auspices of Eurostat (European Commission) and the University of Seville-ref. RPP 79-2015-CIS-University of Seville (ES).</t>
  </si>
  <si>
    <t>10.1016/j.techfore.2019.119716</t>
  </si>
  <si>
    <t>JW2JG</t>
  </si>
  <si>
    <t>WOS:000502883400005</t>
  </si>
  <si>
    <t>Yang, KJ; Zhou, LZ; Wang, Z; Lin, C; Luo, ZX</t>
  </si>
  <si>
    <t>Yang, Kejian; Zhou, Longzhi; Wang, Zhen; Lin, Chen; Luo, Zhengxue</t>
  </si>
  <si>
    <t>Humble leadership and innovative behaviour among Chinese nurses: The mediating role of work engagement</t>
  </si>
  <si>
    <t>humble leadership; innovative behaviour; nurses; work engagement</t>
  </si>
  <si>
    <t>PSYCHOLOGICAL SAFETY; JOB CHARACTERISTICS; SELF-EFFICACY; HUMILITY; FIT; QUESTIONNAIRE; EMPOWERMENT; CREATIVITY</t>
  </si>
  <si>
    <t>Aim This study aimed to investigate the effect of humble leadership on innovative behaviour among Chinese nurses and to examine the mediating role of work engagement in this relationship. Background Nurses' innovative behaviour and work engagement are critical to the quality of health care services. Although research has established that leadership is beneficial for individuals, teams and organisations, it's less clear whether humble leadership could promote innovative behaviour and work engagement among nurses. Methods The data were collected in China. A sample of 377 nurses completed measures of humble leadership, innovative behaviour and the Utrecht Work Engagement Scale. Structural equation model was adopted to verify the research hypotheses. Results Humble leadership was significantly and positively related to nurses' innovative behaviour and work engagement (p &lt; .01). And work engagement partially mediated the association between humble leadership and innovative behaviour. Conclusion Humble leaders are critical to enhancing nurses' innovative behaviour, and work engagement plays an intervening mechanism explaining how humble leaders promote innovative behaviour among nurses. Implications for nursing management Hospital managers should pay attention to improve head nurses' humble leadership, which could lead to a higher level of innovative behaviour and work engagement among nurse.</t>
  </si>
  <si>
    <t>[Yang, Kejian; Zhou, Longzhi] Fourth Mil Med Univ, Xian, Shaanxi, Peoples R China; [Wang, Zhen] Renmin Univ China, Sch Labor &amp; Human Resources, Beijing, Peoples R China; [Lin, Chen] Fourth Mil Med Univ, Xijing Hosp, Dept Cardiol, Xian, Shaanxi, Peoples R China; [Luo, Zhengxue] Fourth Mil Med Univ, Off Sci Res Management, Xian, Shaanxi, Peoples R China</t>
  </si>
  <si>
    <t>Air Force Military Medical University; Renmin University of China; Air Force Military Medical University; Air Force Military Medical University</t>
  </si>
  <si>
    <t>Luo, ZX (corresponding author), Fourth Mil Med Univ, Xian, Shaanxi, Peoples R China.</t>
  </si>
  <si>
    <t>luohan@fmmu.edu.cn</t>
  </si>
  <si>
    <t>National Natural Science Foundation of China [71272145, 71971211]; Humanity and Social Science Youth Foundation of Ministry of Education of China [18YJC630192]</t>
  </si>
  <si>
    <t>National Natural Science Foundation of China(National Natural Science Foundation of China (NSFC)); Humanity and Social Science Youth Foundation of Ministry of Education of China</t>
  </si>
  <si>
    <t>This study is funded by National Natural Science Foundation of China (71272145, 71971211) and The Humanity and Social Science Youth Foundation of Ministry of Education of China (18YJC630192).</t>
  </si>
  <si>
    <t>10.1111/jonm.12879</t>
  </si>
  <si>
    <t>JR6TF</t>
  </si>
  <si>
    <t>WOS:000490853200001</t>
  </si>
  <si>
    <t>Khaola, P; Coldwell, D</t>
  </si>
  <si>
    <t>Khaola, Peter; Coldwell, David</t>
  </si>
  <si>
    <t>Explaining how leadership and justice influence employee innovative behaviours</t>
  </si>
  <si>
    <t>Affective commitment; Innovative work behaviour; Justice; Leadership; OCB</t>
  </si>
  <si>
    <t>ORGANIZATIONAL CITIZENSHIP BEHAVIOR; CREATIVE SELF-EFFICACY; TRANSFORMATIONAL LEADERSHIP; TRANSACTIONAL LEADERSHIP; SOCIAL-EXCHANGE; PERFORMANCE; COMMITMENT; FAIRNESS; TASK; NEED</t>
  </si>
  <si>
    <t>Purpose The mechanisms through which leaders influence innovative work behaviours (IWB) are important in innovation management. The purpose of this paper is to explain how leadership and justice relate to IWB through the successive mediating roles of affective commitment and organisational citizenship behaviour (OCB). Design/methodology/approach The study is based on survey of a random sample of 300 employees selected from 652 employees from a public university, and a convenience sample of 159 employees from predominantly service-based enterprises in Lesotho (n=263). The Statistical Package for Social Sciences and the analysis of moment structures version 24 are used to analyse data. Specifically, the study uses factor analysis; correlation; structural equation modelling and bootstrapping techniques to examine the hypothesised relationships. Findings The results suggest that the model that fits data well is the one which shows that the effects of both leadership and organisational justice on IWBs are successively mediated by affective commitment and OCB. Because of its social and affiliation-oriented nature, the study submits that OCB is an effective explanatory factor between predictors and IWBs. Originality/value The study makes a novel contribution to the extant literature by evaluating the serial mediating roles of affective commitment and OCB between leadership and IWB on one hand, and justice and IWB on the other hand.</t>
  </si>
  <si>
    <t>[Khaola, Peter] Natl Univ Lesotho, Dept Business Adm, Roma, Lesotho; [Coldwell, David] Univ Witwatersrand, Sch Econ &amp; Business Sci, Johannesburg, South Africa</t>
  </si>
  <si>
    <t>University of Witwatersrand</t>
  </si>
  <si>
    <t>Khaola, P (corresponding author), Natl Univ Lesotho, Dept Business Adm, Roma, Lesotho.</t>
  </si>
  <si>
    <t>peterkhaola@gmail.com; david.coldwell@wits.ac.za</t>
  </si>
  <si>
    <t>Khaola, Peter/V-9576-2019</t>
  </si>
  <si>
    <t>Khaola, Peter/0000-0002-4674-2910</t>
  </si>
  <si>
    <t>10.1108/EJIM-08-2017-0103</t>
  </si>
  <si>
    <t>WOS:000454910000010</t>
  </si>
  <si>
    <t>Li, YZ; Castano, G; Li, YX</t>
  </si>
  <si>
    <t>Li, Yongzhan; Castano, Gloria; Li, Yongxin</t>
  </si>
  <si>
    <t>Linking leadership styles to work engagement: The role of psychological capital among Chinese knowledge workers</t>
  </si>
  <si>
    <t>CHINESE MANAGEMENT STUDIES</t>
  </si>
  <si>
    <t>Work engagement; Psychological capital; Knowledge workers; Leadership styles</t>
  </si>
  <si>
    <t>TRANSFORMATIONAL LEADERSHIP; TRANSACTIONAL LEADERSHIP; EMPLOYEE CREATIVITY; INNOVATIVE BEHAVIOR; POSITIVE EMOTIONS; MEDIATING ROLE; PERFORMANCE; IMPACT; MANAGEMENT; RESOURCES</t>
  </si>
  <si>
    <t>Purpose The purpose of this study is to explore the relationship between leadership styles, psychological capital and job engagement. Design/methodology/approach Data were collected among knowledge workers working no less than 1 year in three high-tech enterprises in Henan Province, China. The investigation was conducted with the cooperation from the human resource departments of the selected enterprises from August to October 2014. To minimize potential common method bias, the authors adopted a cross-lagged design with a time gap of four months. The statistical methods included descriptive statistics, structural equation modeling (SEM) and bootstrap analysis. Findings The results showed: leadership styles significantly influenced employees' psychological capital and work engagement; specifically, transformational and transactional leadership positively predicted employees' psychological capital and work engagement; compared with transactional leadership, transformational leadership had stronger predictive power to employees' psychological capital and work engagement; employees' psychological capital positively predicted their work engagement; and employees' psychological capital acts as partial mediator between leadership styles and employees' work engagement. Originality/value Although a body of studies have shown that leadership is an important factor influencing employees' work attitude and outcomes, it is only in recent years that the effect mechanism of leadership becomes a hot subject in organizational behavior and management fields. As for leadership styles, in general, most research concerned transformational leadership, rather than transactional leadership and only a little of research compared the effects of transformational leadership and transactional leadership on employees' work outcomes. In terms of outcomes of leadership, as noted earlier, the previous research mainly explored job performance, job satisfaction, innovation behavior, job burnout and so on. Regarding the effect of leadership styles on employees' work engagement, in spite of more and more supportive evidence of the link between transformational leadership and work engagement, few studies examined the relationship between transactional leadership and work engagement. What's more, to the best of our knowledge, till now, no empirical research has explored the internal mechanism of this effect from the perspective of psychological capital. Therefore, the present study is a breakthrough for the direct model of leadership styles and employees' engagement, theoretically bridges the research gap and contributes to the existing literature by presenting a new picture of leadership behavior effect mechanism.</t>
  </si>
  <si>
    <t>[Li, Yongzhan] Pingdingshan Univ, Teacher Educ Coll, Pingdingshan, Peoples R China; [Castano, Gloria] Univ Complutense Madrid, Fac Psychol, Madrid, Spain; [Li, Yongxin] Pingdingshan Univ, Sch Continuing Educ, Pingdingshan, Peoples R China</t>
  </si>
  <si>
    <t>Pingdingshan University; Complutense University of Madrid; Pingdingshan University</t>
  </si>
  <si>
    <t>Li, YZ (corresponding author), Pingdingshan Univ, Teacher Educ Coll, Pingdingshan, Peoples R China.</t>
  </si>
  <si>
    <t>liyongzhan@126.com</t>
  </si>
  <si>
    <t>Castaño, Gloria/J-8944-2017; CASTAÑO, GLORIA/ABG-7493-2021</t>
  </si>
  <si>
    <t>Castaño, Gloria/0000-0002-1584-528X; CASTAÑO, GLORIA/0000-0002-1584-528X</t>
  </si>
  <si>
    <t>1750-614X</t>
  </si>
  <si>
    <t>1750-6158</t>
  </si>
  <si>
    <t>CHIN MANAG STUD</t>
  </si>
  <si>
    <t>Chin. Manag. Stud.</t>
  </si>
  <si>
    <t>10.1108/CMS-04-2017-0108</t>
  </si>
  <si>
    <t>GG6RZ</t>
  </si>
  <si>
    <t>WOS:000432827600010</t>
  </si>
  <si>
    <t>Fan, HL; Chang, PF; Albanese, D; Wu, JJ; Yu, MJ; Chuang, HJ</t>
  </si>
  <si>
    <t>Fan, Hsueh-Liang; Chang, Pao-Fang; Albanese, Dale; Wu, Jing-Jyi; Yu, Ming-Jen; Chuang, Hao-Jun</t>
  </si>
  <si>
    <t>Multilevel influences of transactive memory systems on individual innovative behavior and team innovation</t>
  </si>
  <si>
    <t>Transactive memory systems; Creative self-efficacy; Innovative behavior; Team innovation</t>
  </si>
  <si>
    <t>CREATIVE SELF-EFFICACY; TRANSFORMATIONAL LEADERSHIP; POTENTIAL ANTECEDENTS; WORK; PERFORMANCE; ORGANIZATIONS; DETERMINANTS; METAANALYSIS; FRAMEWORK; PERSPECTIVE</t>
  </si>
  <si>
    <t>Despite the dual benefits of transactive memory systems (TMSs) for individual innovative behavior and team innovation, prior literature has seldom explored these issues simultaneously. This study both explores how TMSs affects individual creative self-efficacy and innovative behavior and examines whether the TMS affects team innovation by collecting survey data from 475 individuals in 86 teams participating in two iterations of the Intelligent Ironman Creativity Contest in Taiwan. Findings suggest a multilevel mediation model in which creative self-efficacy partially mediates the relationship between TMSs and the individual's innovative behavior. At the team level, the TMS positively affects team innovation. This paper concludes with a discussion of theoretical and practical implications. (C) 2015 Elsevier Ltd. All rights reserved.</t>
  </si>
  <si>
    <t>[Fan, Hsueh-Liang] Minist Sci &amp; Technol, Res Inst Humanities &amp; Social Sci, 1,Sec 4,Roosevelt Rd, Taipei 10617, Taiwan; [Chang, Pao-Fang] Natl Chengchi Univ, Dept Journalism, 64,Sec 2,Zhi Nan Rd, Taipei 11605, Taiwan; [Albanese, Dale] Natl Chengchi Univ, Dept Educ, 64,Sec 2,Zhi Nan Rd, Taipei 11605, Taiwan; [Wu, Jing-Jyi] Natl Chengchi Univ, Ctr Creat &amp; Innovat Studies, 64,Sec 2,Zhi Nan Rd, Taipei 11605, Taiwan; [Yu, Ming-Jen] Natl Chengchi Univ, Grad Inst Technol Innovat &amp; Intellectual Property, 64,Sec 2,Zhi Nan Rd, Taipei 11605, Taiwan; [Chuang, Hao-Jun] Natl Tsing Hua Univ, Social Enterprise Res Ctr, R 625,TSMC Bldg,101,Sec 2,Kuang Fu Rd, Hsinchu 30013, Taiwan</t>
  </si>
  <si>
    <t>National Chengchi University; National Chengchi University; National Chengchi University; National Chengchi University; National Tsing Hua University</t>
  </si>
  <si>
    <t>Albanese, D (corresponding author), Natl Chengchi Univ, Dept Educ, 64,Sec 2,Zhi Nan Rd, Taipei 11605, Taiwan.</t>
  </si>
  <si>
    <t>sam.fan@gmail.com; cpfchang@nccu.edu.tw; dalealbanese@gmail.com; jjwu@nccu.edu.tw; mingjenyu@gmail.com; haojun.tw@gmail.com</t>
  </si>
  <si>
    <t>fan, hsuehliang/0000-0002-3997-0683</t>
  </si>
  <si>
    <t>Intelligent Ironman Creativity Contest, Ministry of Education; Center for Creativity and Innovation Studies, National Chengchi University; Ministry of Science and Technology Research Institute for the Humanities and Social Sciences in Taiwan</t>
  </si>
  <si>
    <t>This research was supported by grants from the Intelligent Ironman Creativity Contest, Ministry of Education, and Center for Creativity and Innovation Studies, National Chengchi University. We are also grateful for additional support from the Ministry of Science and Technology Research Institute for the Humanities and Social Sciences in Taiwan.</t>
  </si>
  <si>
    <t>10.1016/j.tsc.2015.11.001</t>
  </si>
  <si>
    <t>DD9KA</t>
  </si>
  <si>
    <t>WOS:000370242900007</t>
  </si>
  <si>
    <t>Innovation strategies and firm performance: Simple or complex strategies?</t>
  </si>
  <si>
    <t>ECONOMICS OF INNOVATION AND NEW TECHNOLOGY</t>
  </si>
  <si>
    <t>Innovation strategy; simple; complex; firm performance; productivity; firm level; Community Innovation Survey; panel</t>
  </si>
  <si>
    <t>RESEARCH-AND-DEVELOPMENT; ORGANIZATIONAL INNOVATION; TECHNOLOGICAL-INNOVATION; MANAGEMENT INNOVATION; PRODUCTIVITY; IMPACT; MODEL; COMPLEMENTARITIES; INDUSTRY; PATENTS</t>
  </si>
  <si>
    <t>This paper analyzes the effect of various innovation strategies (ISs) of firms on their future performance, captured by labor productivity. Using five waves of the Community Innovation Survey in Sweden, we have traced the innovative behavior of firms over a decade, that is, from 2002 to 2012. We defined ISs to be either simple or complex (in various degrees). We call an IS a simple IS when firms engage in only one of the four types of Schumpeterian innovations, that is, product, process, marketing, or organizational, while a complex IS is when firms simultaneously engage in more than one type. The main findings indicate that those firms that choose and afford to have complex ISs are better off in terms of their future productivity in comparison with those firms that choose not to innovative (base group) and also in comparison with those firms that choose simple ISs. The results are mostly robust for those complex innovators that have a higher degree of complexity and also keep the balance between technological (product and process) and non-technological (organizational and marketing) innovations.</t>
  </si>
  <si>
    <t>Tavassoli, S (corresponding author), Lund Univ, CIRCLE, Lund, Sweden.;Tavassoli, S (corresponding author), Blekinge Inst Technol, Karlskrona, Sweden.</t>
  </si>
  <si>
    <t>1043-8599</t>
  </si>
  <si>
    <t>1476-8364</t>
  </si>
  <si>
    <t>ECON INNOV NEW TECH</t>
  </si>
  <si>
    <t>Econ. Innov. New Technol.</t>
  </si>
  <si>
    <t>10.1080/10438599.2015.1108109</t>
  </si>
  <si>
    <t>FG7EK</t>
  </si>
  <si>
    <t>WOS:000410576000001</t>
  </si>
  <si>
    <t>Omri, W</t>
  </si>
  <si>
    <t>Omri, Waleed</t>
  </si>
  <si>
    <t>Innovative behavior and venture performance of SMEs The moderating effect of environmental dynamism</t>
  </si>
  <si>
    <t>Performance; Innovation; Small- to medium-sized enterprises; Organizational innovation</t>
  </si>
  <si>
    <t>RESEARCH-AND-DEVELOPMENT; FIRM PERFORMANCE; STRATEGIC MANAGEMENT; PRODUCT INNOVATION; ORIENTATION; TECHNOLOGY; IMPLEMENTATION; ORGANIZATIONS; DIMENSIONS; CREATIVITY</t>
  </si>
  <si>
    <t>Purpose - The purpose of this paper is to explore the relationship between innovative behavior and firm performance to determine empirically whether managers' innovative behavior impacts directly or indirectly on firm performance through innovative output. A proposed conceptual model is tested with the moderating effects of environmental dynamism. Design/methodology/approach - An empirical study tests the conceptual model of a multi-industry sample of Tunisian small and medium-sized enterprises. For this analysis the author applies the partial least squares (PLS) technique using the software package SmartPLS, version 2.0. Findings - Empirical findings reveal that innovative behavior acts on innovation output thus having a positive and significant effect on business performance. Direct effect on business performance is found to be positive but weakly significant. These positive relationships tend to decrease when market conditions are highly dynamic. Practical implications - Managers should be aware of the strategic potential of their innovative skills which can reinforce a firm's innovativeness in order to improve business performance. Originality/value - This paper proposes a model showing how a manager's innovative behavior affects innovation output thus enhancing firm performance. The proposed conceptual model gives a more specific vision with the introduction of environmental dynamism as a moderating factor.</t>
  </si>
  <si>
    <t>[Omri, Waleed] Univ Limoges, CREOP EA 4332 Res Ctr, Limoges, France</t>
  </si>
  <si>
    <t>Universite de Limoges</t>
  </si>
  <si>
    <t>Omri, W (corresponding author), Univ Limoges, CREOP EA 4332 Res Ctr, Limoges, France.</t>
  </si>
  <si>
    <t>waleed.omri@etu.unilim.fr</t>
  </si>
  <si>
    <t>10.1108/EJIM-02-2013-0015</t>
  </si>
  <si>
    <t>V79IJ</t>
  </si>
  <si>
    <t>WOS:000212108400004</t>
  </si>
  <si>
    <t>Lin, XW; Leung, K</t>
  </si>
  <si>
    <t>Lin, Xiaowan; Leung, Kwok</t>
  </si>
  <si>
    <t>What signals does procedural justice climate convey? The roles of group status, and organizational benevolence and integrity</t>
  </si>
  <si>
    <t>job security; respect for the work unit; procedural justice climate; benevolence and integrity; social identification</t>
  </si>
  <si>
    <t>SOCIAL-EXCHANGE; GROUP IDENTIFICATION; JOB INSECURITY; UNCERTAINTY MANAGEMENT; FAIRNESS PERCEPTIONS; CITIZENSHIP BEHAVIOR; INNOVATIVE BEHAVIOR; SELF-ESTEEM; TRUST; ANTECEDENTS</t>
  </si>
  <si>
    <t>We propose and test a theoretical framework to explore why and how procedural justice climate influences individual behaviors after controlling for the influence of individual justice perception. Two types of symbolic information conveyed by procedural justice climate are considered. We argue that procedural justice climate reflects the status of or respect for a justice recipient, a work unit within an organization in our context, which then influences the identification of its members with the work unit. Procedural justice climate also reflects the moral attributes of a justice actor, herein an organization, which then influences organizational identification and perceived job security. Consistent with these arguments, results showed that perceived respect for the work unit mediated the relationship between procedural justice climate and identification with the work unit, and both perceived organizational benevolence and integrity mediated the relationship of procedural justice climate with organizational identification and job security. The two types of social identification and perceived job security were related to several outcome variables differently. Copyright (c) 2013 John Wiley &amp; Sons, Ltd.</t>
  </si>
  <si>
    <t>[Lin, Xiaowan] Univ Macau, Fac Business Adm, Macau, Peoples R China; [Leung, Kwok] City Univ Hong Kong, Dept Management, Hong Kong, Hong Kong, Peoples R China</t>
  </si>
  <si>
    <t>University of Macau; City University of Hong Kong</t>
  </si>
  <si>
    <t>Lin, XW (corresponding author), Univ Macau, Fac Business Adm, Macau, Peoples R China.</t>
  </si>
  <si>
    <t>lucylin@umac.mo</t>
  </si>
  <si>
    <t>Lin, Xiaowan/0000-0002-8165-078X</t>
  </si>
  <si>
    <t>10.1002/job.1899</t>
  </si>
  <si>
    <t>AF0UZ</t>
  </si>
  <si>
    <t>WOS:000334430900002</t>
  </si>
  <si>
    <t>Niu, HJ</t>
  </si>
  <si>
    <t>Niu, Han-Jen</t>
  </si>
  <si>
    <t>Is innovation behavior congenital? Enhancing job satisfaction as a moderator</t>
  </si>
  <si>
    <t>Taiwan; Service industries; Job satisfaction; Innovative behavior; Moderating effect</t>
  </si>
  <si>
    <t>ORGANIZATIONAL INNOVATION; ENTREPRENEURIAL ORIENTATION; EMPLOYEE CREATIVITY; PERFORMANCE; DETERMINANTS; GROWTH; MODEL; PERSONALITY; WORK; EXPERIENCE</t>
  </si>
  <si>
    <t>Purpose - In the age of the knowledge-based economy, innovation has become a significant factor in business competitiveness. The purpose of this paper is to explore the moderating effect of job satisfaction on the relationship between personality and employees' individual innovative behavior in the service industry. Design/methodology/approach - The object of this research is the employee in service industry in Taiwan. A total sample of 626 employees in five service industry categories was taken in Taiwan's service industry. The descriptive statistical analyses and hierarchical regression were adopted. Findings - The results show that job satisfaction positively affects individual innovative behavior, and also has moderating effect on personality traits and innovative behavior. Originality/value - Innovative behavior is not only congenital, that can be stimulated by job satisfaction.</t>
  </si>
  <si>
    <t>Tamkang Univ, Dept Management Sci, Taipei, Taiwan</t>
  </si>
  <si>
    <t>Tamkang University</t>
  </si>
  <si>
    <t>Niu, HJ (corresponding author), Tamkang Univ, Dept Management Sci, Taipei, Taiwan.</t>
  </si>
  <si>
    <t>freyaniu@gmail.com</t>
  </si>
  <si>
    <t>Niu, Han-Jen/0000-0002-7247-9271</t>
  </si>
  <si>
    <t>10.1108/PR-12-2012-0200</t>
  </si>
  <si>
    <t>AD1MK</t>
  </si>
  <si>
    <t>WOS:000332997900008</t>
  </si>
  <si>
    <t>Kaufman, AB; Butt, AE; Kaufman, JC; Colbert-White, EN</t>
  </si>
  <si>
    <t>Kaufman, Allison B.; Butt, Allen E.; Kaufman, James C.; Colbert-White, Erin N.</t>
  </si>
  <si>
    <t>Towards a Neurobiology of Creativity in Nonhuman Animals</t>
  </si>
  <si>
    <t>JOURNAL OF COMPARATIVE PSYCHOLOGY</t>
  </si>
  <si>
    <t>novelty; creativity; innovation; observational learning; animal cognition</t>
  </si>
  <si>
    <t>CONSENSUAL ASSESSMENT TECHNIQUE; CATECHOLAMINE TERMINAL FIELDS; IMPAIRED RECOGNITION MEMORY; WILD CAPUCHIN MONKEYS; MALE SATIN BOWERBIRDS; SPONTANEOUS TOOL USE; PTILONORHYNCHUS-VIOLACEUS; INVESTIGATORY EXPLORATION; NORADRENERGIC MODULATION; TEMPERAMENTAL TRAITS</t>
  </si>
  <si>
    <t>We propose a cognitive and neurobiological framework for creativity in nonhuman animals based on the framework previously proposed by Kaufman and Kaufman (2004), with additional insight from recent animal behavior research, behavioral neuroscience, and creativity theories. The additional information has lead to three major changes in the 2004 model-the addition of novelty seeking as a subcategory of novelty recognition, the addition of specific neurological processing sites that correspond to each of the processes, and the transformation of the model into a spectrum in which all three levels represent different degrees of the creative process (emphasis on process) and the top level, dubbed innovation, is defined by the creative product. The framework remains a three-level model of creativity. The first level is composed of both the cognitive ability to recognize novelty, a process linked to hippocampal function, and the seeking out of novelty, which is linked to dopamine systems. The next level is observational learning, which can range in complexity from imitation to the cultural transmission of creative behavior. Observational learning may critically depend on the cerebellum, in addition to cortical regions. At the peak of the model is innovative behavior, which can include creating a tool or exhibiting a behavior with the specific understanding that it is new and different. Innovative behavior may be especially dependent upon the prefrontal cortex and/or the balance between left and right hemisphere functions.</t>
  </si>
  <si>
    <t>[Kaufman, Allison B.; Butt, Allen E.; Kaufman, James C.] Calif State Univ San Bernardino, Dept Psychol, San Bernardino, CA 92407 USA; [Kaufman, Allison B.] Univ Calif Riverside, Dept Neurosci, Riverside, CA 92521 USA; [Kaufman, James C.] Calif State Univ San Bernardino, Learning Res Inst, San Bernardino, CA 92407 USA; [Colbert-White, Erin N.] Univ Georgia, Dept Psychol, Athens, GA 30602 USA</t>
  </si>
  <si>
    <t>California State University System; California State University San Bernardino; University of California System; University of California Riverside; California State University System; California State University San Bernardino; University System of Georgia; University of Georgia</t>
  </si>
  <si>
    <t>Kaufman, AB (corresponding author), Calif State Univ San Bernardino, Dept Psychol, 5500 Univ Pkwy, San Bernardino, CA 92407 USA.</t>
  </si>
  <si>
    <t>akaufman@csusb.edu</t>
  </si>
  <si>
    <t>Butt, Allen/AID-2589-2022</t>
  </si>
  <si>
    <t>Kaufman, Allison/0000-0003-1511-4927; Kaufman, James/0000-0003-0595-2820</t>
  </si>
  <si>
    <t>University of California, Riverside</t>
  </si>
  <si>
    <t>University of California, Riverside(University of California System)</t>
  </si>
  <si>
    <t>We thank Anne Russon for her thoughts on the ideas on this paper, and Curt Burgess. Work on this paper was partially funded by a Dissertation Year Fellowship awarded to Allison B. Kaufman while at the University of California, Riverside.</t>
  </si>
  <si>
    <t>0735-7036</t>
  </si>
  <si>
    <t>1939-2087</t>
  </si>
  <si>
    <t>J COMP PSYCHOL</t>
  </si>
  <si>
    <t>J. Comp. Psychol.</t>
  </si>
  <si>
    <t>10.1037/a0023147</t>
  </si>
  <si>
    <t>Behavioral Sciences; Psychology; Psychology, Multidisciplinary; Zoology</t>
  </si>
  <si>
    <t>Behavioral Sciences; Psychology; Zoology</t>
  </si>
  <si>
    <t>806II</t>
  </si>
  <si>
    <t>WOS:000293799300001</t>
  </si>
  <si>
    <t>Lee, WR; Choi, SB; Kang, SW</t>
  </si>
  <si>
    <t>Lee, Wang Ro; Choi, Suk Bong; Kang, Seung-Wan</t>
  </si>
  <si>
    <t>How Leaders' Positive Feedback Influences Employees' Innovative Behavior: The Mediating Role of Voice Behavior and Job Autonomy</t>
  </si>
  <si>
    <t>leader&amp;#8217; s positive feedback; role of leader; voice behavior; job autonomy; innovative behavior</t>
  </si>
  <si>
    <t>This study investigated the effects of a leader's feedback behavior on the followers' innovative behaviors, and the mediating effects of voice behavior and job autonomy in the above relationship. To test the analytical model with the hypotheses, survey data were collected from 527 Korean employees working in 35 companies from manufacturing, distribution, and service industries. A structural equation model analysis was performed to test the hypotheses. The results of our empirical analysis are as follows. First, it was found that positive feedback from the leader positively influenced the followers' voice behaviors, job autonomies, and innovative behaviors. Second, voice behavior and job autonomy were confirmed to have a positive mediating effect between the leader's feedback and the innovative behavior of the followers. These findings imply that a leader's feedback behavior contributes toward enhancing the followers' innovative behaviors in the process of organizational innovation. We suggest that organizations and managers pay attention to the benefits of feedback activities and facilitate key mechanisms that connect them to employee innovation behavior, effectively.</t>
  </si>
  <si>
    <t>[Lee, Wang Ro; Choi, Suk Bong] Korea Univ, Coll Global Business, Sejong City 30019, South Korea; [Kang, Seung-Wan] Gachon Univ, Coll Business, Seongnam 13120, South Korea</t>
  </si>
  <si>
    <t>Korea University; Gachon University</t>
  </si>
  <si>
    <t>Choi, SB (corresponding author), Korea Univ, Coll Global Business, Sejong City 30019, South Korea.;Kang, SW (corresponding author), Gachon Univ, Coll Business, Seongnam 13120, South Korea.</t>
  </si>
  <si>
    <t>yr2015@korea.ac.kr; sukchoi@korea.ac.kr; global7@gachon.ac.kr</t>
  </si>
  <si>
    <t>Kang, Seung-Wan/0000-0002-6170-1009; , Suk Bong/0000-0001-8927-3985</t>
  </si>
  <si>
    <t>10.3390/su13041901</t>
  </si>
  <si>
    <t>QQ9EM</t>
  </si>
  <si>
    <t>WOS:000624820500001</t>
  </si>
  <si>
    <t>Oluwafemi, TB; Mitchelmore, S; Nikolopoulos, K</t>
  </si>
  <si>
    <t>Oluwafemi, Tolulope Busola; Mitchelmore, Siwan; Nikolopoulos, Konstantinos</t>
  </si>
  <si>
    <t>Leading innovation: Empirical evidence for ambidextrous leadership from UK high-tech SMEs</t>
  </si>
  <si>
    <t>Ambidextrous leadership; Employee innovative behaviors; Adaptive/Flexible leadership</t>
  </si>
  <si>
    <t>TRANSFORMATIONAL LEADERSHIP; ORGANIZATIONAL AMBIDEXTERITY; MEDIATING ROLE; EMPLOYEE CREATIVITY; MANAGING INNOVATION; PRODUCT INNOVATION; WORK-ENVIRONMENT; SMALL BUSINESS; PERFORMANCE; EXPLORATION</t>
  </si>
  <si>
    <t>This study explores the important issue of how leadership facilitates employee innovation behaviors in SMEs. Ambidextrous leadership is introduced to the SME literature by investigating the influence of opening and closing leadership behaviors on employee's explorative and exploitative innovation behaviors. Using survey generated data from 98 high technology SMEs in the UK and by means of regression analyses, our findings reveal that opening and closing leadership behaviors predicted employee explorative and exploitative innovation behaviors respectively above all control variables. The combination of both leadership behaviors (ambidextrous leadership) also predicted employee ambidextrous innovation behaviors above all other leadership behaviors. A significant revelation was that the effect of ambidextrous leadership behaviors on employee ambidextrous innovation behaviors is mediated by adaptive/flexible leadership behavior. This study indicates that ambidextrous leadership is important for SMEs seeking to enhance employee innovative work behaviors.</t>
  </si>
  <si>
    <t>[Oluwafemi, Tolulope Busola; Mitchelmore, Siwan; Nikolopoulos, Konstantinos] Bangor Univ, Bangor Business Sch, Coll Rd, Bangor LL57 2DG, Gwynedd, Wales; [Oluwafemi, Tolulope Busola] Thompson Rivers Univ, Sch Business &amp; Econ, Kamloops, BC, Canada</t>
  </si>
  <si>
    <t>Bangor University</t>
  </si>
  <si>
    <t>Nikolopoulos, K (corresponding author), Bangor Univ, Bangor Business Sch, Coll Rd, Bangor LL57 2DG, Gwynedd, Wales.</t>
  </si>
  <si>
    <t>kostas@bangor.ac.uk</t>
  </si>
  <si>
    <t>Oluwafemi, Tolulope/0000-0002-9478-6387</t>
  </si>
  <si>
    <t>10.1016/j.jbusres.2019.10.035</t>
  </si>
  <si>
    <t>PH5ES</t>
  </si>
  <si>
    <t>WOS:000600436300017</t>
  </si>
  <si>
    <t>Gerards, R; van Wetten, S; van Sambeek, C</t>
  </si>
  <si>
    <t>Gerards, Ruud; van Wetten, Sanne; van Sambeek, Cecile</t>
  </si>
  <si>
    <t>New ways of working and intrapreneurial behaviour: the mediating role of transformational leadership and social interaction</t>
  </si>
  <si>
    <t>Intrapreneurial behaviour; Employee entrepreneurship; New ways of working; Transformational leadership; Social interaction</t>
  </si>
  <si>
    <t>HUMAN-RESOURCE MANAGEMENT; CORPORATE ENTREPRENEURSHIP; INNOVATIVE BEHAVIOR; ORGANIZATIONAL IDENTIFICATION; INTERNAL ENVIRONMENT; EMPLOYEE; TRUST; CREATIVITY; CONSTRUCT; MODEL</t>
  </si>
  <si>
    <t>To promote innovativeness and efficiency, an increasing number of firms have adopted New ways of working (NWW). However, it is not clear what effect NWW has on innovation-related outcomes, such as intrapreneurial behaviour. Therefore, we provide a first investigation on the relation between the facets of NWW and intrapreneurial behaviour, while testing transformational leadership and co-worker social interaction as mediators. We use a sample of 254 employees of the Dutch working population and apply the Preacher and Hayes' (Behav Res Methods 40(3):879-891, 2008) bootstrap method for multiple mediation to test our hypotheses. We find that NWW facets time- and location-independent work and management on output are positively related to intrapreneurial behaviour. In addition, we find that the relation between a freely accessible open workplace and intrapreneurial behaviour is mediated by transformational leadership. However, we find no relationship between co-worker social interaction and intrapreneurial behaviour and thus no mediating role for social interaction. Our research adds to the budding literature on the effects of NWW and to the literature on the determinants of intrapreneurial behaviour. We conclude that implementation of several NWW facets and a transformational leadership style could help foster intrapreneurial behaviour among employees, and that future research that further enhances the measurement of the NWW facets and investigates its configurational effects on intrapreneurial behaviour is welcome.</t>
  </si>
  <si>
    <t>[Gerards, Ruud; van Wetten, Sanne] Maastricht Univ, Res Ctr Educ &amp; Labour Market ROA, Sch Business &amp; Econ, Tongersestr 49, NL-6211 LM Maastricht, Netherlands; [van Sambeek, Cecile] Maastricht Univ, Sch Business &amp; Econ, Tongersestr 49, NL-6211 LM Maastricht, Netherlands</t>
  </si>
  <si>
    <t>Maastricht University; Maastricht University Medical Centre (MUMC); Maastricht University</t>
  </si>
  <si>
    <t>Gerards, R (corresponding author), Maastricht Univ, Res Ctr Educ &amp; Labour Market ROA, Sch Business &amp; Econ, Tongersestr 49, NL-6211 LM Maastricht, Netherlands.</t>
  </si>
  <si>
    <t>r.gerards@maastrichtuniversity.nl</t>
  </si>
  <si>
    <t>Gerards, Ruud/J-6280-2019</t>
  </si>
  <si>
    <t>Gerards, Ruud/0000-0001-7570-8298; van Wetten, Sanne/0000-0002-0415-5590</t>
  </si>
  <si>
    <t>Netherlands Organisation for Scientific Research (NWO) [NWO 409-13-210]</t>
  </si>
  <si>
    <t>Netherlands Organisation for Scientific Research (NWO)(Netherlands Organization for Scientific Research (NWO))</t>
  </si>
  <si>
    <t>This work was supported by the Netherlands Organisation for Scientific Research (NWO) as part of the project Intrapreneurship - Enabling talent for innovation (NWO 409-13-210). We thank Evert Webers from Etil Research for his assistance in the survey design and data collection, and Julia Kensbock and Coen Rigtering for their helpful comments and suggestions to earlier versions of this paper. We also thank participants at the Universitat de les Illes Balears Business Economics Seminar for their helpful remarks and questions. We are also very grateful to two anonymous referees and the editor Ralf Ewert for their supportive and constructive comments and suggestions.</t>
  </si>
  <si>
    <t>10.1007/s11846-020-00412-1</t>
  </si>
  <si>
    <t>SEP 2020</t>
  </si>
  <si>
    <t>UU3AX</t>
  </si>
  <si>
    <t>WOS:000571995600001</t>
  </si>
  <si>
    <t>Cao, FY; Zhang, HM</t>
  </si>
  <si>
    <t>Cao, Feiyuan; Zhang, Haomin</t>
  </si>
  <si>
    <t>Workplace friendship, psychological safety and innovative behavior in China A moderated-mediation model</t>
  </si>
  <si>
    <t>Workplace friendship; Transformational leadership; Psychological safety; Innovative behaviour; Desire to gain face; Fear of losing face</t>
  </si>
  <si>
    <t>LEADERSHIP; PERCEPTIONS; PERFORMANCE; VALIDATION; SUPERVISOR; ENGAGEMENT; EXCHANGE; CLIMATE; IMPACT; FACE</t>
  </si>
  <si>
    <t>Purpose This paper aims to clarify the influences of workplace friendship, psychological safety on employees' innovative behavior and the moderated role of transformational leadership and face. Design/methodology/approach The current research proposes and tests a theoretic framework to explore the mechanism of workplace friendship in influencing employees' innovative behavior. Based on a sample of 441 respondents from various Chinese companies, this paper used SPSS 22.0 and Amos 22.0 to examine the hypotheses. Findings Results indicate that workplace friendship positively related to innovative behavior and psychological safety functioned as a mediator between them. Moreover, it examines the moderating roles of transformational leadership and face. Transformational leadership and desire to gain face strengthen the relationship between psychological safety and employees' innovative behavior but fear of losing face is negatively related to the strength of this relationship. Originality/value The current research is meaningful for managerial practice. Then, the theoretical framework will contribute to providing a new perspective for understanding complex friendship at studies thus explore its boundary conditions, which help to lead to desirable outcomes. Besides, the findings advance nascent theory on face under oriental culture background.</t>
  </si>
  <si>
    <t>[Cao, Feiyuan] Shanghai Univ, Sch Management, Shanghai, Peoples R China; [Zhang, Haomin] Shanghai Univ, Dept Human Resource Management, Shanghai, Peoples R China</t>
  </si>
  <si>
    <t>Shanghai University; Shanghai University</t>
  </si>
  <si>
    <t>Cao, FY (corresponding author), Shanghai Univ, Sch Management, Shanghai, Peoples R China.</t>
  </si>
  <si>
    <t>1144074990@qq.com; Haominzhang@126.com</t>
  </si>
  <si>
    <t>cao, Feiyuan/AGN-1779-2022</t>
  </si>
  <si>
    <t>10.1108/CMS-09-2019-0334</t>
  </si>
  <si>
    <t>MC6DW</t>
  </si>
  <si>
    <t>WOS:000512045300001</t>
  </si>
  <si>
    <t>Rangus, K; Cerne, M</t>
  </si>
  <si>
    <t>Rangus, Kaja; Cerne, Matej</t>
  </si>
  <si>
    <t>The impact of leadership influence tactics and employee openness toward others on innovation performance</t>
  </si>
  <si>
    <t>MEDIATING ROLE; TEAM CLIMATE; DYNAMIC CAPABILITIES; ABSORPTIVE-CAPACITY; INDIVIDUAL-LEVEL; ADOPTION; CREATIVITY; MANAGEMENT; MICROFOUNDATIONS; ORGANIZATIONS</t>
  </si>
  <si>
    <t>Despite the vital importance of leadership, employees, and their social interactions in the open-innovation process, there is scarce evidence on the influence and connectedness of different sub-firm levels related to open innovation. The aim of this study is to explore the influence of leadership influence tactics and employee openness toward others on innovation performance at the individual and team levels. We applied a multilevel analysis on a sample of 85 employees and their 15 direct supervisors/team leaders. We find that leaders' building open-innovation coalitions exhibits a positive cross-level relationship with employee openness toward others and individual-level innovative behavior, and also moderates the link between the latter two constructs. Additionally, the leaders' building open-innovation coalitions variable is positively related to the team-level scope of innovations and the team-level innovation implementation phase.</t>
  </si>
  <si>
    <t>[Rangus, Kaja; Cerne, Matej] Univ Ljubljana, Fac Econ, Kardeljeva Ploscad 17, Ljubljana 1000, Slovenia</t>
  </si>
  <si>
    <t>University of Ljubljana</t>
  </si>
  <si>
    <t>Rangus, K (corresponding author), Univ Ljubljana, Fac Econ, Kardeljeva Ploscad 17, Ljubljana 1000, Slovenia.</t>
  </si>
  <si>
    <t>kaja.rangus@ef.uni-lj.si; matej.cerne@ef.uni-lj.si</t>
  </si>
  <si>
    <t>Černe, Matej/AAA-2954-2022</t>
  </si>
  <si>
    <t>Černe, Matej/0000-0001-5049-588X</t>
  </si>
  <si>
    <t>10.1111/radm.12298</t>
  </si>
  <si>
    <t>HM9MI</t>
  </si>
  <si>
    <t>WOS:000459808600003</t>
  </si>
  <si>
    <t>Peng, H; Wei, F</t>
  </si>
  <si>
    <t>Peng, He; Wei, Feng</t>
  </si>
  <si>
    <t>Trickle-Down Effects of Perceived Leader Integrity on Employee Creativity: A Moderated Mediation Model</t>
  </si>
  <si>
    <t>JOURNAL OF BUSINESS ETHICS</t>
  </si>
  <si>
    <t>Employee creativity; Leader integrity; Professional ethical standards; Social learning; Trickle-down</t>
  </si>
  <si>
    <t>BEHAVIORAL INTEGRITY; ETHICAL LEADERSHIP; TRANSFORMATIONAL LEADERSHIP; AUTHENTIC LEADERSHIP; INNOVATIVE BEHAVIOR; PRODUCT DEVELOPMENT; PROFESSIONAL CODES; WORK-ENVIRONMENT; JOB-PERFORMANCE; DARK SIDE</t>
  </si>
  <si>
    <t>This study explored the relationship between the integrity of the supervisor and the manager (i.e., the supervisor's immediate superior) and the creativity of employees who are below the supervisor. Drawing on social learning theory, we proposed a moderated mediation model for the trickle-down effects of perceived supervisor integrity. Using a sample of 716 employees and their supervisors, we found positive associations between both managers' and supervisors' integrity and employee creativity. Supervisors' integrity partially mediates the relationship between managers' integrity and employee creativity. In addition, supervisors' perceptions of professional ethical standards moderate the indirect effects of the managers' integrity on employee creativity. Theoretical and managerial implications are discussed.</t>
  </si>
  <si>
    <t>[Peng, He] Fudan Univ, Dept Business Adm, Shanghai, Peoples R China; [Wei, Feng] Tongji Univ, Dept Business Adm, Shanghai, Peoples R China</t>
  </si>
  <si>
    <t>Fudan University; Tongji University</t>
  </si>
  <si>
    <t>Wei, F (corresponding author), Tongji Univ, Dept Business Adm, Shanghai, Peoples R China.</t>
  </si>
  <si>
    <t>fdpenghe@gmail.com; fwei@tongji.edu.cn</t>
  </si>
  <si>
    <t>National Natural Science Foundation of China [71272070]; National Social Science Foundation of China [1509093]</t>
  </si>
  <si>
    <t>We would like to thank the National Natural Science Foundation of China (Grant No. 71272070) and the National Social Science Foundation of China (Grant No. 1509093) for their financial support.</t>
  </si>
  <si>
    <t>0167-4544</t>
  </si>
  <si>
    <t>1573-0697</t>
  </si>
  <si>
    <t>J BUS ETHICS</t>
  </si>
  <si>
    <t>J. Bus. Ethics</t>
  </si>
  <si>
    <t>10.1007/s10551-016-3226-3</t>
  </si>
  <si>
    <t>Business; Ethics</t>
  </si>
  <si>
    <t>GL1MC</t>
  </si>
  <si>
    <t>WOS:000436865900016</t>
  </si>
  <si>
    <t>Kong, YT; Li, MJ</t>
  </si>
  <si>
    <t>Kong, Yangtao; Li, Mingjun</t>
  </si>
  <si>
    <t>PROACTIVE PERSONALITY AND INNOVATIVE BEHAVIOR: THE MEDIATING ROLES OF JOB-RELATED AFFECT AND WORK ENGAGEMENT</t>
  </si>
  <si>
    <t>proactive personality; innovative behavior; job-related affect; work engagement</t>
  </si>
  <si>
    <t>INFORMATION-PROCESSING PERSPECTIVE; INDIVIDUAL INNOVATION; CAREER SUCCESS; MODEL; PERFORMANCE; ORGANIZATIONS; CREATIVITY; WORKPLACE; CONTEXT; MOOD</t>
  </si>
  <si>
    <t>We examined the potential effects of job-related affect and work engagement as mediators in the relationship between proactive personality and innovative behavior. The Proactive Personality Scale, Positive and Negative Affect Schedule, Work Engagement Scale, and Innovative Behavior Scale were completed by 320 primary-and middle-school teachers in western China. Results showed that proactive personality was significantly and positively related to the teachers' innovative behavior. The effect of proactive personality on innovative behavior was partly mediated by both positive affect and work engagement in simple mediator roles, and by the sequential mediating effects of positive affect and work engagement. Possible explanations are discussed in light of previous findings. Limitations and suggestions for future research are discussed.</t>
  </si>
  <si>
    <t>[Kong, Yangtao; Li, Mingjun] Shaanxi XueQian Normal Univ, Fac Educ, 2nd Shenhe St, Xian 710100, Shaanxi, Peoples R China</t>
  </si>
  <si>
    <t>Shaanxi Xueqian Normal University</t>
  </si>
  <si>
    <t>Li, MJ (corresponding author), Shaanxi XueQian Normal Univ, Fac Educ, 2nd Shenhe St, Xian 710100, Shaanxi, Peoples R China.</t>
  </si>
  <si>
    <t>psy-limingjun@163.com</t>
  </si>
  <si>
    <t>Social Sciences Funded Projects of the Education Department of Shanxi Province, China [17JK0173]; 13th Five-Year Education Science Project of Shanxi Province, China [SGH16B023]; Key Projects of Shaanxi Xueqian Normal University, China [2016ZDKJ002]</t>
  </si>
  <si>
    <t>Social Sciences Funded Projects of the Education Department of Shanxi Province, China; 13th Five-Year Education Science Project of Shanxi Province, China; Key Projects of Shaanxi Xueqian Normal University, China</t>
  </si>
  <si>
    <t>This study was funded by the Social Sciences Funded Projects of the Education Department of Shanxi Province (17JK0173), China; The 13th Five-Year Education Science Project of Shanxi Province (SGH16B023), China; and the Key Projects of Shaanxi Xueqian Normal University (2016ZDKJ002), China.</t>
  </si>
  <si>
    <t>10.2224/sbp.6618</t>
  </si>
  <si>
    <t>GG5PE</t>
  </si>
  <si>
    <t>WOS:000432747400008</t>
  </si>
  <si>
    <t>Meng, LN; Jin, Y; Guo, JJ</t>
  </si>
  <si>
    <t>Meng, Lina; Jin, Yi; Guo, Jiajia</t>
  </si>
  <si>
    <t>Mediating and/or moderating roles of psychological empowerment</t>
  </si>
  <si>
    <t>APPLIED NURSING RESEARCH</t>
  </si>
  <si>
    <t>Nursing; Structural empowerment; Psychological empowerment; Burnout</t>
  </si>
  <si>
    <t>STRUCTURAL EMPOWERMENT; INNOVATIVE BEHAVIOR; SELF-EFFICACY; PATIENT-CARE; BURNOUT; NURSES; PERFORMANCE; ENVIRONMENT; LEADERSHIP; HOSPITALS</t>
  </si>
  <si>
    <t>Purpose: The purpose of this study was to explore the mediating and/or moderating effects of psychological empowerment in the relationship between structural empowerment and burnout among nurses in China. Background: Burnout is prevalent among nurses. Previous studies have found that empowering organizational structures contribute to reduce nurses' burnout. However, little is known about the mediating or moderating role of psychological empowerment in the relationship between structural empowerment and burnout among nurses in China. Methods: A cross-sectional design was conducted. A total of 244 nurses participated in this study. The data were collected in March 2013. Multiple regressions were used to test the hypothesized models. Results: Psychological empowerment was found to be a significant mediator of the relationship between structural empowerment and burnout (standardized beta =-0.553, Sobel test: z = 7.79, p &lt; 0.001). The moderating effect of psychological empowerment in that relationship was not verified. Conclusion: Both structural and psychological empowerment negatively correlated with burnout. The psychological empowerment had a mediating effect on burnout. Implications for nursing management: It is important for nurse managers to develop strategies to ensure that empowering structures are in place and to facilitate nurses' perception of psychological empowerment. (c) 2015 Elsevier Inc. All rights reserved.</t>
  </si>
  <si>
    <t>[Meng, Lina; Jin, Yi] Tianjin Huanhu Hosp, Tianjin 300060, Peoples R China; [Guo, Jiajia] Lianyungang Higher Vocat Tech Coll Tradit Chinese, Lianyungang 222000, Peoples R China</t>
  </si>
  <si>
    <t>Jin, Y (corresponding author), Tianjin Huanhu Hosp, Tianjin 300060, Peoples R China.</t>
  </si>
  <si>
    <t>huanhu_2015@163.com</t>
  </si>
  <si>
    <t>meng, li/HTQ-7341-2023; meng, li/GVT-2063-2022</t>
  </si>
  <si>
    <t>W B SAUNDERS CO-ELSEVIER INC</t>
  </si>
  <si>
    <t>1600 JOHN F KENNEDY BOULEVARD, STE 1800, PHILADELPHIA, PA 19103-2899 USA</t>
  </si>
  <si>
    <t>0897-1897</t>
  </si>
  <si>
    <t>1532-8201</t>
  </si>
  <si>
    <t>APPL NURS RES</t>
  </si>
  <si>
    <t>Appl. Nurs. Res.</t>
  </si>
  <si>
    <t>10.1016/j.apnr.2015.11.010</t>
  </si>
  <si>
    <t>DL0RM</t>
  </si>
  <si>
    <t>WOS:000375340300020</t>
  </si>
  <si>
    <t>Torrence, R</t>
  </si>
  <si>
    <t>Torrence, Robin</t>
  </si>
  <si>
    <t>Social resilience and long-term adaptation to volcanic disasters: The archaeology of continuity and innovation in the Willaumez Peninsula, Papua New Guinea</t>
  </si>
  <si>
    <t>Volcanic disaster; Resilience; Archaeology; Time scales; Papua New Guinea; Lapita</t>
  </si>
  <si>
    <t>STEMMED TOOLS; GARUA ISLAND; STONE TOOLS; HOLOCENE; BRITAIN; ERUPTIONS; POTTERY; WEST</t>
  </si>
  <si>
    <t>A review of archaeological research on the impacts of multiple volcanic events in the Willaumez Peninsula, Papua New Guinea during the past 40,000 years demonstrates that disaster studies in archaeology would benefit from considering resilience and innovation in addition to the more common emphasis on vulnerability, often glossed as 'collapse.' When analytical time frames are extended beyond the immediate environmental impacts, continuity in cultural practices is often observed. The long-term exchange of obsidian in the Willaumez Peninsula may have been adaptive because the resulting social ties enabled impacted populations to find refuge with other communities. In contrast, a series of novelties were much less resilient. A hypothetical reconstruction of cultural responses to the high magnitude W-K2 volcanic event is used to illustrate how disasters can provide opportunities for innovative behavior leading to culture change. (C) 2014 Elsevier Ltd and INQUA. All rights reserved.</t>
  </si>
  <si>
    <t>[Torrence, Robin] Australian Museum, Geosci &amp; Archaeol, 6 Coll St, Sydney, NSW 2010, Australia; [Torrence, Robin] Univ Sydney, SOPHI, Archaeol, Sydney, NSW 2006, Australia</t>
  </si>
  <si>
    <t>Australian Museum; University of Sydney</t>
  </si>
  <si>
    <t>Torrence, R (corresponding author), Australian Museum, Geosci &amp; Archaeol, 6 Coll St, Sydney, NSW 2010, Australia.;Torrence, R (corresponding author), Univ Sydney, SOPHI, Archaeol, Sydney, NSW 2006, Australia.</t>
  </si>
  <si>
    <t>robin.torrence@austmus.gov.au</t>
  </si>
  <si>
    <t>Australian Research Council; Australian Museum; Pacific Biology Foundation; Australian and Pacific Foundation; Earthwatch Institute; New Britain Palm Oil Ltd.</t>
  </si>
  <si>
    <t>Australian Research Council(Australian Research Council); Australian Museum; Pacific Biology Foundation; Australian and Pacific Foundation; Earthwatch Institute; New Britain Palm Oil Ltd.</t>
  </si>
  <si>
    <t>The research was funded by the Australian Research Council, Australian Museum, Pacific Biology Foundation, Australian and Pacific Foundation, Earthwatch Institute, New Britain Palm Oil Ltd. and greatly assisted by the PNG National Research Institute, PNG National Museum and Art Gallery, University of Papua New Guinea, West New Britain Provincial Cultural Centre, New Britain Palm Oil Ltd, Kimbe Bay Shipping Agencies, Walindi Plantation and Resort, Mahonia Na Dari Research Station and many international and local volunteers. I am especially grateful to colleagues for stimulating discussions about the issues raised here: Bill Boyd, John Grattan, Carol Lentfer, Chris McKee, Vince Neal, Jim Specht and Peter White. I also thank my West New Britain hosts for their long-term support and encouragement. Perceptive comments by the reviewers helped improve my arguments.</t>
  </si>
  <si>
    <t>FEB 11</t>
  </si>
  <si>
    <t>10.1016/j.quaint.2014.04.029</t>
  </si>
  <si>
    <t>Science Citation Index Expanded (SCI-EXPANDED); Social Science Citation Index (SSCI); Arts &amp;amp; Humanities Citation Index (A&amp;amp;HCI)</t>
  </si>
  <si>
    <t>DE7JD</t>
  </si>
  <si>
    <t>WOS:000370811100002</t>
  </si>
  <si>
    <t>Mazzei, MJ; Flynn, CB; Haynie, JJ</t>
  </si>
  <si>
    <t>Mazzei, Matthew J.; Flynn, C. Brian; Haynie, Jeffrey J.</t>
  </si>
  <si>
    <t>Moving beyond initial success: Promoting innovation in small businesses through high-performance work practices</t>
  </si>
  <si>
    <t>BUSINESS HORIZONS</t>
  </si>
  <si>
    <t>Innovation; Entrepreneurial behavior; Strategic human; resource management; High-performance work practices; Small business</t>
  </si>
  <si>
    <t>After firms experience initial success, leaders frequently turn their attention toward producing and selling their products or services more efficiently, likely at the expense of ongoing innovation. This seemingly prudent decision may unintentionally lead firms to become one-hit wonders, effectively limiting their potential success over time. To help prevent a firm's early success from being its only success, small business executives should adopt practices that promote innovation yet don't come at substantial cost given limited financial resources. Focusing on the positive influences of ability, commitment, and feedback, we propose a system of high-performance work practices (HPWPs) as an economical means of encouraging innovative behavior that allows for efficiency without losing an emphasis on creativity and entrepreneurial action. This article outlines and discusses nine specific HPWPs targeted for smaller businesses that are expected to promote and fully realize the potential of employees as the driving force for innovation and sustained success. (C) 2015 Kelley School of Business, Indiana University. Published by Elsevier Inc. All rights reserved.</t>
  </si>
  <si>
    <t>[Mazzei, Matthew J.] Samford Univ, Brock Sch Business, 800 Lakeshore Dr, Birmingham, AL 35229 USA; [Flynn, C. Brian] Univ N Florida, Coggin Coll Business, 1 UNF Dr, Jacksonville, FL 32224 USA; [Haynie, Jeffrey J.] Nicholls State Univ, Coll Business Adm, POB 2015, Thibodaux, LA 70310 USA</t>
  </si>
  <si>
    <t>Samford University; State University System of Florida; University of North Florida; University of Louisiana System; Nicholls State University</t>
  </si>
  <si>
    <t>Mazzei, MJ (corresponding author), Samford Univ, Brock Sch Business, 800 Lakeshore Dr, Birmingham, AL 35229 USA.</t>
  </si>
  <si>
    <t>mmazzei@samford.edu; brian.flynn@unf.edu; jeffrey.haynie@nicholls.edu</t>
  </si>
  <si>
    <t>Flynn, Brian/R-8225-2019</t>
  </si>
  <si>
    <t>0007-6813</t>
  </si>
  <si>
    <t>1873-6068</t>
  </si>
  <si>
    <t>BUS HORIZONS</t>
  </si>
  <si>
    <t>Bus. Horiz.</t>
  </si>
  <si>
    <t>10.1016/j.bushor.2015.08.004</t>
  </si>
  <si>
    <t>DC4OE</t>
  </si>
  <si>
    <t>WOS:000369199400007</t>
  </si>
  <si>
    <t>Delaney, JT; Jarley, P; Fiorito, J</t>
  </si>
  <si>
    <t>Planning for change: Determinants of innovation in US National Unions</t>
  </si>
  <si>
    <t>INDUSTRIAL &amp; LABOR RELATIONS REVIEW</t>
  </si>
  <si>
    <t>ORGANIZATIONAL INNOVATION; ASSOCIATE MEMBERSHIP; CENTRALIZATION; ADOPTION</t>
  </si>
  <si>
    <t>Although it is commonly argued that unions need to innovate in order to grow and achieve success, little is known about the characteristics of unions that facilitate or hinder innovation. The authors of this study develop a model of union innovation and test it using data collected from many sources, including a 1990 survey of 275 officials and staff members from 111 American national unions. The results suggest that certain union characteristics, such as environmental monitoring (systematic monitoring by the union of developments that could affect it) and rationalization (good structuring and management of administrative activities), are positively associated with innovative behavior. In addition, there is a positive relationship between innovation and the heterogeneity of a union's members.</t>
  </si>
  <si>
    <t>LOUISIANA STATE UNIV,BATON ROUGE,LA 70803; FLORIDA STATE UNIV,TALLAHASSEE,FL 32306</t>
  </si>
  <si>
    <t>Louisiana State University System; Louisiana State University; State University System of Florida; Florida State University</t>
  </si>
  <si>
    <t>Delaney, JT (corresponding author), UNIV IOWA,COLL BUSINESS,IOWA CITY,IA 52242, USA.</t>
  </si>
  <si>
    <t>INDUSTRIAL LABOR RELAT REV</t>
  </si>
  <si>
    <t>ITHACA</t>
  </si>
  <si>
    <t>CORNELL UNIV, ITHACA, NY 14851-0952</t>
  </si>
  <si>
    <t>0019-7939</t>
  </si>
  <si>
    <t>IND LABOR RELAT REV</t>
  </si>
  <si>
    <t>Ind. Labor Relat. Rev.</t>
  </si>
  <si>
    <t>10.2307/2524512</t>
  </si>
  <si>
    <t>Industrial Relations &amp; Labor</t>
  </si>
  <si>
    <t>UY511</t>
  </si>
  <si>
    <t>WOS:A1996UY51100001</t>
  </si>
  <si>
    <t>McGourty, J; Tarshis, LA; Dominick, P</t>
  </si>
  <si>
    <t>Managing innovation: Lessons from world class organizations</t>
  </si>
  <si>
    <t>5th International Forum on Technology Management</t>
  </si>
  <si>
    <t>JUN 07-08, 1995</t>
  </si>
  <si>
    <t>HELSINKI, FINLAND</t>
  </si>
  <si>
    <t>innovation; idea generation; innovation management; behavioral models; R&amp;D competencies</t>
  </si>
  <si>
    <t>This paper presents a model of innovation based on both theory and research that provides a framework for facilitating this important activity within organizations. One of the model's unique features is that it prescribes a series of behaviors found to be prominently manifested by R&amp;D scientists and engineers employed by our sample of highly successful innovative companies. The model further postulates how the individual behaviors are propagated by management practices that, in time, alter the behavioral expectations of employees regarding these critical behaviors and lead to an ''innovative culture''. The research suggests that an organization's culture can be modified to encourage innovative behaviors through specific management practices.</t>
  </si>
  <si>
    <t>McGourty, J (corresponding author), AAI,23 VREELAND RD,FLORHAM PK,NJ 07932, USA.</t>
  </si>
  <si>
    <t>GENEVA AEROPORT</t>
  </si>
  <si>
    <t>WORLD TRADE CENTER BLDG 110 AVE LOUIS CASAI CP 306, CH-1215 GENEVA AEROPORT, SWITZERLAND</t>
  </si>
  <si>
    <t>Conference Proceedings Citation Index - Social Science &amp;amp; Humanities (CPCI-SSH); Science Citation Index Expanded (SCI-EXPANDED); Social Science Citation Index (SSCI)</t>
  </si>
  <si>
    <t>UJ963</t>
  </si>
  <si>
    <t>WOS:A1996UJ96300010</t>
  </si>
  <si>
    <t>Zhang, Y; Yang, F</t>
  </si>
  <si>
    <t>Zhang, Ying; Yang, Fu</t>
  </si>
  <si>
    <t>How and when spiritual leadership enhances employee innovative behavior</t>
  </si>
  <si>
    <t>Spiritual leadership; Innovative behavior; Autonomous motivation; Power distance orientation; Self-determination theory</t>
  </si>
  <si>
    <t>SELF-DETERMINATION; POWER DISTANCE; CULTURAL-VALUES; MEDIATING ROLE; METHOD BIAS; SATISFACTION; ORIENTATION; PERSPECTIVE; COMMITMENT; CREATIVITY</t>
  </si>
  <si>
    <t>Purpose The purpose of this research is to examine the relationship between spiritual leadership and employee innovative behavior by testing the mediating role of autonomous motivation and the moderating role of employee power distance orientation. Design/methodology/approach The author predicted an indirect relationship between spiritual leadership and employee innovative behavior via autonomous motivation. Also, the author predicted the positive effect of spiritual leadership on employee innovative behavior will be stronger when employee power distance orientation is high. Hypotheses are tested with data gathered from 174 participants. Findings Results showed that spiritual leadership was positively related to employee innovative behavior via autonomous motivation. And, the positive relationship between spiritual leadership and autonomous motivation was stronger when employee power distance orientation was high. Furthermore, the indirect effect of autonomous motivation was stronger when employee power distance orientation was high. Research limitations/implications This study provides a new theoretical perspective - self-determination theory - to test how and when spiritual leadership enhances employee innovative behavior by suggesting autonomous motivation as a mediator and employee power distance orientation as a boundary condition. Practical implications The results of this research provide suggestions for leaders to adopt spiritual leadership as well as enhance interactions between them and employees to increase employee innovative behavior. Originality/value This study highlights the moderating role of employee power distance orientation and uses self-determination theory to examine how and when spiritual leadership plays a positive role.</t>
  </si>
  <si>
    <t>[Zhang, Ying] Renmin Univ China, Sch Lab &amp; Human Resources, Beijing, Peoples R China; [Yang, Fu] Southwestern Univ Finance &amp; Econ, Sch Business Adm, Chengdu, Peoples R China</t>
  </si>
  <si>
    <t>Renmin University of China; Southwestern University of Finance &amp; Economics - China</t>
  </si>
  <si>
    <t>Yang, F (corresponding author), Southwestern Univ Finance &amp; Econ, Sch Business Adm, Chengdu, Peoples R China.</t>
  </si>
  <si>
    <t>yfu@swufe.edu.cn</t>
  </si>
  <si>
    <t>Yang, Fu/0000-0003-4385-2011</t>
  </si>
  <si>
    <t>National Natural Science Foundation of China [71502141]; Research Planning Foundation Project of Humanities and Social Sciences of Ministry of Education in China [20YJA630077]</t>
  </si>
  <si>
    <t>National Natural Science Foundation of China(National Natural Science Foundation of China (NSFC)); Research Planning Foundation Project of Humanities and Social Sciences of Ministry of Education in China</t>
  </si>
  <si>
    <t>This research was supported by the National Natural Science Foundation of China (Grant/Award Number: 71502141) and the Research Planning Foundation Project of Humanities and Social Sciences of Ministry of Education in China (Grant/Award Number: 20YJA630077) awarded to Fu Yang.</t>
  </si>
  <si>
    <t>FEB 5</t>
  </si>
  <si>
    <t>10.1108/PR-07-2019-0346</t>
  </si>
  <si>
    <t>QF4NQ</t>
  </si>
  <si>
    <t>WOS:000556904900001</t>
  </si>
  <si>
    <t>De Clercq, D; Pereira, R</t>
  </si>
  <si>
    <t>De Clercq, Dirk; Pereira, Renato</t>
  </si>
  <si>
    <t>Knowledge-sharing efforts and employee creative behavior: the invigorating roles of passion for work, time sufficiency and procedural justice</t>
  </si>
  <si>
    <t>Africa; Passion for work; Procedural justice; Knowledge sharing; Conservation of resources theory; Creative behavior; Time sufficiency</t>
  </si>
  <si>
    <t>ORGANIZATIONAL CITIZENSHIP BEHAVIOR; TRANSFORMATIONAL LEADERSHIP; PROACTIVE PERSONALITY; PSYCHOLOGICAL SAFETY; INNOVATIVE BEHAVIOR; GOAL ORIENTATION; BUFFERING ROLES; MODERATING ROLE; TASK CONFLICT; JOB DEMANDS</t>
  </si>
  <si>
    <t>Purpose Drawing from the conservation of resources theory, this study aims to investigate the relationship between employees' knowledge-sharing efforts and creative behaviors; particularly, it addresses how this relationship may be invigorated by three resources that operate at individual (passion for work), job (time sufficiency) and organizational (procedural justice) levels. Design/methodology/approach Quantitative data were collected through a survey administered to employees in a banking organization in Mozambique. Findings The usefulness of knowledge-sharing efforts for stimulating creative behavior is greater when employees feel passionate about work, have sufficient time to complete their job tasks and perceive that organizational decision-making is fair. Practical implications The results inform organizations about the circumstances in which the application of employees' collective knowledge bases, derived from their peer interactions, to the generation of novel solutions for problem situations is more likely to materialize. Originality/value By detailing the interactive routes by which knowledge-sharing efforts and distinct resources (passion for work, time sufficiency and procedural justice) promote employee creative behavior, this study extends prior research that has focused on the direct influences of these resources on knowledge sharing and creative work outcomes. It pinpoints the circumstances in which intra-organizational knowledge exchange can generate the greatest value, in terms of enhancing creativity.</t>
  </si>
  <si>
    <t>[De Clercq, Dirk] Brock Univ, Goodman Sch Business, St Catharines, ON, Canada; [Pereira, Renato] Observare Res Ctr, Lisbon, Portugal; [Pereira, Renato] Inst Univ Lisboa, ISCTE Business Sch, Lisbon, Portugal</t>
  </si>
  <si>
    <t>Brock University; Instituto Universitario de Lisboa</t>
  </si>
  <si>
    <t>De Clercq, D (corresponding author), Brock Univ, Goodman Sch Business, St Catharines, ON, Canada.</t>
  </si>
  <si>
    <t>ddeclercq@brocku.ca; Renato.Pereira@iscte-iul.pt</t>
  </si>
  <si>
    <t>Pereira, Renato/ABH-3447-2020</t>
  </si>
  <si>
    <t>Pereira, Ruth/0000-0001-6857-5968</t>
  </si>
  <si>
    <t>10.1108/JKM-06-2019-0274</t>
  </si>
  <si>
    <t>MB7OF</t>
  </si>
  <si>
    <t>WOS:000536358400001</t>
  </si>
  <si>
    <t>Zheng, JW; Wu, GD; Xie, HT; Li, HY</t>
  </si>
  <si>
    <t>Zheng, Junwei; Wu, Guangdong; Xie, Hongtao; Li, Hongyang</t>
  </si>
  <si>
    <t>Leadership, organizational culture, and innovative behavior in construction projects: The perspective of behavior-value congruence</t>
  </si>
  <si>
    <t>INTERNATIONAL JOURNAL OF MANAGING PROJECTS IN BUSINESS</t>
  </si>
  <si>
    <t>Leadership; Construction management; Organizational culture; Innovation management</t>
  </si>
  <si>
    <t>SOCIAL COGNITIVE THEORY; TRANSFORMATIONAL LEADERSHIP; PERSON-ORGANIZATION; MEDIATING ROLE; TEMPORARY ORGANIZATIONS; CHARISMATIC LEADERSHIP; POLYNOMIAL REGRESSION; HORIZONTAL LEADERSHIP; CITIZENSHIP BEHAVIOR; TEAM EFFECTIVENESS</t>
  </si>
  <si>
    <t>Purpose The purpose of this paper is to examine the joint congruence effect of leadership styles and organizational culture on project members' innovative behaviors in the construction projects setting. Design/methodology/approach The proposed hypotheses are tested using polynomial regression with a sample of 217 project managers and employees of different construction projects in China, and plotted through response surface analysis. Findings The results of polynomial regressions support the congruence effect hypothesis, indicating that more innovative behaviors of the project members could be elicited by a high level of congruence between transformational or transactional leadership styles and organizational culture. Furthermore, asymmetrical incongruence effects are found wherein project members with lower levels of innovative behaviors when project organizational culture is stronger as compared with when two leadership styles are at higher levels. Specifically, the condition is found under the innovation dimension of organization culture, but higher level of innovative behavior conversely displays when the harmony culture is weaker than two leadership styles. Research limitations/implications The conceptual model and hypotheses are examined by analyzing cross-sectional and self-reported data collected in China. The findings could be further examined through multi-source or longitudinal, more systematic research. Practical implications The findings highlight the pivotal role played by the value congruence of leaders-organizations in motivating employees to be innovative in project organizations. This paper provides knowledge for project managers to help them understand whether and how project members' innovative behaviors are better motivated by the fit or misfit between the styles of leadership and project organizational cultures. Besides, this study provides the approach or direction for the project leaders training. Originality/value This study is one of the first to examine the joint effects of leadership styles and organizational culture on innovative behavior based on the person-organization fit theory and from the perspective of value congruence.</t>
  </si>
  <si>
    <t>[Zheng, Junwei; Xie, Hongtao] Kunming Univ Sci &amp; Technol, Fac Civil Engn &amp; Mech, Kunming, Yunnan, Peoples R China; [Wu, Guangdong] Chongqing Univ, Sch Publ Affairs, Chongqing, Peoples R China; [Li, Hongyang] South China Univ Technol, Sch Civil Engn &amp; Transportat, Guangzhou, Guangdong, Peoples R China</t>
  </si>
  <si>
    <t>Kunming University of Science &amp; Technology; Chongqing University; South China University of Technology</t>
  </si>
  <si>
    <t>Wu, GD (corresponding author), Chongqing Univ, Sch Publ Affairs, Chongqing, Peoples R China.</t>
  </si>
  <si>
    <t>gd198410@163.com</t>
  </si>
  <si>
    <t>Zheng, Junwei/R-7647-2017</t>
  </si>
  <si>
    <t>Zheng, Junwei/0000-0002-1621-8210</t>
  </si>
  <si>
    <t>National Natural Science Foundation of China [71701083, 71761021, 71561009]; Humanities and Social Sciences Training Program in Kunming University of Science and Technology [skpyyb201721]</t>
  </si>
  <si>
    <t>National Natural Science Foundation of China(National Natural Science Foundation of China (NSFC)); Humanities and Social Sciences Training Program in Kunming University of Science and Technology</t>
  </si>
  <si>
    <t>The authors wish to thank editor Drouin, Nathalie and two anonymous reviewers for very helpful suggestions. Further, this study is supported by the National Natural Science Foundation of China (71701083, 71761021 and 71561009), Humanities and Social Sciences Training Program in Kunming University of Science and Technology (skpyyb201721).</t>
  </si>
  <si>
    <t>1753-8378</t>
  </si>
  <si>
    <t>1753-8386</t>
  </si>
  <si>
    <t>INT J MANAG PROJ BUS</t>
  </si>
  <si>
    <t>Int. J. Manag. Proj. Bus.</t>
  </si>
  <si>
    <t>DEC 2</t>
  </si>
  <si>
    <t>10.1108/IJMPB-04-2018-0068</t>
  </si>
  <si>
    <t>JN4OK</t>
  </si>
  <si>
    <t>WOS:000496878300003</t>
  </si>
  <si>
    <t>Afsar, B; Cheema, S; Bin Saeed, B</t>
  </si>
  <si>
    <t>Afsar, Bilal; Cheema, Sadia; Bin Saeed, Bilal</t>
  </si>
  <si>
    <t>Do nurses display innovative work behavior when their values match with hospitals' values?</t>
  </si>
  <si>
    <t>Innovation; Knowledge sharing; Work psychology</t>
  </si>
  <si>
    <t>PERSON-ORGANIZATION FIT; PSYCHOLOGICAL EMPOWERMENT; HEALTH-CARE; TRANSFORMATIONAL LEADERSHIP; JOB-SATISFACTION; MODERATING ROLE; MEDIATING ROLE; KNOWLEDGE; CONSEQUENCES; PRODUCTIVITY</t>
  </si>
  <si>
    <t>Purpose - The purpose of this paper is to draw on organizational psychology, innovation and knowledge management literatures to investigate the impact of a nurse's person-organization (P-O) fit on his/her innovative work behavior (IWB). Furthermore, in order to understand the psychological mechanisms surrounding this relationship, the authors examine the mediating role of psychological empowerment and the moderating role of knowledge sharing behavior. Design/methodology/approach - Data were collected from 441 nurses and 73 doctors through structured questionnaires from four public sector hospitals in Thailand. Findings - Results of the study indicate that nurse's P-O fit is positively related to both self (nurse) and doctor's ratings of innovative behaviors and that psychological empowerment mediates this relationship. These results imply that a nurse's perception of value congruence impacts his/her perception about feeling of empowerment, which in turn helps in engaging him/her into acts of innovativeness more often. The results also show that the relationship between P-O fit and IWB is stronger among nurses who frequently share their best practices and mistakes with co-workers. Originality/value - Employee involvement in innovative work is of crucial importance for organization's competitiveness, especially in the nursing profession. The compatibility between personal and organizational values is a vital ingredient of our personal, social and professional worlds. Although research has identified some antecedents of nurses' IWB, it is unclear how P-O fit influence nurses' IWB. Nurses with stronger value congruence when empowered psychologically may respond more effectively to display IWBs in current dynamic and challenging public health care work environments.</t>
  </si>
  <si>
    <t>[Afsar, Bilal] Hazara Univ, Dept Management Sci, Mansehra, Pakistan; [Cheema, Sadia] Natl Coll Business Adm &amp; Econ, Multan, Pakistan; [Bin Saeed, Bilal] COMSATS Inst Informat Technol, Dept Management Sci, Abbottabad, Pakistan</t>
  </si>
  <si>
    <t>Hazara University; COMSATS University Islamabad (CUI)</t>
  </si>
  <si>
    <t>Afsar, B (corresponding author), Hazara Univ, Dept Management Sci, Mansehra, Pakistan.</t>
  </si>
  <si>
    <t>afsarbilalait@gmail.com</t>
  </si>
  <si>
    <t>Ehtisham, Sadia/ABE-7716-2021; Bin Saeed, Bilal/AAQ-2783-2020; Afsar, Bilal/AAU-6522-2020</t>
  </si>
  <si>
    <t>Ehtisham, Sadia/0000-0001-6411-8284; , Bilal/0000-0002-7718-0690</t>
  </si>
  <si>
    <t>10.1108/EJIM-01-2017-0007</t>
  </si>
  <si>
    <t>FQ0HP</t>
  </si>
  <si>
    <t>WOS:000418036100008</t>
  </si>
  <si>
    <t>Gu, HM; Duverger, P; Yu, L</t>
  </si>
  <si>
    <t>Gu, Huimin; Duverger, Philippe; Yu, Larry</t>
  </si>
  <si>
    <t>Can innovative behavior be led by management? A study from the lodging business</t>
  </si>
  <si>
    <t>Leadership; Innovative behavior; Organizational commitment; Tenure; Moderated mediation</t>
  </si>
  <si>
    <t>LEADER-MEMBER EXCHANGE; TRANSFORMATIONAL LEADERSHIP; ORGANIZATIONAL COMMITMENT; TRANSACTIONAL LEADERSHIP; EMPLOYEE CREATIVITY; PSYCHOLOGICAL EMPOWERMENT; MEDIATING ROLE; NORMATIVE COMMITMENT; CITIZENSHIP BEHAVIOR; INTRINSIC MOTIVATION</t>
  </si>
  <si>
    <t>This study examined the effects of hotel management leadership on employee innovative behavior in Chinese hotel organizations. Using a dyadic sample of 164 hotel supervisors and 603 service employees at 23 four-star and five-star hotels in 11 Chinese cities, we investigated whether organizational commitment mediated the effects of leadership on employee innovative behavior. We also examined how organizational tenure moderated leadership and innovative behavior through organizational commitment. Findings from our moderated-mediation model revealed that organizational commitment mediated the relationship between leadership and innovative behavior. Similarly, organizational tenure moderated the relationship between leadership and organizational commitment: there was a stronger relationship for long-tenured employees and a weaker relationship for short-tenured employees. However, the effect of higher leadership on organizational commitment was stronger for short-tenured employees than long-tenured employees. Our results spotlight the importance of fostering organizational commitment, which directly affects innovative behavior and through which supervisors can influence individual innovative behavior. (C) 2017 Elsevier Ltd. All rights reserved.</t>
  </si>
  <si>
    <t>[Gu, Huimin] Beijing Int Studies Univ, Beijing, Peoples R China; [Duverger, Philippe] Towson Univ, Towson, MD USA; [Yu, Larry] George Washington Univ, Washington, DC 20052 USA</t>
  </si>
  <si>
    <t>Beijing International Studies University; University System of Maryland; Towson University; George Washington University</t>
  </si>
  <si>
    <t>Yu, L (corresponding author), George Washington Univ, Washington, DC 20052 USA.</t>
  </si>
  <si>
    <t>lyu@gwu.edu</t>
  </si>
  <si>
    <t>Yu, Larry/R-2652-2019</t>
  </si>
  <si>
    <t>Beijing Great Wall Scholar Grant; Humanities and Social Sciences of Ministry of Education Planning [11YJA630022]</t>
  </si>
  <si>
    <t>Beijing Great Wall Scholar Grant; Humanities and Social Sciences of Ministry of Education Planning</t>
  </si>
  <si>
    <t>This research was supported by the Beijing Great Wall Scholar Grant (2014-2016) and the Humanities and Social Sciences of Ministry of Education Planning Grant under Project No. 11YJA630022. We are grateful to the three anonymous reviewers for their helpful comments on earlier drafts, which greatly improved the paper.</t>
  </si>
  <si>
    <t>10.1016/j.tourman.2017.06.010</t>
  </si>
  <si>
    <t>FE4IP</t>
  </si>
  <si>
    <t>WOS:000408177900017</t>
  </si>
  <si>
    <t>Reynard, JP; Discamps, E; Wurz, S; van Niekerk, KL; Badenhorst, S; Henshilwood, CS</t>
  </si>
  <si>
    <t>Reynard, Jerome P.; Discamps, Emmanuel; Wurz, Sarah; van Niekerk, Karen L.; Badenhorst, Shaw; Henshilwood, Christopher S.</t>
  </si>
  <si>
    <t>Occupational intensity and environmental changes during the Howiesons Poort at Klipdrift Shelter, southern Cape, South Africa</t>
  </si>
  <si>
    <t>PALAEOGEOGRAPHY PALAEOCLIMATOLOGY PALAEOECOLOGY</t>
  </si>
  <si>
    <t>Middle Stone Age; Howiesons Poort; Zooarchaeology; Southern Cape palaeoenvironment; Occupational intensity; Marine Isotope Stage 4</t>
  </si>
  <si>
    <t>MIDDLE STONE-AGE; MODERN HUMAN-BEHAVIOR; WESTERN-CAPE; BLOMBOS CAVE; PINNACLE POINT; STILL BAY; TAPHONOMIC ANALYSIS; MARINE RESOURCES; PLANT DIVERSITY; LATE QUATERNARY</t>
  </si>
  <si>
    <t>The Howiesons Poort, characterised by sophisticated lithic technologies and evidence of innovative behaviours, was a significant cultural phase in southern Africa during Marine Isotope Stage 4. It also coincided with substantial palaeoenvironmental and possible demographic changes in the southern Cape of South Africa, especially with regard to the shifting palaeo-coastline off the Agulhas Bank. The newly-excavated Klipdrift Shelter in the southern Cape presents a rare opportunity to compare faunal, lithic and palaeoenvironmental evidence from a single Howiesons Poort site along the present-day southern coast of South Africa. Here, we use faunal data from Klipdrift Shelter to explore the relationship between occupational intensity, subsistence behaviour and environment in the southern Cape during the Howiesons Poort period. Our results suggest a shift from a mixed terrain/browse-dominated environment during the earlier Howiesons Poort to open grasslands in the mid-later Howiesons Poort. This environmental shift corresponds to potential changes in occupational intensity or frequency throughout the sequence with evidence of increased occupations associated with grassier environments. Aspects of the cultural sequence, for example raw material procurement strategies, may be associated with shifting environmental conditions. The faunal evidence suggests links between occupation, environment and prey selection at Klipdrift. This raises interesting questions about the interplay between population density and the environment of the southern Cape, and its influence on subsistence behaviour during Marine Isotope Stage 4. (C) 2016 Elsevier B.V. All rights reserved.</t>
  </si>
  <si>
    <t>[Reynard, Jerome P.; Wurz, Sarah; van Niekerk, Karen L.; Henshilwood, Christopher S.] Univ Witwatersrand, Evolutionary Studies Inst, Private Bag 3, ZA-2050 Johannesburg, South Africa; [Reynard, Jerome P.; Wurz, Sarah] Univ Witwatersrand, Sch Geog Archaeol &amp; Environm Studies, Private Bag 3, ZA-2050 Johannesburg, South Africa; [Discamps, Emmanuel; van Niekerk, Karen L.; Henshilwood, Christopher S.] Univ Bergen, Inst Archaeol Hist Cultural Studies &amp; Relig, Oysteinsgate 3,Postboks 7805, N-5020 Bergen, Norway; [Discamps, Emmanuel] Univ Bordeaux, PACEA, CNRS, F-33405 Talence, France; [Badenhorst, Shaw] Ditsong Natl Museum Nat Hist, 432 Paul Kruger St, ZA-0001 Pretoria, South Africa; [Badenhorst, Shaw] Univ S Africa, Dept Anthropol &amp; Archaeol, POB 392, ZA-0003 Unisa, South Africa</t>
  </si>
  <si>
    <t>University of Witwatersrand; University of Witwatersrand; University of Bergen; Centre National de la Recherche Scientifique (CNRS); UDICE-French Research Universities; Universite de Bordeaux; University of South Africa</t>
  </si>
  <si>
    <t>Reynard, JP (corresponding author), Univ Witwatersrand, Evolutionary Studies Inst, Private Bag 3, ZA-2050 Johannesburg, South Africa.</t>
  </si>
  <si>
    <t>jeromereynard@gmail.com</t>
  </si>
  <si>
    <t>Reynard, Jerome/AGV-6706-2022; Henshilwood, Christopher S/K-3806-2014; van Niekerk, Karen/J-3511-2015; Badenhorst, Shaw/HGC-7123-2022</t>
  </si>
  <si>
    <t>Reynard, Jerome/0000-0002-7092-2188; Henshilwood, Christopher S/0000-0002-2818-293X; van Niekerk, Karen/0000-0003-2261-6861; Badenhorst, Shaw/0000-0002-6651-9660; Discamps, Emmanuel/0000-0002-2464-0761; Wurz, Sarah/0000-0002-0949-5391</t>
  </si>
  <si>
    <t>South African National Research Foundation/Department of Science and Technology; Palaeontological Scientific Trust (PAST) grant; National Research Foundation; University of Bergen; European Research Council [249587]</t>
  </si>
  <si>
    <t>South African National Research Foundation/Department of Science and Technology; Palaeontological Scientific Trust (PAST) grant; National Research Foundation; University of Bergen; European Research Council(European Research Council (ERC)European Commission)</t>
  </si>
  <si>
    <t>Funding for this study was provided by a South African National Research Foundation/Department of Science and Technology-funded Chair in Modern Human Origins at the University of the Witwatersrand, South Africa held by CSH. Doctoral support for JPR came from this chair and a Palaeontological Scientific Trust (PAST) grant. SW's contribution is based on research supported by the National Research Foundation. Financial support for CSH, KvN and ED was provided by the University of Bergen and a European Research Council Advanced Grant, TRACSYMBOLS No. 249587, awarded under the FP7 programme to CSH. We thank the staff at the Ditsong National Museum of Natural History for access to the comparative collections. We also thank J. Tyler Faith (reviewer), John Compton and Gerrit Dusseldorp (reviewer) for their useful comments and suggestions. Special thanks to Magnus Haaland for designing the topographic and stratigraphic maps in Fig. 2 and to Willem de Wet for access to his bathymetric data and maps. Any opinion, finding, conclusion or recommendation expressed in this material is that of the authors and the National Research Foundation does not accept any liability in this regard.</t>
  </si>
  <si>
    <t>0031-0182</t>
  </si>
  <si>
    <t>1872-616X</t>
  </si>
  <si>
    <t>PALAEOGEOGR PALAEOCL</t>
  </si>
  <si>
    <t>Paleogeogr. Paleoclimatol. Paleoecol.</t>
  </si>
  <si>
    <t>MAY 1</t>
  </si>
  <si>
    <t>10.1016/j.palaeo.2016.02.035</t>
  </si>
  <si>
    <t>Geography, Physical; Geosciences, Multidisciplinary; Paleontology</t>
  </si>
  <si>
    <t>Physical Geography; Geology; Paleontology</t>
  </si>
  <si>
    <t>DJ7AN</t>
  </si>
  <si>
    <t>WOS:000374364400028</t>
  </si>
  <si>
    <t>Gonzalez, R; Llopis, J; Gasco, J</t>
  </si>
  <si>
    <t>Gonzalez, Reyes; Llopis, Juan; Gasco, Jose</t>
  </si>
  <si>
    <t>Innovation in public services: The case of Spanish local government</t>
  </si>
  <si>
    <t>Innovation; Public administration; Strategy; Spain</t>
  </si>
  <si>
    <t>ORGANIZATIONAL PERFORMANCE; MANAGEMENT INNOVATION; MUNICIPAL-GOVERNMENT; EMPIRICAL-ANALYSIS; STRATEGY CONTENT; DIFFUSION; MODEL; ADOPTION; IMPACT</t>
  </si>
  <si>
    <t>The present paper aims to determine the level of implementation of innovations in Spanish local government as well as to identify which types of innovations are most common. The paper also considers the link between innovative behavior and organizational size. However, since innovations cannot occur as isolated phenomena but rather as a part of corporate strategy, the study compares the innovative behavior of the local governments analyzed with their typologies or strategic profiles. In order to achieve the aforementioned aims, the paper uses a survey of the Human Resource Managers of Town Halls in the largest Spanish municipalities. The results of this survey show that the most frequent innovations in the local governments analyzed are collaborative; the largest town halls show more propensities to innovate and they focus on external relationships which are collaborative and on the basis on Information and Communication Technologies. The study reconfirms that town halls with a prospective profile are the most innovative. (C) 2013 Elsevier Inc. All rights reserved.</t>
  </si>
  <si>
    <t>[Gonzalez, Reyes; Llopis, Juan; Gasco, Jose] Univ Alicante, E-03080 Alicante, Spain</t>
  </si>
  <si>
    <t>Universitat d'Alacant</t>
  </si>
  <si>
    <t>Gonzalez, R (corresponding author), Univ Alicante, Business Org Dept, Campus St Vicent del Raspeig S-N, E-03080 Alicante, Spain.</t>
  </si>
  <si>
    <t>mr.gonzalez@ua.es; juan.llopis@ua.es; jl.gasco@ua.es</t>
  </si>
  <si>
    <t>González-Ramírez, Reyes/L-1893-2014; Gascó, José/L-1794-2014; Llopis, Juan/L-7976-2014</t>
  </si>
  <si>
    <t>González-Ramírez, Reyes/0000-0002-9758-7957; Gascó, José/0000-0003-2461-7702; Llopis, Juan/0000-0001-7685-9901</t>
  </si>
  <si>
    <t>10.1016/j.jbusres.2013.02.028</t>
  </si>
  <si>
    <t>174RA</t>
  </si>
  <si>
    <t>WOS:000321171900043</t>
  </si>
  <si>
    <t>Ferguson, DM; Ohland, MW</t>
  </si>
  <si>
    <t>Ferguson, Daniel M.; Ohland, Matthew W.</t>
  </si>
  <si>
    <t>What is Engineering Innovativeness?</t>
  </si>
  <si>
    <t>INTERNATIONAL JOURNAL OF ENGINEERING EDUCATION</t>
  </si>
  <si>
    <t>creativity; innovation, problem solving; engineering design education</t>
  </si>
  <si>
    <t>DELPHI METHOD; DESIGN; CREATIVITY</t>
  </si>
  <si>
    <t>An innovation is the implementation of a new or significantly improved product (good or service), process, marketing method, or organizational method in business practices, workplace organization or external relations'. Acting as innovators and as the translators of new or existing technology into innovations that benefit society is the torch that engineers are expected to carry. Multiple vague and overlapping definitions of innovative behavior by engineers lead to much confusion in our society over the role that engineers play or can play in the innovation process. In this paper we explore the innovative behavior of engineers and the relationship of that innovative behavior with the creative, problem solving, design and entrepreneurial behavior of engineers. These different perspectives of defining the innovative behavior of engineers, or, as we call it, 'innovativeness' in engineers, illustrate the societal confusion over the definition of innovative behavior by engineers. The key question that we propose to answer is: 'What set of intrinsic abilities (skills, knowledge, personality traits, or attributes) when combined with domain knowledge, experience and other extrinsic factors enable and inspire engineers to create innovations that benefit society?'</t>
  </si>
  <si>
    <t>[Ferguson, Daniel M.; Ohland, Matthew W.] Purdue Univ, Sch Engn Educ, W Lafayette, IN 47907 USA</t>
  </si>
  <si>
    <t>Ferguson, DM (corresponding author), Purdue Univ, Sch Engn Educ, W Lafayette, IN 47907 USA.</t>
  </si>
  <si>
    <t>dfergus@purdue.edu; ohland@purdue.edu</t>
  </si>
  <si>
    <t>Ohland, Matthew/0000-0003-4052-1452</t>
  </si>
  <si>
    <t>Division Of Undergraduate Education; Direct For Education and Human Resources [0817403] Funding Source: National Science Foundation</t>
  </si>
  <si>
    <t>Division Of Undergraduate Education; Direct For Education and Human Resources(National Science Foundation (NSF)NSF - Directorate for STEM Education (EDU))</t>
  </si>
  <si>
    <t>TEMPUS PUBLICATIONS</t>
  </si>
  <si>
    <t>DURRUS, BANTRY</t>
  </si>
  <si>
    <t>IJEE , ROSSMORE,, DURRUS, BANTRY, COUNTY CORK 00000, IRELAND</t>
  </si>
  <si>
    <t>0949-149X</t>
  </si>
  <si>
    <t>INT J ENG EDUC</t>
  </si>
  <si>
    <t>Int. J. Eng. Educ</t>
  </si>
  <si>
    <t>Education, Scientific Disciplines; Engineering, Multidisciplinary</t>
  </si>
  <si>
    <t>Education &amp; Educational Research; Engineering</t>
  </si>
  <si>
    <t>923UY</t>
  </si>
  <si>
    <t>WOS:000302646600006</t>
  </si>
  <si>
    <t>Antczak, M; Hromada, M; Czechowski, P; Tabor, J; Zabocki, P; Grzybek, J; Tryjanowski, P</t>
  </si>
  <si>
    <t>Antczak, Marcin; Hromada, Martin; Czechowski, Pawe; Tabor, Jacek; Zabocki, Piotr; Grzybek, Jerzy; Tryjanowski, Piotr</t>
  </si>
  <si>
    <t>A new material for old solutions-the case of plastic string used in Great Grey Shrike nests</t>
  </si>
  <si>
    <t>ACTA ETHOLOGICA</t>
  </si>
  <si>
    <t>Nest material; Animal innovation; Costs of innovation; Farmland; Lanius excubitor; Conservation</t>
  </si>
  <si>
    <t>LANIUS-EXCUBITOR; INNOVATION; FEATHERS; SUCCESS; BIRDS</t>
  </si>
  <si>
    <t>Innovative behaviours are defined as new behaviour patterns derived by the modification of pre-existing ones. To date, studies of animal innovation have focussed mainly on foraging activity. In this paper, we focussed on the innovative use of a new material-man-made plastic (polypropylene) string-in nest construction by a solitary nesting, territorial species, the Great Grey Shrike Lanius excubitor. An analysis of field data collected during the years 1999-2006 during intensive shrike research in Poland, as well as of nest record cards since 1964, suggests that plastic string has been a very popular nest material since the 1980s. Recently, plastic string was used significantly more often by shrikes living in intensive farmland habitats than by those in more natural meadows. We discuss the possible benefits of the use of plastic string, such as strengthening the nest structure and therefore helping to protect eggs and nestlings from inclement weather conditions, such as strong winds. On the other hand, the use of plastic string has a real cost for breeding Great Grey Shrikes because both adult birds and nestlings may get tangled in it.</t>
  </si>
  <si>
    <t>[Antczak, Marcin; Grzybek, Jerzy] Adam Mickiewicz Univ, Dept Behav Ecol, PL-61614 Poznan, Poland; [Hromada, Martin] Univ S Bohemia, Dept Zool, Fac Sci, Ceske Budejovice 37005, Czech Republic; [Czechowski, Pawe] State Higher Vocat Sch Sulechow, Inst Tourism &amp; Recreat, PL-66100 Sulechow, Poland; [Tabor, Jacek] Spala Landscape Pk, PL-97215 Inowlodz, Poland; [Zabocki, Piotr] Opole Silesia Museum, Dept Nat Hist, PL-45023 Opole, Poland; [Tryjanowski, Piotr] Poznan Univ Life Sci, Inst Zool, PL-60625 Poznan, Poland</t>
  </si>
  <si>
    <t>Adam Mickiewicz University; University of South Bohemia Ceske Budejovice; Poznan University of Life Sciences</t>
  </si>
  <si>
    <t>Antczak, M (corresponding author), Adam Mickiewicz Univ, Dept Behav Ecol, Umultowska 89, PL-61614 Poznan, Poland.</t>
  </si>
  <si>
    <t>antek@amu.edu.pl</t>
  </si>
  <si>
    <t>Hromada, Martin/I-7409-2019; Antczak, Marcin/F-1204-2011</t>
  </si>
  <si>
    <t>Hromada, Martin/0000-0002-5626-1205; Tryjanowski, Piotr/0000-0002-8358-0797</t>
  </si>
  <si>
    <t>GEF/SGP Poland; University of South Bohemia [GAJU 60/2001/P-BF, SGA 2003];  [6PO4F 046 21];  [6PO4F 053 25];  [SGA 2000];  [MSM6007665801]</t>
  </si>
  <si>
    <t xml:space="preserve">GEF/SGP Poland; University of South Bohemia; ; ; ; </t>
  </si>
  <si>
    <t>During our study on shrikes, many people and organisations supported us. We are very grateful to K. and M. Antczak, as well as PSNP Salamandra (particularly E. Olejnik and A. Kepel) for technical, financial and accommodation help. Lizzy Carroll and Tim Sparks kindly improved the English. We also thank three referees, especially L. Lefebvre for fruitful comments and suggestions. Studies on the breeding biology of the Great Grey Shrike in western Poland were supported by grants KBN 6PO4F 046 21 and 6PO4F 053 25, GEF/SGP Poland for PT, GAJU 60/2001/P-BF and SGA 2003 of University of South Bohemia for MA and SGA 2000 and MSM6007665801 for MH. The paper is dedicated to the memory of the late Prof. Zdenek Veselovsky.</t>
  </si>
  <si>
    <t>0873-9749</t>
  </si>
  <si>
    <t>1437-9546</t>
  </si>
  <si>
    <t>ACTA ETHOL</t>
  </si>
  <si>
    <t>Acta Ethol.</t>
  </si>
  <si>
    <t>10.1007/s10211-010-0077-2</t>
  </si>
  <si>
    <t>Behavioral Sciences; Zoology</t>
  </si>
  <si>
    <t>664NM</t>
  </si>
  <si>
    <t>WOS:000282968500003</t>
  </si>
  <si>
    <t>Cornett, AP</t>
  </si>
  <si>
    <t>Cornett, Andreas P.</t>
  </si>
  <si>
    <t>Aims and strategies in regional innovation and growth policy: A Danish perspective</t>
  </si>
  <si>
    <t>ENTREPRENEURSHIP AND REGIONAL DEVELOPMENT</t>
  </si>
  <si>
    <t>Workshop on Creativity and Smart Policy as Signposts for Innovative Development</t>
  </si>
  <si>
    <t>MAY 29-30, 2006</t>
  </si>
  <si>
    <t>Amsterdam, NETHERLANDS</t>
  </si>
  <si>
    <t>Tinbergen Inst,Free Univ,George Mason, Sch Public Policy,Australian Res Council Res Network Spatially Integrated Social Sci</t>
  </si>
  <si>
    <t>regional growth drivers; knowledge dissemination; Triple Helix models; national and regional systems of innovation; participatory approaches to knowledge transfer</t>
  </si>
  <si>
    <t>Innovations and the capacity to innovate are crucial factors for regional development. Regional growth is not an exogenous or independent phenomenon, but more or less 'derived' from the ability of the local business to perform and generate income. For this reason, attention has been on the factors facilitating growth and the mechanisms stimulating innovative behaviour in large, small and medium-sized enterprises. This paper aims to analyse the changing development strategies and policy set-up in Denmark with regard to regional development and innovation. Core elements are to improve the abilities for knowledge dissemination, innovation, and local entrepreneurship. The analysis provides a closer look into the role of innovation in regional policy, and which type of policies can stimulate innovative activities in business and industry. Recent examples from Denmark representing new approaches to the implementation of innovative development measures are presented and evaluated. Finally, the main results are presented with special attention to organizational and functional aspects of a knowledge-based regional development policy. Among the results are that untraditional measures are needed in particular if innovation policy should reach SMEs and firms not located adjacent to knowledge institutions.</t>
  </si>
  <si>
    <t>[Cornett, Andreas P.] Univ So Denmark, DK-6400 Sonderborg, Denmark; [Cornett, Andreas P.] Univ So Denmark, Ctr Small Business Studies, DK-6000 Kolding, Denmark</t>
  </si>
  <si>
    <t>University of Southern Denmark; University of Southern Denmark</t>
  </si>
  <si>
    <t>Cornett, AP (corresponding author), Univ So Denmark, Grundtvigs 150, DK-6400 Sonderborg, Denmark.</t>
  </si>
  <si>
    <t>cornett@sam.sdu.dk</t>
  </si>
  <si>
    <t>0898-5626</t>
  </si>
  <si>
    <t>1464-5114</t>
  </si>
  <si>
    <t>ENTREP REGION DEV</t>
  </si>
  <si>
    <t>Entrep. Reg. Dev.</t>
  </si>
  <si>
    <t>10.1080/08985620903020078</t>
  </si>
  <si>
    <t>Business; Development Studies</t>
  </si>
  <si>
    <t>Business &amp; Economics; Development Studies</t>
  </si>
  <si>
    <t>553KG</t>
  </si>
  <si>
    <t>WOS:000274364900005</t>
  </si>
  <si>
    <t>Buenstorf, G</t>
  </si>
  <si>
    <t>Self-organization and sustainability: energetics of evolution and implications for ecological economics</t>
  </si>
  <si>
    <t>ECOLOGICAL ECONOMICS</t>
  </si>
  <si>
    <t>Lotka principles; self-organization; emergent properties; evolutionary feedback; sustainable development; innovation</t>
  </si>
  <si>
    <t>TECHNOLOGICAL-PROGRESS; 2ND LAW; THERMODYNAMICS; ENTROPY; SYSTEMS; INFORMATION; DISSIPATION; FOUNDATIONS; ODUM,H.T.; ORDER</t>
  </si>
  <si>
    <t>In the 1920s, Alfred Lotka suggested that evolution results both in an increasing total energy flow through the biosphere and in increasing energy efficiency of biological processes. Later authors attempted to generalize Lotka's conjectures and to transform them into general evolutionary laws. These laws are derived from the laws of thermodynamics, and it is frequently argued that they also apply to the development of economic systems. In the present paper, an alternative interpretation of the Lotka principles is suggested which starts from the self-organization of dissipative structures. Self-organization concepts from ecological and evolutionary economics are integrated. On this basis, energetic regularities in evolutionary processes are interpreted as emergent properties of competitive self-organization. Given the close relationship between energy dissipation in economic processes and various environmental problems, thermodynamic effects of economic evolution are of practical policy relevance. The evolutionary perspective taken here implies that policy measures toward sustainable development will primarily have to affect the kinds of innovative behavior triggered in competitive processes. (C) 2000 Elsevier Science B.V. All rights reserved.</t>
  </si>
  <si>
    <t>Max Planck Inst Res Econ Syst, Evolutionary Econ Unit, D-07745 Jena, Germany</t>
  </si>
  <si>
    <t>Max Planck Society</t>
  </si>
  <si>
    <t>Buenstorf, G (corresponding author), Max Planck Inst Res Econ Syst, Evolutionary Econ Unit, Kahla Str 10, D-07745 Jena, Germany.</t>
  </si>
  <si>
    <t>Buenstorf, Guido/0000-0002-2957-5532</t>
  </si>
  <si>
    <t>0921-8009</t>
  </si>
  <si>
    <t>ECOL ECON</t>
  </si>
  <si>
    <t>Ecol. Econ.</t>
  </si>
  <si>
    <t>10.1016/S0921-8009(99)00133-0</t>
  </si>
  <si>
    <t>Ecology; Economics; Environmental Sciences; Environmental Studies</t>
  </si>
  <si>
    <t>Environmental Sciences &amp; Ecology; Business &amp; Economics</t>
  </si>
  <si>
    <t>302EH</t>
  </si>
  <si>
    <t>WOS:000086352200009</t>
  </si>
  <si>
    <t>Orlowski, M; Bufquin, D; Nalley, ME</t>
  </si>
  <si>
    <t>Orlowski, Marissa; Bufquin, Diego; Nalley, Michael E.</t>
  </si>
  <si>
    <t>The Influence of Social Perceptions on Restaurant Employee Work Engagement and Extra-Role Customer Service Behavior: A Moderated Mediation Model</t>
  </si>
  <si>
    <t>CORNELL HOSPITALITY QUARTERLY</t>
  </si>
  <si>
    <t>social perceptions; restaurants; coworkers; supervisors; work engagement; extra-role customer service; warmth; competence; morality</t>
  </si>
  <si>
    <t>ORGANIZATIONAL CITIZENSHIP BEHAVIOR; LEADER-MEMBER EXCHANGE; TURNOVER INTENTIONS; UNIVERSAL DIMENSIONS; PERCEIVED SUPERVISOR; INNOVATIVE BEHAVIOR; ABUSIVE SUPERVISION; PERSON-PERCEPTION; COWORKER SUPPORT; JOB OUTCOMES</t>
  </si>
  <si>
    <t>The purpose of this study was to examine the effects of restaurant employees' social perceptions of their supervisors on employees' work engagement and extra-role customer service behavior. We also assessed restaurant employees' social perceptions of their coworkers as a moderator. Utilizing an online survey design, data were collected from frontline restaurant employees via an online commercial subject pool (N = 477). Results showed that the more employees perceive their supervisors as warm, competent, and moral, the more employees were willing to engage in extra-role customer service behavior via the indirect effect of increased work engagement. The effect of work engagement on extra-role customer service was also found to be more pronounced when employees developed positive social perceptions of their coworkers. These results offer implications for work engagement, as they suggest a new antecedent in the form of social perceptions, as well as a boundary condition to the positive outcomes of engagement through the interactive effect of social perceptions of coworkers and extra-role customer service behavior. In doing so, these results also shed light on the relevance of social perceptions in hospitality operations.</t>
  </si>
  <si>
    <t>[Orlowski, Marissa; Bufquin, Diego; Nalley, Michael E.] Univ Cent Florida, Rosen Coll Hospitality Management, 9907 Univ Blvd, Orlando, FL 32819 USA</t>
  </si>
  <si>
    <t>State University System of Florida; University of Central Florida</t>
  </si>
  <si>
    <t>Orlowski, M (corresponding author), Univ Cent Florida, Rosen Coll Hospitality Management, 9907 Univ Blvd, Orlando, FL 32819 USA.</t>
  </si>
  <si>
    <t>marissa.orlowski@ucf.edu</t>
  </si>
  <si>
    <t>Bufquin, Diego/0000-0002-7381-3083</t>
  </si>
  <si>
    <t>1938-9655</t>
  </si>
  <si>
    <t>1938-9663</t>
  </si>
  <si>
    <t>CORNELL HOSP Q</t>
  </si>
  <si>
    <t>Cornell Hosp. Q.</t>
  </si>
  <si>
    <t>10.1177/1938965520910119</t>
  </si>
  <si>
    <t>MAR 2020</t>
  </si>
  <si>
    <t>Hospitality, Leisure, Sport &amp; Tourism; Management; Sociology</t>
  </si>
  <si>
    <t>Social Sciences - Other Topics; Business &amp; Economics; Sociology</t>
  </si>
  <si>
    <t>RM3DL</t>
  </si>
  <si>
    <t>WOS:000523799500001</t>
  </si>
  <si>
    <t>Xu, FZ; Wang, Y</t>
  </si>
  <si>
    <t>Xu, Feng Zeng; Wang, Ying</t>
  </si>
  <si>
    <t>Enhancing Employee Innovation Through Customer Engagement: The Role of Customer Interactivity, Employee Affect, and Motivations</t>
  </si>
  <si>
    <t>JOURNAL OF HOSPITALITY &amp; TOURISM RESEARCH</t>
  </si>
  <si>
    <t>customer interactivity; employee innovative behavior; positive affect; intrinsic motivation; extrinsic motivation; hospitality</t>
  </si>
  <si>
    <t>POSITIVE AFFECT; EXTRINSIC MOTIVATION; INTRINSIC MOTIVATION; LEARNING ORIENTATION; SELF-DETERMINATION; MODERATING ROLE; MEDIATING ROLE; SERVICE; BEHAVIOR; CREATIVITY</t>
  </si>
  <si>
    <t>Customer engagement involves customers' interactive experiences with a brand or service provider. Focusing on the hotel industry, this study investigates the role of customer interactivity, positive affect, and employee motivations in enhancing employees' innovative behaviors under the S-O-R (stimulus-organism-response) framework. Using data collected via a mixed-mode quantitative survey of 830 Chinese hotel employees, the authors developed and tested a structural model. The findings suggest that customer interactivity, positive affect, and motivations as influential factors affect employee innovative behavior. Specifically, customer interactivity influences employee innovative behavior directly and indirectly through positive affect and intrinsic and extrinsic motivations. Theoretically, the study clarifies the mechanisms underpinning the effect of customer interactivity on employees' innovative behaviors and extends the S-O-R model by applying it in the organizational behavior domain. Practically, the results highlight a need for reward systems to incorporate measures of employee performance in relation to fostering customer interactivity and engagement.</t>
  </si>
  <si>
    <t>[Xu, Feng Zeng] Shandong Univ, Sch Management, Jinan, Shandong, Peoples R China; [Wang, Ying] Griffith Univ, Griffith Inst Tourism, Dept Tourism Sport &amp; Hotel Management, Brisbane, Qld, Australia</t>
  </si>
  <si>
    <t>Shandong University; Griffith University</t>
  </si>
  <si>
    <t>Xu, FZ (corresponding author), Shandong Univ, Sch Management, Jinan, Shandong, Peoples R China.</t>
  </si>
  <si>
    <t>xfz@sdu.edu.cn; ying.wang@griffith.edu.au</t>
  </si>
  <si>
    <t>Wang, Ying/0000-0003-3020-5317; Xu, Feng Zeng/0000-0002-6291-7274</t>
  </si>
  <si>
    <t>Shandong Natural Science Foundation of China [ZR2019MG014]</t>
  </si>
  <si>
    <t>Shandong Natural Science Foundation of China(Natural Science Foundation of Shandong Province)</t>
  </si>
  <si>
    <t>Shandong Natural Science Foundation of China (ZR2019MG014) provided support for this research.</t>
  </si>
  <si>
    <t>1096-3480</t>
  </si>
  <si>
    <t>1557-7554</t>
  </si>
  <si>
    <t>J HOSP TOUR RES</t>
  </si>
  <si>
    <t>J. Hosp. Tour. Res.</t>
  </si>
  <si>
    <t>10.1177/1096348019893043</t>
  </si>
  <si>
    <t>DEC 2019</t>
  </si>
  <si>
    <t>KL4DJ</t>
  </si>
  <si>
    <t>WOS:000501961600001</t>
  </si>
  <si>
    <t>Pian, QY; Jin, H; Li, H</t>
  </si>
  <si>
    <t>Pian, Qian Ya; Jin, Hui; Li, Hui</t>
  </si>
  <si>
    <t>Linking knowledge sharing to innovative behavior: the moderating role of collectivism</t>
  </si>
  <si>
    <t>Collectivism; Innovative behavior; Behavior-oriented knowledge sharing; Epistemic motivation; Pro-social motivation</t>
  </si>
  <si>
    <t>PERSPECTIVE-TAKING; CREATIVITY; VALIDATION; INDIVIDUALISM; PERFORMANCE; CULTURE; QUALITY; CHOICE</t>
  </si>
  <si>
    <t>Purpose The purpose of this study is to examine the relationship between behavior-oriented knowledge sharing and innovative behavior and the moderating effects of collectivism on the aforementioned relationship. It also assesses the impact of epistemic motivation and pro-social motivation on behavior-oriented knowledge sharing. Design/methodology/approach Focusing on Chinese context, the study conducts a questionnaire survey to test the research model. Linear regression analysis is used to examine the main effects of the independent variables, and the multi-level linear regression model is used to evaluate the moderating effects of the controlled variables. Findings The findings reveal that epistemic motivation stimulates individual-oriented knowledge sharing and pro-social motivation stimulates organization-oriented knowledge sharing. Organization-oriented knowledge sharing impacts more than individual-oriented knowledge sharing on innovative behavior. Moreover, collectivism is shown to positively moderate the relationship between behavior-oriented knowledge sharing and innovative behavior. Originality/value The study emphasized how individual-oriented and organization-oriented knowledge sharing impacts innovative behavior differently and how collectivism moderates that relationship. It also illustrates how epistemic and pro-social motivation affects behavior-oriented knowledge sharing. The study contributes to a stream of research that links knowledge sharing and innovative behavior.</t>
  </si>
  <si>
    <t>[Pian, Qian Ya] Jiangsu Univ Sci &amp; Technol, Sch Econ &amp; Management, Zhenjiang, Jiangsu, Peoples R China; [Jin, Hui] Jiangsu Univ Sci &amp; Technol, Zhenjiang, Jiangsu, Peoples R China; [Li, Hui] Nanjing Tech Univ, Sch Econ &amp; Management, Nanjing, Jiangsu, Peoples R China</t>
  </si>
  <si>
    <t>Jiangsu University of Science &amp; Technology; Jiangsu University of Science &amp; Technology; Nanjing Tech University</t>
  </si>
  <si>
    <t>Jin, H (corresponding author), Jiangsu Univ Sci &amp; Technol, Zhenjiang, Jiangsu, Peoples R China.</t>
  </si>
  <si>
    <t>Qianya0515@163.com; jinhui123@just.edu.cn; Lihui2012@njtech.edu.cn</t>
  </si>
  <si>
    <t>National Social Science Foundation of China [18BGL135]; National Natural Science Foundation of China [71402065]; Research Innovation Program for Postgraduate Students of Jiangsu Province [KYCX18_2303]</t>
  </si>
  <si>
    <t>National Social Science Foundation of China; National Natural Science Foundation of China(National Natural Science Foundation of China (NSFC)); Research Innovation Program for Postgraduate Students of Jiangsu Province</t>
  </si>
  <si>
    <t>The work described in this paper was fully/partially supported by the grants from the National Social Science Foundation of China (18BGL135) and the National Natural Science Foundation of China (71402065) and the Research Innovation Program for Postgraduate Students of Jiangsu Province (KYCX18_2303).</t>
  </si>
  <si>
    <t>OCT 14</t>
  </si>
  <si>
    <t>10.1108/JKM-12-2018-0753</t>
  </si>
  <si>
    <t>JN9PG</t>
  </si>
  <si>
    <t>WOS:000497220900009</t>
  </si>
  <si>
    <t>Ng, TWH; Yam, KC</t>
  </si>
  <si>
    <t>Ng, Thomas W. H.; Yam, Kai Chi</t>
  </si>
  <si>
    <t>When and Why Does Employee Creativity Fuel Deviance? Key Psychological Mechanisms</t>
  </si>
  <si>
    <t>creativity; deviance; rewards; within-person</t>
  </si>
  <si>
    <t>JOB-PERFORMANCE; ORGANIZATIONAL CITIZENSHIP; SELF-ENHANCEMENT; WORK BEHAVIOR; IMPRESSION MANAGEMENT; INNOVATIVE BEHAVIOR; ABUSIVE SUPERVISION; MEDIATING ROLE; POSITIVE MOOD; ENTITLEMENT</t>
  </si>
  <si>
    <t>Drawing on self-enhancement theory, we propose that, intraindividually, employees tend to give themselves credit when they engage in creativity. Perceived creative credit, in turn, activates multiple psychological motives that ultimately affect deviance. On the one hand, perceived creative credit is associated with greater creativity-driven norm-breaking motives and greater entitlement motives, which in turn should increase deviance. On the other hand. perceived creative credit is associated with greater image preservation motives, which in turn should decrease deviance. A within-person study involving 206 employees and their coworkers conducted over a 10-day period provided broad support for the proposed model. In addition, a between-person variable, namely rewards for creativity, moderated the self-crediting process. The within-person serial mediation relationship between creativity and deviance was positive and significant for employees who perceived low rewards for creativity, but was not significant for those who perceived high rewards for creativity. In other words, rewards for creativity in the workplace effectively nullified this within-person self-crediting mechanism among employees. This study thus illustrates that, within individuals, creativity and deviance are related through perceived creative credit and different psychological motives (i.e., serial mediation). However, the strength of this serial mediation relationship varies depending on the availability of formal rewards for creativity (i.e., moderated serial mediation).</t>
  </si>
  <si>
    <t>[Ng, Thomas W. H.] Univ Hong Kong, Dept Management &amp; Strategy, Hong Kong, Peoples R China; [Yam, Kai Chi] Natl Univ Singapore, Dept Management &amp; Org, Singapore, Singapore</t>
  </si>
  <si>
    <t>University of Hong Kong; National University of Singapore</t>
  </si>
  <si>
    <t>Ng, TWH (corresponding author), Univ Hong Kong, Dept Management &amp; Strategy, Pok Fu Lam, KKL Bldg, Hong Kong, Peoples R China.</t>
  </si>
  <si>
    <t>Yam, Kai Chi/C-5538-2016; Ng, Thomas Wai Hung/A-4433-2010</t>
  </si>
  <si>
    <t xml:space="preserve">Yam, Kai Chi/0000-0001-7381-8039; </t>
  </si>
  <si>
    <t>Hong Kong General Research Fund [GRF 17500317]</t>
  </si>
  <si>
    <t>Hong Kong General Research Fund</t>
  </si>
  <si>
    <t>This research was funded by Hong Kong General Research Fund (GRF 17500317) awarded to Thomas W. H. Ng.</t>
  </si>
  <si>
    <t>10.1037/apl0000397</t>
  </si>
  <si>
    <t>IT0WV</t>
  </si>
  <si>
    <t>WOS:000482568800004</t>
  </si>
  <si>
    <t>Bitat, A</t>
  </si>
  <si>
    <t>Bitat, Abdelfeteh</t>
  </si>
  <si>
    <t>Environmental regulation and eco-innovation: the Porter hypothesis refined</t>
  </si>
  <si>
    <t>Porter hypothesis; Environmental regulation; Eco-innovation; Count data; Dynamic panel data</t>
  </si>
  <si>
    <t>INITIAL CONDITIONS PROBLEM; ECOLOGICAL MODERNIZATION; TECHNOLOGY-PUSH; DEMAND-PULL; EMPIRICAL-ANALYSIS; PANEL-DATA; PERFORMANCE; IMPACT; DETERMINANTS; DIFFUSION</t>
  </si>
  <si>
    <t>The paper analyses the relationship between environmental regulation and eco-innovation. The relationship is tested using a German firm-based panel and a dynamic count data model estimating the propensity of firms to innovate in response to five initiating factors, namely the fulfillment of existing legal requirements, expectations towards future legal requirements, financial incentives, demand for eco-innovations and self-commitment. The heterogeneity of firms is controlled for using R&amp;D intensity, the size, the sector and the region of the company. The results answer the central question concerning the design of environmental policies in order to foster eco-innovation. Comparing a static model to a dynamic one shows that only long term objectives and market incentives are positively associated with eco-innovation. Conventional regulatory tools, namely legally binding instruments, are not effective for triggering innovative behavior at the firm level. The results do not allow to confirm the Porter hypothesis but rather offer a refined version, emphasizing the nuances that apply to the concept of regulation. The claim is that what matters is not the type of the policy instrument but rather the perception of the instrument by firms.</t>
  </si>
  <si>
    <t>[Bitat, Abdelfeteh] Univ St Louis Bruxelles, Blvd Jardin Bot 43, Brussels, Belgium</t>
  </si>
  <si>
    <t>University Saint-Louis - Bruxelles</t>
  </si>
  <si>
    <t>Bitat, A (corresponding author), Univ St Louis Bruxelles, Blvd Jardin Bot 43, Brussels, Belgium.</t>
  </si>
  <si>
    <t>abdelfeteh.bitat@usaintlouis.be</t>
  </si>
  <si>
    <t>BITAT, Abdelfeteh/D-7026-2018</t>
  </si>
  <si>
    <t>BITAT, Abdelfeteh/0000-0002-0997-0332</t>
  </si>
  <si>
    <t>10.1007/s40821-017-0084-6</t>
  </si>
  <si>
    <t>GQ4CQ</t>
  </si>
  <si>
    <t>WOS:000441616000004</t>
  </si>
  <si>
    <t>Afsar, B; Shahjehan, A</t>
  </si>
  <si>
    <t>Afsar, Bilal; Shahjehan, Asad</t>
  </si>
  <si>
    <t>Linking ethical leadership and moral voice: The effects of moral efficacy, trust in leader, and leader-follower value congruence</t>
  </si>
  <si>
    <t>Construction industry; Ethical leadership; Trust in leader; Leader-follower value congruence; Moral efficacy; Moral voice</t>
  </si>
  <si>
    <t>EXTRA-ROLE BEHAVIORS; EMPLOYEE VOICE; MODERATING ROLE; INNOVATIVE BEHAVIOR; MEDIATING ROLE; CONSTRUCTION-INDUSTRY; ORGANIZATIONAL TRUST; INTEGRATIVE MODEL; GROUP-PERFORMANCE; TEAM PERFORMANCE</t>
  </si>
  <si>
    <t>Purpose The study of ethical leadership has emerged as an important topic for understanding the effects of leadership in organizations. Theoretically, there is a relationship between ethical leadership and followers' ethical behaviors but empirically, little attention has been given. The purpose of this paper is to examine how ethical leadership relates to employee's moral voice through trust in the leader, leader-follower value congruence and moral efficacy. Design/methodology/approach The authors used a time-lagged research design, collecting multi-source data from 364 employees and their immediate supervisors, working in construction companies in Pakistan. Findings On the basis of an interactional approach, this study found that there was an interaction between ethical leadership, trust in the leader and leader-follower value congruence that affected moral voice, such that ethical leadership had the strongest positive relationship with moral voice when both trust and leader-follower value congruence were higher; and moral efficacy mediated the effect that this three-way interaction between ethical leadership, trust in the leader and leader-follower value congruence had on moral voice. Originality/value This is one of the first studies to examine the role of ethical leadership in promoting employees' voice behavior using a time-lagged research design, particularly in construction industry.</t>
  </si>
  <si>
    <t>[Afsar, Bilal; Shahjehan, Asad] Hazara Univ, Management Sci, Mansehra, Pakistan</t>
  </si>
  <si>
    <t>Hazara University</t>
  </si>
  <si>
    <t>Afsar, B (corresponding author), Hazara Univ, Management Sci, Mansehra, Pakistan.</t>
  </si>
  <si>
    <t>afsarbilal@yahoo.com</t>
  </si>
  <si>
    <t>shahjehan, Asad/Q-3901-2019; Afsar, Bilal/AAU-6522-2020; Shahjehan, Asad/K-2360-2019</t>
  </si>
  <si>
    <t>Shahjehan, Asad/0000-0003-2993-9276; , Bilal/0000-0002-7718-0690</t>
  </si>
  <si>
    <t>10.1108/LODJ-01-2018-0015</t>
  </si>
  <si>
    <t>GN9ZY</t>
  </si>
  <si>
    <t>WOS:000439576300006</t>
  </si>
  <si>
    <t>Montani, F; Battistelli, A; Odoardi, C</t>
  </si>
  <si>
    <t>Montani, Francesco; Battistelli, Adalgisa; Odoardi, Carlo</t>
  </si>
  <si>
    <t>Proactive Goal Generation and Innovative Work Behavior: The Moderating Role of Affective Commitment, Production Ownership and Leader Support for Innovation</t>
  </si>
  <si>
    <t>proactive goal generation; innovative work behavior; motivation</t>
  </si>
  <si>
    <t>METHOD VARIANCE; IMPLEMENTATION INTENTIONS; ROLE-ORIENTATION; SPECIAL-ISSUE; FIT INDEXES; METHOD BIAS; JOB; CREATIVITY; ORGANIZATION; PERCEPTIONS</t>
  </si>
  <si>
    <t>Building on goal-regulation theory, we develop and test the hypothesis that proactive goal generation fosters individual innovative work behavior. Consistent with a resource-based perspective, we further examine two-three-way interactions to assess whether the link between proactive goal generation and innovative behavior is jointly moderated by organizational affective commitment and production ownership, or, alternatively, leader support for innovation. In a sample of 442 municipal employees from the administrative division of an Italian city hall, proactive goal generation was positively associated with innovative work behavior. Additionally, as expected, this relationship was stronger when employees were highly affectively committed to their organization and when they exhibited a high level of production ownership or received extensive support for innovation from their supervisors. Theoretical and managerial implications are discussed.</t>
  </si>
  <si>
    <t>[Montani, Francesco] Univ Sherbrooke, Sherbrooke, PQ, Canada; [Battistelli, Adalgisa] Univ Bordeaux, Bordeaux, France; [Odoardi, Carlo] Univ Florence, Florence, Italy</t>
  </si>
  <si>
    <t>University of Sherbrooke; UDICE-French Research Universities; Universite de Bordeaux; University of Florence</t>
  </si>
  <si>
    <t>Montani, F (corresponding author), Univ Sherbrooke, Dept Psychol, 2500 Blvd Univ, Sherbrooke, PQ J1K 2R1, Canada.</t>
  </si>
  <si>
    <t>francesco.montani@usherbrooke.ca</t>
  </si>
  <si>
    <t>10.1002/jocb.89</t>
  </si>
  <si>
    <t>WOS:000402619800002</t>
  </si>
  <si>
    <t>Chung, YW; Kim, T</t>
  </si>
  <si>
    <t>Chung, Yang Woon; Kim, Taekyung</t>
  </si>
  <si>
    <t>Impact of using social network services on workplace ostracism, job satisfaction, and innovative behaviour</t>
  </si>
  <si>
    <t>BEHAVIOUR &amp; INFORMATION TECHNOLOGY</t>
  </si>
  <si>
    <t>Workplace ostracism; social network service; job satisfaction; innovative behaviour</t>
  </si>
  <si>
    <t>SELF-ESTEEM; EXCLUSION; MEDIATION; WORK; CONSEQUENCES; PERFORMANCE; EMPLOYEES</t>
  </si>
  <si>
    <t>Research has found workplace ostracism to negatively impact workplace attitudes and behaviours such as job satisfaction, organisational citizenship behaviour, and job performance. However, research investigating beyond the direct effects of workplace ostracism and findings about boundary conditions for mitigating the negative effects of workplace ostracism are limited in organisational studies. In this regard, this study explored the mediating effects of job satisfaction on the relationship between workplace ostracism and innovative behaviour and the moderating effects of social networking services for work-related purposes for the relationship between workplace ostracism and job satisfaction. The two-wave study consisted of 237 full-time employees in large organisations in South Korea. The hierarchical regression analyses resulted in job satisfaction to mediate the relationship between workplace ostracism and innovative behaviour and social network service to significantly moderate the relationship between workplace ostracism and job satisfaction. Moreover, mediated moderation was found for the study model, which further suggests that using social network services for work-related purposes had indirect effects on innovative behaviour.</t>
  </si>
  <si>
    <t>[Chung, Yang Woon; Kim, Taekyung] Univ Suwon, Dept Business, Hwaseong, South Korea</t>
  </si>
  <si>
    <t>Suwon University</t>
  </si>
  <si>
    <t>Kim, T (corresponding author), Univ Suwon, Dept Business, Hwaseong, South Korea.</t>
  </si>
  <si>
    <t>kimtk@suwon.ac.kr</t>
  </si>
  <si>
    <t>Kim, Taekyung/0000-0001-5089-2914</t>
  </si>
  <si>
    <t>0144-929X</t>
  </si>
  <si>
    <t>1362-3001</t>
  </si>
  <si>
    <t>BEHAV INFORM TECHNOL</t>
  </si>
  <si>
    <t>Behav. Inf. Technol.</t>
  </si>
  <si>
    <t>10.1080/0144929X.2017.1369568</t>
  </si>
  <si>
    <t>Computer Science, Cybernetics; Ergonomics</t>
  </si>
  <si>
    <t>FS6ZW</t>
  </si>
  <si>
    <t>WOS:000419947900002</t>
  </si>
  <si>
    <t>Tavares, SM</t>
  </si>
  <si>
    <t>Tavares, Susana M.</t>
  </si>
  <si>
    <t>How does creativity at work influence employee's positive affect at work?</t>
  </si>
  <si>
    <t>creativity at work; affect at work; meaningfulness of work; optimism; promotion focus</t>
  </si>
  <si>
    <t>REGULATORY FOCUS; TRANSFORMATIONAL LEADERSHIP; JOB DISSATISFACTION; PROHIBITIVE VOICE; MEDIATING ROLE; HEDONIC TONE; MOOD; INNOVATION; ORGANIZATIONS; BEHAVIOR</t>
  </si>
  <si>
    <t>Although determinants of creativity underlying innovative behaviour at work have been extensively studied, scant research has addressed creativity as a predictor variable. This article proposes that creativity has a positive impact on employees' positive affect at work. Two studies were conducted. Study 1 used multi-source data (170 employee-supervisor dyads) to analyse the association between creativity at work, rated by the immediate supervisor, and employees' reported affect at work. Results showed that creativity at work is positively related to positive affect at work over and above employees' optimism (dispositional trait). Study 2 replicated and extended these findings using two-wave data from 108 high-school teachers. Results evidenced that employees who were more creative at work (T1) were more likely to report having more frequent positive affect at work 3 months later (T2). The level of meaningfulness of work (T1) mediated the effects of creativity on employees' positive affect at work. These findings provide evidence for framing creativity in the workplace as a meaningfulness-making activity that affects employees' positive affect at work. The implications of these findings and areas for future research are discussed.</t>
  </si>
  <si>
    <t>[Tavares, Susana M.] Inst Univ Lisboa ISCTE IUL, Business Res Unit BRU UNIDE IUL, Lisbon, Portugal</t>
  </si>
  <si>
    <t>Instituto Universitario de Lisboa</t>
  </si>
  <si>
    <t>Tavares, SM (corresponding author), Inst Univ Lisboa ISCTE IUL, Business Res Unit BRU UNIDE IUL, Lisbon, Portugal.</t>
  </si>
  <si>
    <t>susana.tavares@iscte.pt</t>
  </si>
  <si>
    <t>Tavares, Susana M./Z-1679-2019</t>
  </si>
  <si>
    <t>Tavares, Susana M./0000-0003-0146-8433</t>
  </si>
  <si>
    <t>Portuguese Foundation for Science and Technology [PEst-OE/EGE/UI0315/2014]; Fundação para a Ciência e a Tecnologia [PEst-OE/EGE/UI0315/2014] Funding Source: FCT</t>
  </si>
  <si>
    <t>Portuguese Foundation for Science and Technology(Fundacao para a Ciencia e a Tecnologia (FCT)); Fundação para a Ciência e a Tecnologia(Fundacao para a Ciencia e a Tecnologia (FCT))</t>
  </si>
  <si>
    <t>This work was supported by the Portuguese Foundation for Science and Technology [PEst-OE/EGE/UI0315/2014].</t>
  </si>
  <si>
    <t>10.1080/1359432X.2016.1186012</t>
  </si>
  <si>
    <t>DP8JI</t>
  </si>
  <si>
    <t>WOS:000378743900005</t>
  </si>
  <si>
    <t>Janssen, O; Giebels, E</t>
  </si>
  <si>
    <t>Janssen, Onne; Giebels, Ellen</t>
  </si>
  <si>
    <t>When and why creativity-related conflict with coworkers can hamper creative employees' individual job performance</t>
  </si>
  <si>
    <t>Coworker trust; Creativity-related conflict; Job performance; Supervisory support</t>
  </si>
  <si>
    <t>TOP MANAGEMENT TEAMS; INTRAGROUP CONFLICT; DECISION-MAKING; INNOVATIVE BEHAVIOR; METHOD VARIANCE; SOCIAL SUPPORT; TASK CONFLICT; WORK; METAANALYSIS; DISSENT</t>
  </si>
  <si>
    <t>We examined when and why focal employees' creativity-related conflict with coworkers is related to their individual job performance. As hypothesized, a survey among 113 employees in 14 manufacturing work groups showed that creativity-related conflict with coworkers escalates into dysfunctional relationship conflict when focal employees have low rather than high trust in those coworkers. In its turn, relationship conflict with coworkers was found to be negatively associated with focal employees' individual job performance when they lack support from their supervisor. Finally, the indirect effect of creativity-related conflict on job performance through relationship conflict was found to be significant when both the first stage moderator of coworker trust and the second stage moderator of supervisory support were low rather than high.</t>
  </si>
  <si>
    <t>[Janssen, Onne] Univ Groningen, Fac Econ &amp; Business, NL-9700 AV Groningen, Netherlands; [Giebels, Ellen] Univ Twente, Dept Psychol &amp; Commun Hlth &amp; Risk, NL-7500 AE Enschede, Netherlands</t>
  </si>
  <si>
    <t>University of Groningen; University of Twente</t>
  </si>
  <si>
    <t>Janssen, O (corresponding author), Univ Groningen, Fac Econ &amp; Business, Postbus 800, NL-9700 AV Groningen, Netherlands.</t>
  </si>
  <si>
    <t>OCT 1</t>
  </si>
  <si>
    <t>10.1080/1359432X.2012.669524</t>
  </si>
  <si>
    <t>239HX</t>
  </si>
  <si>
    <t>WOS:000326014300006</t>
  </si>
  <si>
    <t>Davis, WD; Dibrell, C; Craig, JB; Green, J</t>
  </si>
  <si>
    <t>Davis, Walter D.; Dibrell, Clay; Craig, Justin B.; Green, Judy</t>
  </si>
  <si>
    <t>The Effects of Goal Orientation and Client Feedback on the Adaptive Behaviors of Family Enterprise Advisors</t>
  </si>
  <si>
    <t>FAMILY BUSINESS REVIEW</t>
  </si>
  <si>
    <t>family enterprise advisors; goal orientation; feedback quality; personal bricolage; individual innovative behavior</t>
  </si>
  <si>
    <t>INNOVATIVE BEHAVIOR; FIT INDEXES; PERFORMANCE; MOTIVATION; RESOURCE; WORK; SPECIFICITY; SEEKING; MODEL</t>
  </si>
  <si>
    <t>Family enterprise advisors work on complex and unique problems for their family enterprise clients. Little attention has been given to these professionals and their abilities to provide innovative solutions. In this study, our aim is to understand more about family enterprise advisors (N = 231). To achieve this objective, we hypothesize that the effects of advisor goal orientation (i.e., learning orientation, proving orientation, and avoidance orientation) on adaptive behaviors (i.e., personal bricolage and individual innovative behavior) are mediated by the quality of feedback received from clients. The results indicate that quality of feedback partially mediates the relationships between goal orientation and these behaviors. We conclude by providing a practitioner model explaining how advisors may adapt to different family enterprise client role environments.</t>
  </si>
  <si>
    <t>[Davis, Walter D.; Dibrell, Clay] Univ Mississippi, University, MS 38677 USA; [Craig, Justin B.] Northeastern Univ, Boston, MA 02115 USA; [Green, Judy] Family Firm Inst Inc, Boston, MA USA</t>
  </si>
  <si>
    <t>University of Mississippi; Northeastern University</t>
  </si>
  <si>
    <t>Dibrell, C (corresponding author), Univ Mississippi, 320 Holman Hall, University, MS 38677 USA.</t>
  </si>
  <si>
    <t>cdibrell@bus.olemiss.edu</t>
  </si>
  <si>
    <t>Dibrell, Clay/E-8115-2017</t>
  </si>
  <si>
    <t>Dibrell, Clay/0000-0003-4407-7168; Craig, Justin/0000-0002-5313-8287</t>
  </si>
  <si>
    <t>0894-4865</t>
  </si>
  <si>
    <t>1741-6248</t>
  </si>
  <si>
    <t>FAM BUS REV</t>
  </si>
  <si>
    <t>Fam. Bus. Rev.</t>
  </si>
  <si>
    <t>10.1177/0894486513484351</t>
  </si>
  <si>
    <t>201AD</t>
  </si>
  <si>
    <t>WOS:000323112200002</t>
  </si>
  <si>
    <t>Iqbal, A; Nazir, T; Ahmad, MS</t>
  </si>
  <si>
    <t>Iqbal, Amjad; Nazir, Tahira; Ahmad, Muhammad Shakil</t>
  </si>
  <si>
    <t>Entrepreneurial leadership and employee innovative behavior: an examination through multiple theoretical lenses</t>
  </si>
  <si>
    <t>Entrepreneurial leadership; Affective commitment; Creative self-efficacy; Psychological safety; Innovative behavior</t>
  </si>
  <si>
    <t>CREATIVE SELF-EFFICACY; TRANSFORMATIONAL LEADERSHIP; MEDIATING ROLE; SERVANT LEADERSHIP; PSYCHOLOGICAL SAFETY; POSITIVE AFFECT; WORK BEHAVIOR; PERFORMANCE; COMMITMENT; MOTIVATION</t>
  </si>
  <si>
    <t>Purpose The purpose of this research is to determine the relationship between entrepreneurial leadership and employee innovative behavior and examine mediating role of affective commitment, creative self-efficacy and psychological safety in this relationship. Design/methodology/approach Using cross-sectional research design, data were collected from 343 employees of information technology (IT) service firms in Pakistan. Partial least squares-structural equation modeling (PLS-SEM) technique was applied to test the proposed research model. Findings The findings reveal that entrepreneurial leadership is strongly and positively related to employee innovative behavior. Moreover, affective commitment, creative self-efficacy and psychological safety simultaneously mediate this relationship. Practical implications This study uncovers the important role of entrepreneurial leadership in driving employee innovative behavior in high-tech services industry. Findings of this study suggest that by practicing entrepreneurial behaviors, managers can enhance employees' affective commitment, creative self-efficacy and psychological safety, which invoke employees to demonstrate innovative behavior leading toward improved innovation performance at organizational level. Originality/value This research makes novel contribution to entrepreneurial leadership theory by using competing theoretical perspectives and subsequently providing more nuanced picture of the contrasting mechanisms that transmit the impact of entrepreneurial leadership on employee innovative behavior.</t>
  </si>
  <si>
    <t>[Iqbal, Amjad; Nazir, Tahira] COMSATS Univ Islamabad Wah Campus, Management Sci, Wah Cantt, Pakistan; [Ahmad, Muhammad Shakil] COMSATS Univ Islamabad Attock Campus, Management Sci, Attock, Pakistan</t>
  </si>
  <si>
    <t>COMSATS University Islamabad (CUI)</t>
  </si>
  <si>
    <t>Iqbal, A (corresponding author), COMSATS Univ Islamabad Wah Campus, Management Sci, Wah Cantt, Pakistan.</t>
  </si>
  <si>
    <t>amjadiqbal76536@gmail.com; tahiraasifpk@hotmail.com; onlyshakil@gmail.com</t>
  </si>
  <si>
    <t>Ahmad, Muhammad Shakil/T-5381-2019; Iqbal, Amjad/AAH-6943-2020</t>
  </si>
  <si>
    <t>Ahmad, Muhammad Shakil/0000-0002-2458-3082; Iqbal, Amjad/0000-0003-1475-0913</t>
  </si>
  <si>
    <t>JAN 3</t>
  </si>
  <si>
    <t>10.1108/EJIM-06-2020-0212</t>
  </si>
  <si>
    <t>NOV 2020</t>
  </si>
  <si>
    <t>XX1AB</t>
  </si>
  <si>
    <t>WOS:000589786900001</t>
  </si>
  <si>
    <t>Le Blanc, PM; Gonzalez-Roma, V; Wang, HJ</t>
  </si>
  <si>
    <t>Le Blanc, Pascale M.; Gonzalez-Roma, Vicente; Wang, Haijiang</t>
  </si>
  <si>
    <t>Charismatic Leadership and Work Team Innovative Behavior: the Role of Team Task Interdependence and Team Potency</t>
  </si>
  <si>
    <t>Charismatic leadership; Team potency; Team innovation; Task interdependence; Work teams</t>
  </si>
  <si>
    <t>TRANSFORMATIONAL LEADERSHIP; MODERATING ROLE; TOP-MANAGEMENT; METAANALYSIS; PERFORMANCE; CLIMATE; MODEL; ORGANIZATIONS; DETERMINANTS; CREATIVITY</t>
  </si>
  <si>
    <t>Although the importance of leadership for innovation processes has been acknowledged, the understanding of the relationships between leadership styles and levels of innovation in work teams is still limited. This study among team managers and team members of 133 Spanish bank branches (i.e., work teams) investigated whether the influence of charismatic leadership on work team innovative behavior comes about via team potency, and whether the relationship between charismatic leadership and team potency is moderated by the level of task interdependence within the team. Data were collected at three different time points. Results of structural equation modeling showed that only at high levels of task interdependence, team managers' charismatic leadership at time 1 was significantly positively related to an increase in team potency at time 2, which in turn was positively related to manager ratings of their work teams' innovative behavior at time 3. This means that only at high levels of task interdependence, charismatic leadership had a significant indirect effect on team innovative behavior via team potency. Thus, our study sheds light on the boundary conditions of this effect.</t>
  </si>
  <si>
    <t>[Le Blanc, Pascale M.; Wang, Haijiang] Eindhoven Univ Technol, Human Performance Management Grp, POB 513, NL-5600 MB Eindhoven, Netherlands; [Gonzalez-Roma, Vicente] Univ Valencia, IDOCAL, Valencia, Spain; [Wang, Haijiang] Huazhong Univ Sci &amp; Technol, Sch Management, Wuhan, Peoples R China</t>
  </si>
  <si>
    <t>Eindhoven University of Technology; University of Valencia; Huazhong University of Science &amp; Technology</t>
  </si>
  <si>
    <t>Le Blanc, PM (corresponding author), Eindhoven Univ Technol, Human Performance Management Grp, POB 513, NL-5600 MB Eindhoven, Netherlands.</t>
  </si>
  <si>
    <t>P.M.Le.Blanc@tue.nl</t>
  </si>
  <si>
    <t>GONZALEZ-ROMA, VICENTE/L-8963-2014; GONZALEZ-ROMA, VICENTE/AAB-8907-2022</t>
  </si>
  <si>
    <t>GONZALEZ-ROMA, VICENTE/0000-0002-0657-7375; GONZALEZ-ROMA, VICENTE/0000-0002-0657-7375; Le Blanc, Pascale/0000-0003-4693-9980</t>
  </si>
  <si>
    <t>National Natural Science Foundation of China [71832004-71701074]</t>
  </si>
  <si>
    <t>Haijiang Wang's contribution was supported by the National Natural Science Foundation of China (Project No. 71832004-71701074).</t>
  </si>
  <si>
    <t>10.1007/s10869-019-09663-6</t>
  </si>
  <si>
    <t>QR3PP</t>
  </si>
  <si>
    <t>WOS:000552948400001</t>
  </si>
  <si>
    <t>Rahmadani, VG; Schaufeli, WB; Stouten, J; Zhang, ZD; Zulkarnain, Z</t>
  </si>
  <si>
    <t>Rahmadani, Vivi Gusrini; Schaufeli, Wilmar B.; Stouten, Jeroen; Zhang, Zhenduo; Zulkarnain, Zulkarnain</t>
  </si>
  <si>
    <t>Engaging Leadership and Its Implication for Work Engagement and Job Outcomes at the Individual and Team Level: A Multi-Level Longitudinal Study</t>
  </si>
  <si>
    <t>INTERNATIONAL JOURNAL OF ENVIRONMENTAL RESEARCH AND PUBLIC HEALTH</t>
  </si>
  <si>
    <t>engaging leadership; work engagement; job outcomes; multi-level; longitudinal</t>
  </si>
  <si>
    <t>SELF-DETERMINATION; INTERRATER RELIABILITY; INNOVATIVE BEHAVIOR; COLLECTIVE EFFICACY; HUMAN-NEEDS; RESOURCES; PERFORMANCE; QUESTIONS; DEMANDS; ORGANIZATION</t>
  </si>
  <si>
    <t>The current study investigates how supervisors' engaging leadership, as perceived by their employees, increases employees' job outcomes at the individual and team level, as mediated by (team) work engagement. Job outcome indicators at the team level are team performance, team learning, and team innovation; and at the individual level, job performance, employee learning, and innovative work behavior. The novel concept of engaging leadership is presented as the specific type of leadership to foster (team) work engagement. A multi-level longitudinal study is conducted among 224 blue collar employees nested in 54 teams in an Indonesian state-owned holding company in the agricultural industry using a one-year time lag. The findings show, as expected, that at the team level, engaging leadership at time 1 predicted team learning and team innovation (but not team performance) at time 2, via team work engagement at time 2. Additionally, an expected cross-level effect was observed from engaging leadership at the team level at time 1 predicting individual job performance (but not employee learning and innovative work behavior) at time 2, via team work engagement at time 2. Finally, an expected second cross-level effect was observed for engaging leadership at the team level at time 1, which predicted individual job performance, employee learning, and innovative work behavior at time 2, via work engagement at time 2.</t>
  </si>
  <si>
    <t>[Rahmadani, Vivi Gusrini; Schaufeli, Wilmar B.; Stouten, Jeroen; Zhang, Zhenduo] Katholieke Univ Leuven, Res Unit Occupat &amp; Org Psychol &amp; Profess Learning, B-3000 Leuven, Belgium; [Rahmadani, Vivi Gusrini; Zulkarnain, Zulkarnain] Univ Sumatera Utara, Fak Psikol, Medan 20155, Indonesia; [Schaufeli, Wilmar B.] Univ Utrecht, Dept Psychol, NL-3508 Utrecht, Netherlands</t>
  </si>
  <si>
    <t>KU Leuven; University of North Sumatra; Utrecht University</t>
  </si>
  <si>
    <t>Rahmadani, VG (corresponding author), Katholieke Univ Leuven, Res Unit Occupat &amp; Org Psychol &amp; Profess Learning, B-3000 Leuven, Belgium.;Rahmadani, VG (corresponding author), Univ Sumatera Utara, Fak Psikol, Medan 20155, Indonesia.</t>
  </si>
  <si>
    <t>vivigusrini.rahmadani@kuleuven.be; wilmar.schaufeli@kuleuven.be; jeroen.stouten@kuleuven.be; zhenduo.zhang@student.kuleuven.be; zulkarnain3@usu.ac.id</t>
  </si>
  <si>
    <t>Zulkarnain, Zulkarnain/GLN-4042-2022; Rahmadani, Vivi Gusrini/CAJ-4070-2022; Schaufeli, Wilmar/B-9645-2013</t>
  </si>
  <si>
    <t>Zulkarnain, Zulkarnain/0000-0002-3707-1844; Rahmadani, Vivi Gusrini/0000-0002-3726-5585; Schaufeli, Wilmar/0000-0002-6070-7150</t>
  </si>
  <si>
    <t>Indonesia Endowment Fund for Education (LPDP) Scholarship</t>
  </si>
  <si>
    <t>This research was funded by Indonesia Endowment Fund for Education (LPDP) Scholarship.</t>
  </si>
  <si>
    <t>1660-4601</t>
  </si>
  <si>
    <t>INT J ENV RES PUB HE</t>
  </si>
  <si>
    <t>Int. J. Environ. Res. Public Health</t>
  </si>
  <si>
    <t>10.3390/ijerph17030776</t>
  </si>
  <si>
    <t>Environmental Sciences; Public, Environmental &amp; Occupational Health</t>
  </si>
  <si>
    <t>Environmental Sciences &amp; Ecology; Public, Environmental &amp; Occupational Health</t>
  </si>
  <si>
    <t>KR7GF</t>
  </si>
  <si>
    <t>WOS:000517783300101</t>
  </si>
  <si>
    <t>Li, C; Makhdoom, HUR; Asim, S</t>
  </si>
  <si>
    <t>Li, Cai; Makhdoom, Habib Ur Rehman; Asim, Shoaib</t>
  </si>
  <si>
    <t>Impact of Entrepreneurial Leadership on Innovative Work Behavior: Examining Mediation and Moderation Mechanisms</t>
  </si>
  <si>
    <t>PSYCHOLOGY RESEARCH AND BEHAVIOR MANAGEMENT</t>
  </si>
  <si>
    <t>entrepreneurial leadership; entrepreneurial self-efficacy; firm's innovative environment; innovative work behavior</t>
  </si>
  <si>
    <t>CREATIVE SELF-EFFICACY; CEOS TRANSFORMATIONAL LEADERSHIP; ORGANIZATIONAL INNOVATION; TRANSACTIONAL LEADERSHIP; EMPLOYEE CREATIVITY; PRODUCT INNOVATION; BUSINESS SURVIVAL; LEVEL INNOVATION; FIRM PERFORMANCE; CLIMATE</t>
  </si>
  <si>
    <t>Purpose: Based on social cognitive theory, the present study aimed to explore the impact of entrepreneurial leadership on employees' innovative work behavior through the moderating path of entrepreneurial self-efficacy in technology-based SMEs. The study also explains the mechanism through which a firm's innovative environment mediates the relationship between entrepreneurial leadership and employees' innovative work behavior. Methods: To pursue the objectives, this study has used data from a sample of 350 supervisor-subordinate dyads working in cross sectional small and medium enterprises (SMEs) operating in the Jiangsu province of China. Based on social cognitive theory and specific continuum of self-efficacy theory, a conceptual model was developed and the hypotheses were tested with the help of SPSS 20. Findings: Empirical findings recommend a significant positive effect of entrepreneurial leadership on employees' innovative work behavior. The study suggested that firm's innovative environment mediates the relationship between entrepreneurial leadership and the employees' innovative behavior. The results also confirmed that entrepreneurial self-efficacy exerts a positive moderating effect on the association of entrepreneurial leadership and employees' innovative behavior. Conclusion: Findings of the present research work have several implications for the management and policymakers of high-tech SMEs who want to augment their employees' innovative behavior in order to compete in a highly competitive and challenging business environment. To the best of authors' knowledge, this work is the first attempt that presents an empirically supported comprehensive model for the development of employees' innovative behavior within entrepreneurial-based high-tech SMEs. It contributes to literature by examining the mediation and moderation process for the development of employees' innovative behavior.</t>
  </si>
  <si>
    <t>[Li, Cai] Jiangsu Univ, Sch Management, Zhejiang, Jiangsu, Peoples R China; [Makhdoom, Habib Ur Rehman; Asim, Shoaib] Jiangsu Univ, Sch Management Sci, 301 Xuefu Rd, Zhejiang 212013, Jiangsu, Peoples R China</t>
  </si>
  <si>
    <t>Jiangsu University; Jiangsu University</t>
  </si>
  <si>
    <t>Makhdoom, HUR (corresponding author), Jiangsu Univ, Sch Management Sci, 301 Xuefu Rd, Zhejiang 212013, Jiangsu, Peoples R China.</t>
  </si>
  <si>
    <t>makhdoom.mentor@gmail.com</t>
  </si>
  <si>
    <t>Asim, Shoaib/AAF-6214-2019</t>
  </si>
  <si>
    <t>Research on the Formation, Evolution and Promotion Strategies of Self-organizing Mass Entrepreneurship &amp; Innovation Behavior, China National Social Science Foundation [16BGL028]; Perception of fairness in selforganized mass Entrepreneurship, Jiangsu Province Graduate Scientific Research Innovation [4061160023]</t>
  </si>
  <si>
    <t>Research on the Formation, Evolution and Promotion Strategies of Self-organizing Mass Entrepreneurship &amp; Innovation Behavior, China National Social Science Foundation; Perception of fairness in selforganized mass Entrepreneurship, Jiangsu Province Graduate Scientific Research Innovation</t>
  </si>
  <si>
    <t>The following projects are the funded this research work. (1) Research on the Formation, Evolution and Promotion Strategies of Self-organizing Mass Entrepreneurship &amp; Innovation Behavior, China National Social Science Foundation (16BGL028). (2) Perception of fairness in selforganized mass Entrepreneurship, Jiangsu Province Graduate Scientific Research Innovation (4061160023).</t>
  </si>
  <si>
    <t>DOVE MEDICAL PRESS LTD</t>
  </si>
  <si>
    <t>ALBANY</t>
  </si>
  <si>
    <t>PO BOX 300-008, ALBANY, AUCKLAND 0752, NEW ZEALAND</t>
  </si>
  <si>
    <t>1179-1578</t>
  </si>
  <si>
    <t>PSYCHOL RES BEHAV MA</t>
  </si>
  <si>
    <t>Psychol. Res. Behav. Manag.</t>
  </si>
  <si>
    <t>10.2147/PRBM.S236876</t>
  </si>
  <si>
    <t>Psychology, Clinical; Psychiatry; Psychology, Multidisciplinary</t>
  </si>
  <si>
    <t>Psychology; Psychiatry</t>
  </si>
  <si>
    <t>KH5TL</t>
  </si>
  <si>
    <t>WOS:000510713000001</t>
  </si>
  <si>
    <t>Tang, Y; Shao, YF; Chen, YJ</t>
  </si>
  <si>
    <t>Tang, Yuan; Shao, Yun-Fei; Chen, Yi-Jun</t>
  </si>
  <si>
    <t>Assessing the Mediation Mechanism of Job Satisfaction and Organizational Commitment on Innovative Behavior: The Perspective of Psychological Capital</t>
  </si>
  <si>
    <t>psychological capital; job satisfaction; organizational commitment; employee innovative behavior; partial least squares</t>
  </si>
  <si>
    <t>WORK-RELATED PERFORMANCE; SELF-EFFICACY; ABUSIVE SUPERVISION; EMPLOYEES; LEADERSHIP; ATTITUDES; IMPACT; DETERMINANTS; METAANALYSIS; ANTECEDENTS</t>
  </si>
  <si>
    <t>Due to increasingly intense competition among companies, employees' innovative behavior has not only become a crucial factor for company development but also a topic of broad and current interest among companies and researchers. It is a requisite for companies to identify the antecedents of employees' innovative behavior. The main objective of this study was to investigate the effect of psychological capital (PsyCap) on employees' innovative behavior through its relationship with job satisfaction and organizational commitment. The partial least squares method was adopted in this study to analyze 266 employees from China. The results showed that PsyCap had positive effects on job satisfaction and organizational commitment, and verified the relationship between employees' innovative behavior and their job satisfaction and organizational commitment. Moreover, the mediating effect of PsyCap in terms of job satisfaction and organizational commitment on employees' innovative behavior was verified by a mediation analysis. Employees' innovative behavior is not only essential for the research and development department; rather, it is also important for other departments. The empirical results of this study show that companies should consider taking measures to increase employees' PsyCap, so as to enhance their innovative behavior. Lastly, the study also provided the managerial implications of its findings and recommendations for future research.</t>
  </si>
  <si>
    <t>[Tang, Yuan; Chen, Yi-Jun] Sichuan Univ Sci &amp; Engn, Inst Management, Zigong, Peoples R China; [Tang, Yuan; Shao, Yun-Fei] Univ Elect Sci &amp; Technol China, Sch Management &amp; Econ, Chengdu, Sichuan, Peoples R China</t>
  </si>
  <si>
    <t>Sichuan University of Science &amp; Engineering; University of Electronic Science &amp; Technology of China</t>
  </si>
  <si>
    <t>Tang, Y; Chen, YJ (corresponding author), Sichuan Univ Sci &amp; Engn, Inst Management, Zigong, Peoples R China.;Tang, Y; Shao, YF (corresponding author), Univ Elect Sci &amp; Technol China, Sch Management &amp; Econ, Chengdu, Sichuan, Peoples R China.</t>
  </si>
  <si>
    <t>201611110117@std.uestc.edu.cn; shaoyf@uestc.edu.cn; yjchen1999@163.com</t>
  </si>
  <si>
    <t>tang, yuan/0000-0001-7336-4882</t>
  </si>
  <si>
    <t>Research Center for Systems Science and Enterprise Development of Sichuan Province [xq16b03]; soft science project of Sichuan Provincial Department of Science and Technology [2017ZR0099, 2019JDR0025]; Science and Technology Bureau of Zigong City of Sichuan Province [2015RK08]; Humanities and Social Sciences of Ministry of Education Planning Fund [19YJA630081]; Planning Office of Sichuan Federation of Social Sciences Associations [SC18EZD022]; National Science Foundation of China [71572028, 71872027]</t>
  </si>
  <si>
    <t>Research Center for Systems Science and Enterprise Development of Sichuan Province; soft science project of Sichuan Provincial Department of Science and Technology; Science and Technology Bureau of Zigong City of Sichuan Province; Humanities and Social Sciences of Ministry of Education Planning Fund; Planning Office of Sichuan Federation of Social Sciences Associations; National Science Foundation of China(National Natural Science Foundation of China (NSFC))</t>
  </si>
  <si>
    <t>This research was supported by the Research Center for Systems Science and Enterprise Development of Sichuan Province (Grant Number: xq16b03), the soft science project of Sichuan Provincial Department of Science and Technology (Grant Numbers: 2017ZR0099 and 2019JDR0025), the Science and Technology Bureau of Zigong City of Sichuan Province (Grant Number: 2015RK08), the Humanities and Social Sciences of Ministry of Education Planning Fund (19YJA630081), Planning Office of Sichuan Federation of Social Sciences Associations (Grant Number: SC18EZD022), and National Science Foundation of China (Grant Numbers: 71572028 and 71872027).</t>
  </si>
  <si>
    <t>DEC 17</t>
  </si>
  <si>
    <t>10.3389/fpsyg.2019.02699</t>
  </si>
  <si>
    <t>JZ3BA</t>
  </si>
  <si>
    <t>WOS:000504976200001</t>
  </si>
  <si>
    <t>Dedahanov, AT; Bozorov, F; Sung, S</t>
  </si>
  <si>
    <t>Dedahanov, Alisher Tohirovich; Bozorov, Faridun; Sung, Sanghyun</t>
  </si>
  <si>
    <t>Paternalistic Leadership and Innovative Behavior: Psychological Empowerment as a Mediator</t>
  </si>
  <si>
    <t>benevolent leadership; moral leadership; authoritarian leadership; empowerment; employee innovative behavior</t>
  </si>
  <si>
    <t>ORGANIZATIONAL-STRUCTURE; SELF-DETERMINATION; MORAL LEADERSHIP; MEMBER EXCHANGE; CREATIVITY; MODEL; WORK; IMPACT; ANTECEDENTS; PERCEPTIONS</t>
  </si>
  <si>
    <t>Purpose: The aim of this study is to examine the mediating role of empowerment on the relationship between paternalistic leadership styles such as benevolent, moral, and authoritarian and employee innovative behavior. Design/methodology/approach: The data were collected from 390 employees of manufacturing companies in the Republic of Korea. To assess the validity of hypotheses we used a structural equation modeling procedure. Findings: The findings suggest that empowerment mediates the relationships among moral and authoritarian leadership styles and employee innovative behavior. However, results indicate that employee innovative behavior does not mediate the associations between benevolent leadership style and employee innovative behavior. Originality/value: Our work is the first to investigate the mediating role of empowerment on the link between paternalistic leadership styles such as benevolent, moral, and authoritarian and employee innovative behavior.</t>
  </si>
  <si>
    <t>[Dedahanov, Alisher Tohirovich; Bozorov, Faridun] Yeungnam Univ, Sch Business, Gyongsan 38541, South Korea; [Sung, Sanghyun] Pohang Univ Sci &amp; Technol, POSTECH Entrepreneurship Ctr, Pohang 37673, South Korea</t>
  </si>
  <si>
    <t>Yeungnam University; Pohang University of Science &amp; Technology (POSTECH)</t>
  </si>
  <si>
    <t>Bozorov, F (corresponding author), Yeungnam Univ, Sch Business, Gyongsan 38541, South Korea.;Sung, S (corresponding author), Pohang Univ Sci &amp; Technol, POSTECH Entrepreneurship Ctr, Pohang 37673, South Korea.</t>
  </si>
  <si>
    <t>Sarbon22513@ynu.ac.kr; Faridun86@hotmail.com; flyparis@postech.ac.kr</t>
  </si>
  <si>
    <t>; Dedahanov, Alisher/U-8017-2017</t>
  </si>
  <si>
    <t>Sung, Sanghyun/0000-0002-5980-9635; Dedahanov, Alisher/0000-0002-2791-6946</t>
  </si>
  <si>
    <t>National Research Foundation of Korea (NRF) - Ministry of Education [NRF-2016R1A6A3A11931014]; Business for University Entrepreneurship Center - Ministry of SMEs and Startups [10016911]</t>
  </si>
  <si>
    <t>National Research Foundation of Korea (NRF) - Ministry of Education(National Research Foundation of Korea); Business for University Entrepreneurship Center - Ministry of SMEs and Startups</t>
  </si>
  <si>
    <t>This research was supported by Basic Science Research Program through the National Research Foundation of Korea (NRF) funded by the Ministry of Education [Grants No. NRF-2016R1A6A3A11931014]. This work [Grants No. 10016911] was supported by Business for University Entrepreneurship Center, funded Ministry of SMEs and Startups in 2014.</t>
  </si>
  <si>
    <t>MAR 24</t>
  </si>
  <si>
    <t>10.3390/su11061770</t>
  </si>
  <si>
    <t>HT1TA</t>
  </si>
  <si>
    <t>WOS:000464346200002</t>
  </si>
  <si>
    <t>Yasir, M; Majid, A</t>
  </si>
  <si>
    <t>Yasir, Muhammad; Majid, Abdul</t>
  </si>
  <si>
    <t>Boundary integration and innovative work behavior among nursing staff</t>
  </si>
  <si>
    <t>Supervisor support; Innovative work behaviour; Boundary integration; Co-workers support; Work-to-family enrichment</t>
  </si>
  <si>
    <t>PERCEIVED ORGANIZATIONAL SUPPORT; FAMILY CONFLICT; JOB-SATISFACTION; LIFE BALANCE; HEALTH-CARE; TO-FAMILY; ENRICHMENT; NURSES; CREATIVITY; WORKPLACE</t>
  </si>
  <si>
    <t>Purpose The purpose of this paper is to investigate the impact of boundary integration (BI) on innovative work behavior (IWB) of nursing staff. Furthermore, in order to understand the constructive role of BI, this study also examines the mediating role of work-to-family enrichment (WFE) and moderating role of co-worker and supervisor support. Design/methodology/approach Data were collected from 786 nurses and 144 doctors (nurse supervisors) through self-administered questionnaires from public sector hospitals in Pakistan. Descriptive statistics, correlation, Baron and Kenny approach (Causal steps approach), PROCESS Macro (Normal Test Theory) developed by Hayes and hierarchical regression approaches were used to analyze the collected data that provide several interesting results for the formulated hypotheses. Findings Results indicated that BI among nursing staff is positively related to doctors' rating of innovative behaviors. Moreover, WFE mediates the relationship of BI and IWB. Furthermore, the results also confirmed that the relationship between BI and IWB is stronger among those nurses who frequently received support from co-workers and supervisors. Originality/value Employees' involvement in innovative work is of crucial importance for organization's strength, especially in health care sector. Although researchers have identified various antecedents of nurses' IWB, however, it is still unclear how BI influences IWB. Moreover, this study focuses on another important element of workplace support and argues that nurses who can successfully manage work and family matters through the integration of boundaries have greater opportunities to achieve enrichment and respond more effectively to demonstrate IWB.</t>
  </si>
  <si>
    <t>[Yasir, Muhammad; Majid, Abdul] Hazara Univ, Dept Management Sci, Mansehra, Pakistan</t>
  </si>
  <si>
    <t>Yasir, M (corresponding author), Hazara Univ, Dept Management Sci, Mansehra, Pakistan.</t>
  </si>
  <si>
    <t>mohammadyasirtaj@gmail.com; ammughalhu@gmail.com</t>
  </si>
  <si>
    <t>Yasir, Muhammad/HHC-1474-2022</t>
  </si>
  <si>
    <t>10.1108/EJIM-02-2018-0035</t>
  </si>
  <si>
    <t>WOS:000454910000001</t>
  </si>
  <si>
    <t>Kong, M; Xu, HY; Zhou, AQ; Yuan, Y</t>
  </si>
  <si>
    <t>Kong, Ming; Xu, Haoying; Zhou, Aiqin; Yuan, Yue</t>
  </si>
  <si>
    <t>Implicit followership theory to employee creativity: The roles of leader-member exchange, self-efficacy and intrinsic motivation</t>
  </si>
  <si>
    <t>followers' creativity; leader-member exchange; intrinsic motivation; creative self-efficacy</t>
  </si>
  <si>
    <t>TRANSFORMATIONAL LEADERSHIP; ORGANIZATIONAL SUPPORT; INNOVATIVE BEHAVIOR; MODEL; GENERALIZABILITY; ANTECEDENTS; EMPOWERMENT; PERCEPTIONS; RELEVANCE</t>
  </si>
  <si>
    <t>Leaders' implicit followership theory describes leaders' personal assumptions about the traits and behaviors that characterize followers. Unlike traditional organizational behavior research, studies on leaders' implicit followership theory can deepen our understandings of 'how leaders and followers perceive, decide and take action' from follower-centric perspective. Adopting 267 follower-leader dyads from 16 Chinese enterprises as our final sample, we found that: (1) positive leaders' implicit followership theory had significant positive effect on followers' creativity; (2) followers' leader-member exchange with leader, intrinsic motivation and creative self-efficacy mediated the positive relationship between positive leaders' implicit followership theory and followers' creativity; (3) no significance difference was found between the mediating effects of leader-member exchange, intrinsic motivation and creative self-efficacy. The current study not only extended the application of social cognitive theory in leadership research, but also made contributions to the enrichment of social exchange theory and componential theory of creativity.</t>
  </si>
  <si>
    <t>[Kong, Ming] Tsinghua Univ, Sch Econ &amp; Management, Beijing, Peoples R China; [Xu, Haoying] Cent Univ Finance &amp; Econ, Sch Business, Beijing, Peoples R China; [Zhou, Aiqin] Hong Kong Polytech Univ, Fac Business, Kowloon, Hong Kong, Peoples R China; [Yuan, Yue] Southwest Univ Sci &amp; Technol, Sch Econ &amp; Management, Mianyang, Sichuan, Peoples R China</t>
  </si>
  <si>
    <t>Tsinghua University; Central University of Finance &amp; Economics; Hong Kong Polytechnic University; Southwest University of Science &amp; Technology - China</t>
  </si>
  <si>
    <t>Kong, M (corresponding author), Tsinghua Univ, Sch Econ &amp; Management, Beijing, Peoples R China.</t>
  </si>
  <si>
    <t>kongm.13@sem.tsinghua.edu.cn</t>
  </si>
  <si>
    <t>10.1017/jmo.2017.18</t>
  </si>
  <si>
    <t>HN0QV</t>
  </si>
  <si>
    <t>WOS:000459894400006</t>
  </si>
  <si>
    <t>Li, Z; Duverger, P; Yu, L</t>
  </si>
  <si>
    <t>Li, Zhou; Duverger, Philippe; Yu, Larry</t>
  </si>
  <si>
    <t>Employee creativity trumps supervisor-subordinate guanxi: Predicting prequitting behaviors in China's hotel industry</t>
  </si>
  <si>
    <t>Perceived organizational support; Affective commitment; Supervisor and subordinate guanxi; Employee creativity; Prequitting behaviors; China</t>
  </si>
  <si>
    <t>PERCEIVED ORGANIZATIONAL SUPPORT; LEADER-MEMBER EXCHANGE; TURNOVER INTENTION; SOCIAL-EXCHANGE; AFFECTIVE COMMITMENT; JOB-SATISFACTION; MEDIATING ROLE; WORK OUTCOMES; INNOVATIVE BEHAVIOR; ROLE PERFORMANCE</t>
  </si>
  <si>
    <t>This study aims to explore the moderating roles Of supervisor-subordinate guanxi and employee creativity in the perceived organizational support-organizational commitment-turnover intention link in the Chinese hotel organizations. Using a matched sample of 85 supervisors and 249 subordinates from 13 hotels in Shenzhen, China, we found that both supervisor-subordinate guanxi and employee creativity altered the relationships of perceived organizational support, affective commitment and employee prequitting behaviors. A significant conditional direct effect of perceived organizational support on prequitting behaviors was moderated by low supervisor subordinate guanxi. Furthermore, a significant conditional indirect relationship between perceived organizational support and prequitting behaviors was found at high employee creativity. Moreover, interactive effect of affective commitment and employee creativity exerted a significant negative effect on prequitting behaviors. Findings shed light on the changing traditional values in modern management practices and the conditions under which organizations can improve employee retention. Theoretical and practical implications for talent management are discussed.</t>
  </si>
  <si>
    <t>[Li, Zhou] Jinan Univ, Shenzhen Tourism Coll, Shenzhen, Peoples R China; [Duverger, Philippe] Towson Univ, Coll Business &amp; Econ, Towson, MD USA; [Yu, Larry] George Washington Univ, Sch Business, Washington, DC 20052 USA</t>
  </si>
  <si>
    <t>Jinan University; University System of Maryland; Towson University; George Washington University</t>
  </si>
  <si>
    <t>Yu, L (corresponding author), George Washington Univ, Sch Business, Washington, DC 20052 USA.</t>
  </si>
  <si>
    <t>Pengcheng Scholar Program - Shenzhen Municipal Education Commission</t>
  </si>
  <si>
    <t>This research was supported by the Pengcheng Scholar Program sponsored by Shenzhen Municipal Education Commission. We are grateful to the three anonymous reviewers for their constructive comments for improving the paper. We thank Xiaoru Chen, graduate student at Shenzhen Tourism College, for faciliating data collection and data entry for this study.</t>
  </si>
  <si>
    <t>10.1016/j.tourman.2018.05.004</t>
  </si>
  <si>
    <t>WOS:000441681400003</t>
  </si>
  <si>
    <t>Dan, X; Xu, SH; Liu, JY; Hou, RN; Liu, YH; Ma, HW</t>
  </si>
  <si>
    <t>Dan, Xin; Xu, Suhuan; Liu, Jingying; Hou, Ruonan; Liu, Yanhui; Ma, Hongwen</t>
  </si>
  <si>
    <t>Relationships among structural empowerment, innovative behaviour, self-efficacy, and career success in nursing field in mainland China</t>
  </si>
  <si>
    <t>INTERNATIONAL JOURNAL OF NURSING PRACTICE</t>
  </si>
  <si>
    <t>career success; innovative behaviour; nursing; self-efficacy; structural empowerment</t>
  </si>
  <si>
    <t>PERCEIVED ORGANIZATIONAL SUPPORT; JOB-SATISFACTION; PSYCHOLOGICAL EMPOWERMENT; NURSES; INTENTION; MODEL; ENVIRONMENT; PREDICTORS; RETENTION; IMPACT</t>
  </si>
  <si>
    <t>Aim: The purpose of the study is to explore the relationships among structural empowerment, innovative behaviour, self-efficacy, and career success by nurses in mainland China. Method: A cross-sectional study was designed, and participants were recruited from 6 tertiary hospitals in Tianjin, China. The study used an anonymous questionnaire, filled voluntarily by 460 nurses in spring 2017. Structural equation modelling analyses were conducted. Results: The results reveal that innovative behaviour is positively associated with career success and self-efficacy, which, in turn, mediates the relationship between structural empowerment and career success. Structural empowerment is positively associated with innovative behaviour and career success. Self-efficacy is positively associated with career success and mediates the relationship between innovative behaviour and career success. Conclusion: Higher perceived structural empowerment, innovative behaviour, and self-efficacy can increase career success of Chinese nurses.</t>
  </si>
  <si>
    <t>[Dan, Xin; Xu, Suhuan; Liu, Jingying; Hou, Ruonan; Liu, Yanhui] Tianjin Univ Tradit Chinese Med, Sch Nursing, Tianjin, Peoples R China; [Dan, Xin; Ma, Hongwen] Tianjin Union Med Ctr, Dept Gastroenterol, 190 Jieyuan Rd, Tianjin 300121, Peoples R China</t>
  </si>
  <si>
    <t>Tianjin University of Traditional Chinese Medicine</t>
  </si>
  <si>
    <t>Ma, HW (corresponding author), Tianjin Union Med Ctr, Dept Gastroenterol, 190 Jieyuan Rd, Tianjin 300121, Peoples R China.</t>
  </si>
  <si>
    <t>geilivable_mhw@126.com</t>
  </si>
  <si>
    <t>Dan, Xin/0000-0003-0530-2801</t>
  </si>
  <si>
    <t>National Natural Science Foundation of China [71704132]</t>
  </si>
  <si>
    <t>The National Natural Science Foundation of China, Grant/Award Number: 71704132</t>
  </si>
  <si>
    <t>1322-7114</t>
  </si>
  <si>
    <t>1440-172X</t>
  </si>
  <si>
    <t>INT J NURS PRACT</t>
  </si>
  <si>
    <t>Int. J. Nurs. Pract.</t>
  </si>
  <si>
    <t>e12674</t>
  </si>
  <si>
    <t>10.1111/ijn.12674</t>
  </si>
  <si>
    <t>GV6XT</t>
  </si>
  <si>
    <t>WOS:000446264000008</t>
  </si>
  <si>
    <t>Eva, N; Prajogo, D; Cooper, B</t>
  </si>
  <si>
    <t>Eva, Nathan; Prajogo, Daniel; Cooper, Brian</t>
  </si>
  <si>
    <t>The relationship between personal values, organizational formalization and employee work outcomes of compliance and innovation</t>
  </si>
  <si>
    <t>Creativity; Innovation; Compliance; Formalization; Conformity</t>
  </si>
  <si>
    <t>CREATIVITY EVIDENCE; CULTURAL-VALUES; BEHAVIOR; PERFORMANCE; CENTRALIZATION; ANTECEDENTS; PERCEPTIONS; PERSPECTIVE; COMMITMENT; STRENGTH</t>
  </si>
  <si>
    <t>Purpose - The purpose of this paper is to examine the interaction between personal values and the organizational context in influencing work behaviors. Specifically, it examines the relationships between two dimensions of personal values based on Schwartz's value theory-self-direction and conformity; and two work behaviors-innovation and compliance. Design/methodology/approach - Survey data were collected from 187 employees in Australia. Multiple regression method was used to test the hypotheses. Findings - The results showed that organizational formalization moderated the relationship between self-direction values and innovative behaviors. As hypothesized, the positive effect of self-direction values on innovative behavior was strongest in less formalized organizations. the authors also found that conformity values predicted compliance behaviors, but no evidence of moderation by organizational formalization. Practical implications - It is important for organizations seeking particular work behaviors to ensure they are hiring employees with corresponding values and structuring the degree of formalization in the organization accordingly. Originality/value - This research contributes to the interactionist perspective, demonstrating that formalization interacts with employee values to influence work behaviors. Further, the authors extend previous studies on self-direction values and creative behaviors by understanding how personal values impact innovative behavior.</t>
  </si>
  <si>
    <t>[Eva, Nathan; Prajogo, Daniel] Monash Univ, Monash Business Sch, Caulfield North, Australia; [Cooper, Brian] Monash Univ, Monash Business Sch, Clayton, Vic, Australia</t>
  </si>
  <si>
    <t>Monash University; Monash University</t>
  </si>
  <si>
    <t>Eva, N (corresponding author), Monash Univ, Monash Business Sch, Caulfield North, Australia.</t>
  </si>
  <si>
    <t>nathan.eva@monash.edu</t>
  </si>
  <si>
    <t>Eva, Nathan/G-5454-2015; Eva, Nathan/AAJ-1940-2021; Prajogo, Daniel/P-9717-2017</t>
  </si>
  <si>
    <t>Eva, Nathan/0000-0003-2735-977X; Eva, Nathan/0000-0003-2735-977X; Prajogo, Daniel/0000-0002-8178-6249</t>
  </si>
  <si>
    <t>10.1108/IJM-06-2015-0090</t>
  </si>
  <si>
    <t>WOS:000401027000010</t>
  </si>
  <si>
    <t>Miron-Spektor, E; Paletz, SBF; Lin, CC</t>
  </si>
  <si>
    <t>Miron-Spektor, Ella; Paletz, Susannah B. F.; Lin, Chun-Chi</t>
  </si>
  <si>
    <t>To create without losing face: The effects of face cultural logic and social-image affirmation on creativity</t>
  </si>
  <si>
    <t>face; creativity; affirmation; culture</t>
  </si>
  <si>
    <t>INDIVIDUALISM-COLLECTIVISM; SELF-AFFIRMATION; INNOVATIVE BEHAVIOR; HONG-KONG; INFORMATION; PERFORMANCE; MANAGEMENT; CONFLICT; WORK; ACHIEVEMENT</t>
  </si>
  <si>
    <t>Creativity is universally valued and desired. Yet, people are often reluctant to engage in creativity out of fear of being dismissed by others and losing facethe positive social image that individuals want to maintain in the presence of others. This paper investigates the effect of face logic endorsement on creativity and proposes face as a possible new explanation for cross-cultural differences in creativity. In three studies using different creativity tasks and with participants from Japan, Israel, and the United States, participants who endorsed the cultural logic of face were less creative than those less endorsing this logic. Face logic endorsement mediated the effect of culture on the novelty and fluency dimensions of creativity (Study 1). Furthermore, social-image affirmation moderated the effects of culture and face logic endorsement on creativity. When individuals' social image was affirmed, cultural differences in creativity were weakened (Study 2), and the within-culture association between face logic endorsement and creativity disappeared (Study 3). We discuss the theoretical and practical implications for fostering creativity in different cultures and in multicultural settings. Copyright (c) 2015 John Wiley &amp; Sons, Ltd.</t>
  </si>
  <si>
    <t>[Miron-Spektor, Ella] Technion Israel Inst Technol, IL-32000 Haifa, Israel; [Paletz, Susannah B. F.] Univ Maryland, College Pk, MD 20742 USA; [Lin, Chun-Chi] Natl Taiwan Univ, Taipei 10764, Taiwan</t>
  </si>
  <si>
    <t>Technion Israel Institute of Technology; University System of Maryland; University of Maryland College Park; National Taiwan University</t>
  </si>
  <si>
    <t>Miron-Spektor, E (corresponding author), Technion Israel Inst Technol, Fac Ind Engn &amp; Management, IL-32000 Haifa, Israel.</t>
  </si>
  <si>
    <t>ellams@ie.technion.ac.il</t>
  </si>
  <si>
    <t>European Union [IRG-PIRG07-GA-2010-268325]; United States National Science Foundation through the Science of Science and Innovation Policy Program [SBE-1064083, SBE-0830210]; Center for Organizational Learning, Innovation, and Knowledge at Carnegie Mellon University</t>
  </si>
  <si>
    <t>European Union(European Commission); United States National Science Foundation through the Science of Science and Innovation Policy Program; Center for Organizational Learning, Innovation, and Knowledge at Carnegie Mellon University</t>
  </si>
  <si>
    <t>This research was supported in part by the European Union's Seventh Framework Programme (FP7/2007-2013) under grant agreement no. IRG-PIRG07-GA-2010-268325 to the first author, and by the United States National Science Foundation grant nos. SBE-1064083 and SBE-0830210 through the Science of Science and Innovation Policy Program to the second author when she was at the Learning Research and Development Center at the University of Pittsburgh. We gratefully acknowledge the support of the Center for Organizational Learning, Innovation, and Knowledge at Carnegie Mellon University. We are grateful to Cynthia Lee, Miriam Erez, Ido Erev, Julia Bear, Jennifer Mueller, Angela Leung, and Yuriko Zemba for their comments on the paper and to Liora Bamberger, Tamar Rabin, Daniela Soibelman, Orit Lahav, Yael Sayev, Yuriko Zemba, Justin Krill, and David Hoops for assistance with data collection and data entry.</t>
  </si>
  <si>
    <t>10.1002/job.2029</t>
  </si>
  <si>
    <t>CS9GB</t>
  </si>
  <si>
    <t>WOS:000362396900003</t>
  </si>
  <si>
    <t>Sijbom, RBL; Janssen, O; Van Yperen, NW</t>
  </si>
  <si>
    <t>Sijbom, Roy B. L.; Janssen, Onne; Van Yperen, Nico W.</t>
  </si>
  <si>
    <t>Leaders' receptivity to subordinates' creative input: The role of achievement goals and composition of creative input</t>
  </si>
  <si>
    <t>Creativity; Learning opportunity; Responsiveness; Goal orientation; Image threat; Leader behaviours</t>
  </si>
  <si>
    <t>FEEDBACK-SEEKING BEHAVIOR; EMPLOYEE VOICE; ORGANIZATIONAL-BEHAVIOR; INNOVATIVE BEHAVIOR; POSITIVE EMOTIONS; REGULATORY FOCUS; PERFORMANCE; ORIENTATION; MOTIVATION; MEDIATION</t>
  </si>
  <si>
    <t>We identified leaders' achievement goals and composition of creative input as important factors that can clarify when and why leaders are receptive to, and supportive of, subordinates' creative input. As hypothesized, in two experimental studies, we found that relative to mastery goal leaders, performance goal leaders were less receptive to subordinates' voiced creative input. In Study 1, we further showed that image threat appraisal and learning opportunity appraisal mediated this effect. In Study 2, we demonstrated that when merely creative ideas were expressed by the subordinate, performance goal leaders responded like mastery goal leaders. However, as in Study 1, performance goal leaders were less receptive to, and less supportive of, subordinates' creative input than mastery goal leaders when the composition of subordinates' creative input included both problem identifications and creative ideas.</t>
  </si>
  <si>
    <t>[Sijbom, Roy B. L.] Univ Ghent, Personnel Management Work &amp; Org Psychol, B-9000 Ghent, Belgium; [Janssen, Onne] Univ Groningen, Dept Human Resource Management &amp; Org Behav, Groningen, Netherlands; [Van Yperen, Nico W.] Univ Groningen, Dept Psychol, NL-9712 TS Groningen, Netherlands</t>
  </si>
  <si>
    <t>Ghent University; University of Groningen; University of Groningen</t>
  </si>
  <si>
    <t>Sijbom, RBL (corresponding author), Univ Amsterdam, Dept Work &amp; Org Psychol, Weesperpl 4, NL-1018 XA Amsterdam, Netherlands.</t>
  </si>
  <si>
    <t>R.B.L.Sijbom@uva.nl</t>
  </si>
  <si>
    <t>Sijbom, Roy/I-5073-2019; Van Yperen, Nico W./C-2341-2012</t>
  </si>
  <si>
    <t>Sijbom, Roy/0000-0001-8473-3903; Van Yperen, Nico W./0000-0003-2116-8841</t>
  </si>
  <si>
    <t>Netherlands Organization for Scientific Research (NWO) [400-04-508]</t>
  </si>
  <si>
    <t>Netherlands Organization for Scientific Research (NWO)(Netherlands Organization for Scientific Research (NWO))</t>
  </si>
  <si>
    <t>This work was supported by the Netherlands Organization for Scientific Research (NWO) [grant number 400-04-508].</t>
  </si>
  <si>
    <t>MAY 4</t>
  </si>
  <si>
    <t>10.1080/1359432X.2014.964215</t>
  </si>
  <si>
    <t>CD2GB</t>
  </si>
  <si>
    <t>WOS:000350892100010</t>
  </si>
  <si>
    <t>Lukes, M</t>
  </si>
  <si>
    <t>Lukes, Martin</t>
  </si>
  <si>
    <t>ENTREPRENEURS AS INNOVATORS: A MULTI-COUNTRY STUDY ON ENTREPRENEURS' INNOVATIVE BEHAVIOUR</t>
  </si>
  <si>
    <t>PRAGUE ECONOMIC PAPERS</t>
  </si>
  <si>
    <t>entrepreneur; self-employed; innovation process; innovative behaviour; intergroup comparisons; representative samples</t>
  </si>
  <si>
    <t>WORK; ENVIRONMENT; MODEL</t>
  </si>
  <si>
    <t>Since Schumpeter, entrepreneurs and innovative activities belong together. Innovativeness as a personality trait is also found to be related to entrepreneurial status and business success. However, not much is known about the specific facets of the entrepreneur's innovative behaviour. This study aims first at better understanding how entrepreneurs differ from managers in the various areas of their innovative behaviour at work. Second, how this behaviour differs for entrepreneurs who have and do not have employees. Representative samples of the working population from Germany, the Czech Republic, Italy and Switzerland (N=3508) were interviewed with the use of the Innovative Behaviour Inventory. Individuals involved in independent entrepreneurial activities create new ideas and attempt to overcome obstacles during implementation more than employed individuals. People who manage other people communicate new ideas and seek to engage other individuals in the implementation of new ideas more than those without subordinates. Finally, what differentiates entrepreneurs from all other groups is their higher involvement in preparatory activities that start the implementation of new ideas. Overall, these differences led to the foremost position of entrepreneurs in achieving the innovation outputs.</t>
  </si>
  <si>
    <t>Univ Econ, Prague 13067 3, Czech Republic</t>
  </si>
  <si>
    <t>Prague University of Economics &amp; Business</t>
  </si>
  <si>
    <t>Lukes, M (corresponding author), Univ Econ, Nam W Churchilla 4, Prague 13067 3, Czech Republic.</t>
  </si>
  <si>
    <t>lukesm@vse.cz</t>
  </si>
  <si>
    <t>Lukes, Martin/G-2677-2019</t>
  </si>
  <si>
    <t>Lukes, Martin/0000-0001-9063-9251</t>
  </si>
  <si>
    <t>UNIV ECONOMICS-PRAGUE</t>
  </si>
  <si>
    <t>PRAGUE 3</t>
  </si>
  <si>
    <t>OECONOMICA PUBL, NAM W CHIRCHILLA 4, PRAGUE 3, CZ-130 67, CZECH REPUBLIC</t>
  </si>
  <si>
    <t>1210-0455</t>
  </si>
  <si>
    <t>2336-730X</t>
  </si>
  <si>
    <t>PRAGUE ECON PAP</t>
  </si>
  <si>
    <t>Prague Econ. Pap.</t>
  </si>
  <si>
    <t>10.18267/j.pep.441</t>
  </si>
  <si>
    <t>128ZC</t>
  </si>
  <si>
    <t>WOS:000317807200004</t>
  </si>
  <si>
    <t>Kim, JG; Lee, SY</t>
  </si>
  <si>
    <t>Kim, Joung-Gun; Lee, Su-Yol</t>
  </si>
  <si>
    <t>Effects of transformational and transactional leadership on employees' creative behaviour: mediating effects of work motivation and job satisfaction</t>
  </si>
  <si>
    <t>ASIAN JOURNAL OF TECHNOLOGY INNOVATION</t>
  </si>
  <si>
    <t>creative behaviour; leadership; mediating effects; structural equation modelling; South Korea</t>
  </si>
  <si>
    <t>INDIVIDUAL CREATIVITY; PROACTIVE PERSONALITY; INTRINSIC MOTIVATION; INNOVATIVE BEHAVIOR; CONTEXTUAL FACTORS; MODERATING ROLE; ORGANIZATIONS; EMPOWERMENT; ORIENTATION; ENVIRONMENT</t>
  </si>
  <si>
    <t>Innovation has emerged as an important business issue and facilitating employee creativity is considered a necessity for any organization interested in achieving and maintaining a competitive advantage in a world characterized by rapid technological change. This paper examines the direct and indirect effects of transformational and transactional leadership on employees' creative behaviour in South Korea by considering work motivation and job satisfaction as two mediating variables. The results of a cross-sectional survey and structural equation modelling indicate that (a) transformational and transactional leadership had no direct effects on employees' creative behaviour (implying that the relationship between leadership and employee creativity should not be seen as straightforwardly causal); (b) transformational leadership worked through employees' work motivation to ultimately influence their creative behaviour; and (c) transformational and transactional leadership had indirect positive effects on employees' creative behaviour through job satisfaction. The results have practical and meaningful implications for managers interested in fostering employee creativity through leadership, work motivation, and job satisfaction.</t>
  </si>
  <si>
    <t>[Lee, Su-Yol] Chonnam Natl Univ, Buk, Gwangju, South Korea; [Kim, Joung-Gun] Global Business Coaching Inst, Seoul, South Korea</t>
  </si>
  <si>
    <t>Chonnam National University</t>
  </si>
  <si>
    <t>Lee, SY (corresponding author), Chonnam Natl Univ, Yongbong 300, Buk, Gwangju, South Korea.</t>
  </si>
  <si>
    <t>leesuyol@chonnam.ac.kr</t>
  </si>
  <si>
    <t>Lee, Su-Yol/AAY-9175-2020</t>
  </si>
  <si>
    <t>1976-1597</t>
  </si>
  <si>
    <t>2158-6721</t>
  </si>
  <si>
    <t>ASIAN J TECHNOL INNO</t>
  </si>
  <si>
    <t>Asian J. Technol. Innov.</t>
  </si>
  <si>
    <t>10.1080/19761597.2011.632590</t>
  </si>
  <si>
    <t>Business; Economics</t>
  </si>
  <si>
    <t>900BO</t>
  </si>
  <si>
    <t>WOS:000300861800005</t>
  </si>
  <si>
    <t>Guillou, S; Lazaric, N; Longhi, C; Rochhia, S</t>
  </si>
  <si>
    <t>Guillou, Sarah; Lazaric, Nathalie; Longhi, Christian; Rochhia, Sylvie</t>
  </si>
  <si>
    <t>The French defence industry in the knowledge management era: A historical overview and evidence from empirical data</t>
  </si>
  <si>
    <t>Defence industry; Knowledge management practices; R&amp;D; Innovation; Technological performance</t>
  </si>
  <si>
    <t>RESEARCH-AND-DEVELOPMENT; COMPLEX PRODUCTS; KNOW-HOW; INNOVATION; CAPABILITY; SYSTEMS; FRANCE; FIRM; INTEGRATION; POLICY</t>
  </si>
  <si>
    <t>In the defence industry the recent development of a 'market for technology', the creation of new European high-technology companies as well as transformations in government agencies have driven firms to reposition their technological and organizational skills. Our objective is to show that the transformations that have occurred in the past 10 years have not only redefined skills and the organization of production, but also have given a more strategic place to knowledge management (KM) practices. We provide a contextual and historical overview based on qualitative interviews, in order to better understand the relation between KM and innovative behaviour in this industry. We build an original industrial and technological database comprising various samples that provides quantitative information concerning KM and innovative practices. The results of the statistical analysis reveal the specificity of firms in this industry. Taking account of the size of these firms and their technological intensity, we show that the behaviour of defence industry firms in terms of KM practices, differs from that of other firms. This is evident from their technological performance, and innovation and patenting intensity. This structural tendency is explained as an innovative behaviour in the French national innovation system rather than merely a 'trend'. Crown Copyright (C) 2008 Published by Elsevier B.V. All rights reserved.</t>
  </si>
  <si>
    <t>[Guillou, Sarah] GREDEG, OFCE, F-06560 Valbonne, France; [Lazaric, Nathalie; Longhi, Christian; Rochhia, Sylvie] GREDEG, UNSA CNRS, F-06560 Valbonne, France</t>
  </si>
  <si>
    <t>UDICE-French Research Universities; Universite Cote d'Azur; Centre National de la Recherche Scientifique (CNRS); UDICE-French Research Universities; Universite Cote d'Azur</t>
  </si>
  <si>
    <t>Lazaric, N (corresponding author), GREDEG, OFCE, 250 Rue Albert Einstein, F-06560 Valbonne, France.</t>
  </si>
  <si>
    <t>lazaric@gredeg.cnrs.fr</t>
  </si>
  <si>
    <t>10.1016/j.respol.2008.10.015</t>
  </si>
  <si>
    <t>400VI</t>
  </si>
  <si>
    <t>WOS:000262897100015</t>
  </si>
  <si>
    <t>Aoki, K; Nakahashi, W</t>
  </si>
  <si>
    <t>Aoki, Kenichi; Nakahashi, Wataru</t>
  </si>
  <si>
    <t>Evolution of learning in subdivided populations that occupy environmentally heterogeneous sites</t>
  </si>
  <si>
    <t>THEORETICAL POPULATION BIOLOGY</t>
  </si>
  <si>
    <t>Stepping stone models; Irregular migration pattern; Maladaptive behavior; Population size at equilibrium; Range expansion; Transient spatial distribution; Burst of innovative behaviors</t>
  </si>
  <si>
    <t>CONFORMIST TRANSMISSION; SELECTION FAVORS; CULTURE; EMERGENCE; INNOVATION; AFRICA; ORIGIN; MODEL</t>
  </si>
  <si>
    <t>We study the effects of natural selection and migration on the numbers of individual learners and social learners in subdivided populations that occupy environmentally heterogeneous sites. The island model and the circular stepping model each have four classes of globally stable equilibria (fixation of individual learners, polymorphism of individual and social learners, fixation of social learners, and extinction). The linear stepping stone model has an additional class of equilibria, which are characterized by the complete absence of phenotypes adapted to the interior sites. Low and high rates of migration favor social and individual learners, respectively, in all three models. In addition, we use the stepping stone models to study the range expansion of a species, initially confined to one environmentally homogeneous site, into the spatially heterogeneous world. The successive peaks of the transient spatial distributions of the number of individual learners occur at initially empty sites. (c) 2008 Elsevier Inc. All rights reserved.</t>
  </si>
  <si>
    <t>[Aoki, Kenichi; Nakahashi, Wataru] Univ Tokyo, Dept Biol Sci, Bunkyo Ku, Tokyo 1130033, Japan</t>
  </si>
  <si>
    <t>University of Tokyo</t>
  </si>
  <si>
    <t>Aoki, K (corresponding author), Univ Tokyo, Dept Biol Sci, Bunkyo Ku, Hongo 7-3-1, Tokyo 1130033, Japan.</t>
  </si>
  <si>
    <t>kenaoki@biol.s.u-tokyo.ac.jp</t>
  </si>
  <si>
    <t>Nakahashi, Wataru/AAB-7215-2019</t>
  </si>
  <si>
    <t>Nakahashi, Wataru/0000-0003-4081-6365</t>
  </si>
  <si>
    <t>0040-5809</t>
  </si>
  <si>
    <t>THEOR POPUL BIOL</t>
  </si>
  <si>
    <t>Theor. Popul. Biol.</t>
  </si>
  <si>
    <t>10.1016/j.tpb.2008.09.006</t>
  </si>
  <si>
    <t>Ecology; Evolutionary Biology; Genetics &amp; Heredity; Mathematical &amp; Computational Biology</t>
  </si>
  <si>
    <t>Environmental Sciences &amp; Ecology; Evolutionary Biology; Genetics &amp; Heredity; Mathematical &amp; Computational Biology</t>
  </si>
  <si>
    <t>381JW</t>
  </si>
  <si>
    <t>WOS:000261533200008</t>
  </si>
  <si>
    <t>Singh, V; Vinnicombe, S</t>
  </si>
  <si>
    <t>What does commitment really mean? Views of UK and Swedish engineering managers</t>
  </si>
  <si>
    <t>commitment; engineers; gender; managers; United Kingdom; Sweden</t>
  </si>
  <si>
    <t>ORGANIZATIONAL COMMITMENT; GENDER; METAANALYSIS; PERFORMANCE; CAREERS</t>
  </si>
  <si>
    <t>There is little research on managers' meanings of commitment. Unprompted responses from interviews with 37 senior engineers in three major UK and Swedish engineering companies indicate a shift from the traditional conceptualisation of commitment as desiring to remain in, and identification with, the organisation, towards a meaning putting more emphasis on a highly proactive, innovative and challenging approach to work as a mutually beneficial psychological contract between organisation and individual Women responded with less visible meanings of commitment. When engineers are assessed on commitment for promotion, or for UK chartered engineer status, these differences may impact on the process differently for men and women. More Swedish than UK engineers identified task delivery, involvement, and ready for challenge, while more UK engineers mentioned creativity and innovative behaviour, as part of their meaning of commitment. These findings are indicative of the shift towards high performance, high commitment HRM in both countries.</t>
  </si>
  <si>
    <t>Cranfield Univ, Sch Management, Cranfield MK43 0AL, Beds, England</t>
  </si>
  <si>
    <t>Cranfield University</t>
  </si>
  <si>
    <t>Singh, V (corresponding author), Cranfield Univ, Sch Management, Cranfield MK43 0AL, Beds, England.</t>
  </si>
  <si>
    <t>MCB UNIV PRESS LTD</t>
  </si>
  <si>
    <t>BRADFORD</t>
  </si>
  <si>
    <t>60/62 TOLLER LANE, BRADFORD BD8 9BY, W YORKSHIRE, ENGLAND</t>
  </si>
  <si>
    <t>10.1108/00483480010296014</t>
  </si>
  <si>
    <t>293DZ</t>
  </si>
  <si>
    <t>WOS:000085837400014</t>
  </si>
  <si>
    <t>Bani-Melhem, S; Quratulain, S; Al-Hawari, MA</t>
  </si>
  <si>
    <t>Bani-Melhem, Shaker; Quratulain, Samina; Al-Hawari, Mohammad Ahmad</t>
  </si>
  <si>
    <t>Does Employee Resilience Exacerbate the Effects of Abusive Supervision? A Study of Frontline Employees' Self-Esteem, Turnover Intention, and Innovative Behaviors</t>
  </si>
  <si>
    <t>Abusive Supervision; employee Resilience; self-esteem; innovative Behaviors; turnover Intention</t>
  </si>
  <si>
    <t>Drawing on self-enhancement theory, this study examines the exacerbating influence of employee resilience on the relationship between abusive supervision and employee reactions, namely employee self-esteem, turnover intention and innovative behaviors. Two waves of survey data were collected from 205 frontline employees of hospitality organizations in the UAE, and structural equation modeling was used to analyze the model. The findings suggest that the negative relationship between abusive supervision and employee self-esteem is stronger when employees have high resilience. The mediating effect of self-esteem on the relationship between abusive supervision and turnover intention or innovative behaviors is also significant for highly resilient employees. These findings provide novel insights by highlighting the previously unexplored exacerbating role played by employee resilience in the abusive supervision-employee work outcomes relationship in the hospitality context.</t>
  </si>
  <si>
    <t>[Bani-Melhem, Shaker; Quratulain, Samina; Al-Hawari, Mohammad Ahmad] Univ Sharjah, Coll Business Adm, Dept Management, Univ Sharjah Campus, Sharjah 27272, U Arab Emirates</t>
  </si>
  <si>
    <t>Bani-Melhem, S (corresponding author), Univ Sharjah, Coll Business Adm, Dept Management, Univ Sharjah Campus, Sharjah 27272, U Arab Emirates.</t>
  </si>
  <si>
    <t>ssaleh@sharjah.ac.ae</t>
  </si>
  <si>
    <t>10.1080/19368623.2021.1860850</t>
  </si>
  <si>
    <t>JAN 2021</t>
  </si>
  <si>
    <t>SN7YV</t>
  </si>
  <si>
    <t>WOS:000605412000001</t>
  </si>
  <si>
    <t>Luu, DT</t>
  </si>
  <si>
    <t>Luu, Dung Tien</t>
  </si>
  <si>
    <t>The effect of internal corporate social responsibility practices on pharmaceutical firm's performance through employee intrapreneurial behaviour</t>
  </si>
  <si>
    <t>Firm performance; Innovative behaviour; Micro-CSR; Strategic renewal behaviour; Venture behaviour</t>
  </si>
  <si>
    <t>ENTREPRENEURIAL ORIENTATION; ORGANIZATIONAL IDENTIFICATION; BUSINESS PERFORMANCE; TRANSFORMATIONAL LEADERSHIP; WORK BEHAVIOR; CSR; MEDIATION; STRATEGY; SUGGESTIONS; PERCEPTIONS</t>
  </si>
  <si>
    <t>Purpose The present study aimed to investigate the relationship between employee perceived internal corporate social responsibility (CSR) practices and pharmaceutical firms' performance with the mediating role of employee intrapreneurial behaviour. Design/methodology/approach The study sample consisted of 607 employees at pharmaceutical firms in Ho Chi Minh City of Vietnam. The data was analysed by a structural equation modelling (SEM). Findings The results revealed that the model fitted well into the empirical data considering the goodness-of-fit measures. The estimates results revealed the significant total effects of employee perception of internal CSR practices on pharmaceutical firms' performances through the influencing mechanism of employee intrapreneurial behaviour. Practical implications Employee welfare is a fundamental factor for organisational performance. Ethical organisations might yield prosperity through innovation employee behaviour. Firms should build the structure and mechanism to implement internal CSR and support the commitment of intrapreneurship. Originality/value The study investigates how employees respond to internal CSR practices and contribute to firm performance through employee intrapreneurial behaviour.</t>
  </si>
  <si>
    <t>[Luu, Dung Tien] Lac Hong Univ, Fac Postgrad Studies, Bien Hoa, Vietnam</t>
  </si>
  <si>
    <t>Lac Hong University</t>
  </si>
  <si>
    <t>Luu, DT (corresponding author), Lac Hong Univ, Fac Postgrad Studies, Bien Hoa, Vietnam.</t>
  </si>
  <si>
    <t>dunglt@lhu.edu.vn</t>
  </si>
  <si>
    <t>Dung, Luu Tien/AAE-6503-2019</t>
  </si>
  <si>
    <t>Dung, Luu Tien/0000-0002-5953-2760</t>
  </si>
  <si>
    <t>DEC 7</t>
  </si>
  <si>
    <t>10.1108/JOCM-03-2020-0072</t>
  </si>
  <si>
    <t>PD8GF</t>
  </si>
  <si>
    <t>WOS:000597915800008</t>
  </si>
  <si>
    <t>Opoku, MA; Choi, SB; Kang, SW</t>
  </si>
  <si>
    <t>Opoku, Mavis Agyemang; Choi, Suk Bong; Kang, Seung-Wan</t>
  </si>
  <si>
    <t>Servant Leadership and Innovative Behaviour: An Empirical Analysis of Ghana's Manufacturing Sector</t>
  </si>
  <si>
    <t>servant leadership; social identity theory; perceived insider status; team-member exchange; innovative work behaviour</t>
  </si>
  <si>
    <t>SOCIAL IDENTITY THEORY; MEMBER EXCHANGE; PSYCHOLOGICAL EMPOWERMENT; MEDIATING ROLE; WORK; CREATIVITY; PERSPECTIVE; TEAM; PERFORMANCE; IDENTIFICATION</t>
  </si>
  <si>
    <t>In the competitive global market, innovation is vital to a firm's longevity. To this end, organisations seek new and alternative ways to motivate employee innovation. This study examines the role of servant leadership as an antecedent to innovation. Drawing on the social identity model, this study examines the effect of servant leadership, team-member exchange (TMX) and perceived insider status on employee innovative behaviour. Primary data were collected from six manufacturing companies in Ghana. Using a sample of 213 employees and their immediate supervisors, a confirmatory factor analysis was conducted to test the discriminant validity of our measurement model. Hierarchical multiple regression was then used to determine direct and interaction effects, followed by bootstrapping tests to identify mediation and moderated mediation effects. The results showed that servant leadership and TMX are significantly related to perceived insider status. The bootstrapping indirect test and Sobel test demonstrated that perceived insider status mediates the relationship between servant leadership and innovative work behaviour. Moreover, the mediated relationship is only significant when TMX is low. This study empirically validated servant leadership as an antecedent to employee innovative behaviour. The findings demonstrated that perceived insider status is a mediating mechanism in this relationship, with TMX as its boundary condition.</t>
  </si>
  <si>
    <t>[Opoku, Mavis Agyemang; Kang, Seung-Wan] Gachon Univ, Coll Business, Seongnam 13120, South Korea; [Choi, Suk Bong] Korea Univ, Coll Global Business, 2511 Sejong Ro, Sejong City 30019, South Korea</t>
  </si>
  <si>
    <t>Gachon University; Korea University</t>
  </si>
  <si>
    <t>Kang, SW (corresponding author), Gachon Univ, Coll Business, Seongnam 13120, South Korea.;Choi, SB (corresponding author), Korea Univ, Coll Global Business, 2511 Sejong Ro, Sejong City 30019, South Korea.</t>
  </si>
  <si>
    <t>opokuagyemangm@yahoo.com; sukchoi@korea.ac.kr; global7@gachon.ac.kr</t>
  </si>
  <si>
    <t>Silva, Gleibson/AAA-8482-2021; Kang, Seung-Wan/K-5716-2019</t>
  </si>
  <si>
    <t>Silva, Gleibson/0000-0003-0945-2567; Kang, Seung-Wan/0000-0002-6170-1009; Opoku, Mavis/0000-0002-9989-0589</t>
  </si>
  <si>
    <t>10.3390/su11226273</t>
  </si>
  <si>
    <t>JW8DR</t>
  </si>
  <si>
    <t>WOS:000503277900086</t>
  </si>
  <si>
    <t>Ebert, T; Brenner, T; Brixy, U</t>
  </si>
  <si>
    <t>Ebert, Tobias; Brenner, Thomas; Brixy, Udo</t>
  </si>
  <si>
    <t>New firm survival: the interdependence between regional externalities and innovativeness</t>
  </si>
  <si>
    <t>Firm survival; Innovation; Externalities</t>
  </si>
  <si>
    <t>BUSINESS SURVIVAL; AGGLOMERATION; GROWTH; DETERMINANTS; LIFE; TECHNOLOGY; INDUSTRY; DURATION; CLUSTERS; VARIETY</t>
  </si>
  <si>
    <t>Many studies have shown that regional externalities play a crucial role for the survival prospects of newly founded companies. However, recent research provides evidence that not all businesses are affected by these externalities in the same way. Relying on new and representative panel survey data containing information about 6776 newly founded firms from almost all economic sectors in Germany, this paper suggests that the effects of regional externalities on survival are contingent upon the start-up's innovative behavior. First, we show that introducing market novelties is not necessarily beneficial for newly founded firms and might even endanger their survival. Second, we find that being located in spatial proximity to similar firms is important for start-ups in non-high-tech environments and has a positive influence on survival only for less innovative companies. In contrast, high-tech start-ups are more likely to be affected by a diverse economic structure. We thus suggest that the recombination of knowledge from diverse sources can lead to overly complex innovation projects with detrimental effects on the start-up's survival prospects.</t>
  </si>
  <si>
    <t>[Ebert, Tobias] Univ Mannheim, Mannheim Ctr European Social Res, A5,6, D-68159 Mannheim, Germany; [Brenner, Thomas] Philipps Univ Marburg, Econ Geog &amp; Locat Anal, Deutschhausstr 10, D-35032 Marburg, Germany; [Brixy, Udo] Inst Employment Res IAB, Regensburger Str 104, D-90478 Nurnberg, Germany; [Brixy, Udo] Ludwig Maximilians Univ Munchen, Dept Geog, Luisenstr 37, D-80333 Munich, Germany</t>
  </si>
  <si>
    <t>University of Mannheim; Philipps University Marburg; University of Munich</t>
  </si>
  <si>
    <t>Ebert, T (corresponding author), Univ Mannheim, Mannheim Ctr European Social Res, A5,6, D-68159 Mannheim, Germany.</t>
  </si>
  <si>
    <t>tobias.ebert@mzes.uni-mannheim.de; thomas.brenner@geo.uni-marburg.de; udo.brixy@iab.de</t>
  </si>
  <si>
    <t>Ebert, Tobias/0000-0003-0146-2517</t>
  </si>
  <si>
    <t>10.1007/s11187-018-0026-4</t>
  </si>
  <si>
    <t>HZ0BQ</t>
  </si>
  <si>
    <t>WOS:000468505900014</t>
  </si>
  <si>
    <t>Porraz, G; Val, A; Tribolo, C; Mercier, N; de la Pena, P; Haaland, MM; Igreje, M; Miller, CE; Schmid, VC</t>
  </si>
  <si>
    <t>Porraz, Guillaume; Val, Aurore; Tribolo, Chantal; Mercier, Norbert; de la Pena, Paloma; Haaland, Magnus M.; Igreje, Marina; Miller, Christopher E.; Schmid, Viola C.</t>
  </si>
  <si>
    <t>The MIS5 Pietersburg at '28' Bushman Rock Shelter, Limpopo Province, South Africa</t>
  </si>
  <si>
    <t>MIDDLE STONE-AGE; OPTICALLY STIMULATED LUMINESCENCE; REGENERATIVE-DOSE PROTOCOL; POST-HOWIESONS POORT; WESTERN CAPE; OSTRICH EGGSHELL; BORDER CAVE; HUMAN-BEHAVIOR; FELDSPAR IRSL; MODERN HUMANS</t>
  </si>
  <si>
    <t>In the past few decades, a diverse array of research has emphasized the precocity of technically advanced and symbolic practices occurring during the southern African Middle Stone Age. However, uncertainties regarding the regional chrono-cultural framework constrain models and identification of the cultural and ecological mechanisms triggering the development of such early innovative behaviours. Here, we present new results and a refined chronology for the Pietersburg, a techno-complex initially defined in the late 1920's, which has disappeared from the literature since the 1980's. We base our revision of this techno-complex on ongoing excavations at Bushman Rock Shelter (BRS) in Limpopo Province, South Africa, where two Pietersburg phases (an upper phase called '21' and a lower phase called '28') are recognized. Our analysis focuses on the '28' phase, characterized by a knapping strategy based on Levallois and semi-prismatic laminar reduction systems and typified by the presence of end-scrapers. Luminescence chronology provides two sets of ages for the upper and lower Pietersburg of BRS, dated respectively to 73 +/- 6ka and 75 +/- 6ka on quartz and to 91 +/- 10ka and 97 +/- 10ka on feldspar, firmly positioning this industry within MIS5. Comparisons with other published lithic assemblages show technological differences between the Pietersburg from BRS and other southern African MIS5 traditions, especially those from the Western and Eastern Cape. We argue that, at least for part of MIS5, human populations in South Africa were regionally differentiated, a process that most likely impacted the way groups were territorially and socially organized. Nonetheless, comparisons between MIS5 assemblages also indicate some typological similarities, suggesting some degree of connection between human groups, which shared similar innovations but manipulated them in different ways. We pay particular attention to the end-scrapers from BRS, which represent thus far the earliest documented wide adoption of such tool-type and provide further evidence for the innovative processes characterizing southern Africa from the MIS5 onwards.</t>
  </si>
  <si>
    <t>[Porraz, Guillaume; Schmid, Viola C.] Univ Paris Ouest Nanterre Def, ArScAn AnTET, UMR 7041, CNRS, Paris, France; [Porraz, Guillaume; Val, Aurore; de la Pena, Paloma] Univ Witwatersrand, Evolutionary Studies Inst, Johannesburg, South Africa; [Val, Aurore] Ditsong Natl Museum Nat Hist, Pretoria, South Africa; [Tribolo, Chantal; Mercier, Norbert] CNRS Univ Bordeaux Montaigne, IRAMAT CRP2A, UMR 5060, CNRS, Bordeaux, France; [Haaland, Magnus M.] Univ Bergen, Dept Archaeol Hist Cultural Studies &amp; Relig, Bergen, Norway; [Haaland, Magnus M.; Miller, Christopher E.] Univ Bergen, Ctr Early Sapience Behav SapienCE, Bergen, Norway; [Igreje, Marina] Univ Porto, Porto, Portugal; [Miller, Christopher E.] Univ Tubingen, Inst Archaeol Sci, Tubingen, Germany; [Miller, Christopher E.] Univ Tubingen, Senckenberg Ctr Human Evolut &amp; Palaeoenvironm, Tubingen, Germany; [Schmid, Viola C.] Univ Tubingen, Abt Altere Urgeschichte &amp; Quartarokol, Tubingen, Germany</t>
  </si>
  <si>
    <t>Centre National de la Recherche Scientifique (CNRS); CNRS - Institute for Humanities &amp; Social Sciences (INSHS); UDICE-French Research Universities; Universite Paris Saclay; Universite Paris Nanterre; University of Witwatersrand; CEA; Centre National de la Recherche Scientifique (CNRS); Universite Bordeaux-Montaigne; Universite de Orleans; Universite de Technologie de Belfort-Montbeliard (UTBM); CNRS - Institute for Humanities &amp; Social Sciences (INSHS); University of Bergen; University of Bergen; Universidade do Porto; Eberhard Karls University of Tubingen; Eberhard Karls University of Tubingen; Senckenberg Gesellschaft fur Naturforschung (SGN); Eberhard Karls University of Tubingen</t>
  </si>
  <si>
    <t>Porraz, G (corresponding author), Univ Paris Ouest Nanterre Def, ArScAn AnTET, UMR 7041, CNRS, Paris, France.;Porraz, G (corresponding author), Univ Witwatersrand, Evolutionary Studies Inst, Johannesburg, South Africa.</t>
  </si>
  <si>
    <t>guillaume.porraz@mae.u-paris10.fr</t>
  </si>
  <si>
    <t>de la Peña, Paloma/ABB-3086-2021; de la Peña, Paloma/AAA-6605-2021</t>
  </si>
  <si>
    <t>de la Peña, Paloma/0000-0001-9731-7001; Igreja, Marina/0000-0001-7959-6422; TRIBOLO, Chantal/0000-0003-0506-2430; Schmid, Viola/0000-0001-8630-4782; Haaland, Magnus/0000-0002-3655-3120; Mercier, Norbert/0000-0002-6375-9108; guillaume, porraz/0000-0003-0103-9583</t>
  </si>
  <si>
    <t>French Ministry of Foreign Affairs; Fyssen Foundation; Region Nouvelle Aquitaine through the DAPRES_LA_FEM project; Deutsche Forschungsgemeinschaft [MI 1748/1-1]; DST/NRF Centre of Excellence in Palaeosciences (CoE in Palaeosciences); Evolutionary Studies Institute (University of the Witwatersrand); French Institute of South Africa</t>
  </si>
  <si>
    <t>French Ministry of Foreign Affairs; Fyssen Foundation; Region Nouvelle Aquitaine through the DAPRES_LA_FEM project; Deutsche Forschungsgemeinschaft(German Research Foundation (DFG)); DST/NRF Centre of Excellence in Palaeosciences (CoE in Palaeosciences); Evolutionary Studies Institute (University of the Witwatersrand); French Institute of South Africa</t>
  </si>
  <si>
    <t>The excavation at Bushman Rock Shelter is funded by the French Ministry of Foreign Affairs (to GP) and initially benefited from a grant of the Fyssen Foundation (http://www.fondationfyssen.fr/en/) (to GP). The dating was supported by the Region Nouvelle Aquitaine through the DAPRES_LA_FEM project (to CT, NM). Geoarchaeological research was funded by a grant of the Deutsche Forschungsgemeinschaft (MI 1748/1-1) (to CEM). AV and PDLP have a support from the DST/NRF Centre of Excellence in Palaeosciences (CoE in Palaeosciences). Supported was also provided by the Evolutionary Studies Institute (University of the Witwatersrand) and the French Institute of South Africa. The funders had no role in study design, data collection and analysis, decision to publish, or preparation of the manuscript.</t>
  </si>
  <si>
    <t>OCT 10</t>
  </si>
  <si>
    <t>e0202853</t>
  </si>
  <si>
    <t>10.1371/journal.pone.0202853</t>
  </si>
  <si>
    <t>GW4VA</t>
  </si>
  <si>
    <t>WOS:000446921100012</t>
  </si>
  <si>
    <t>Tsai, SP</t>
  </si>
  <si>
    <t>Tsai, Shu-pei</t>
  </si>
  <si>
    <t>Innovative behaviour of knowledge workers and social exchange attributes of financial incentive: implications for knowledge management</t>
  </si>
  <si>
    <t>Knowledge workers; Knowledge management; Social cognition; Innovative behaviour; Pay-for-performance policy</t>
  </si>
  <si>
    <t>PERCEIVED ORGANIZATIONAL SUPPORT; HUMAN-RESOURCE MANAGEMENT; PAY-FOR-PERFORMANCE; EMPLOYEE ENGAGEMENT; PSYCHOLOGICAL EMPOWERMENT; TALENT MANAGEMENT; MODERATING ROLE; JOB ENGAGEMENT; MEDIATING ROLE; SELF-EFFICACY</t>
  </si>
  <si>
    <t>Purpose Enhancing the innovative behaviour of knowledge workers is a main task in knowledge management. The pay-for-performance policy is one of the management practices for innovative behaviour enhancement and has been gaining popularity in the knowledge-intensive context. However, it is still uncertain whether such practice really enhances the innovative behaviour of knowledge workers. To address this issue, this paper aims to propose and verify a conceptual framework incorporating kernel notions of social exchange, psychological empowerment and work engagement rooted in the social cognition paradigm. Design/methodology/approach The current study conducts a survey on 608 knowledge workers and their supervisors, validating the model structure and causal path pattern of the proposed framework. The causality is delineated from social exchange attributes of financial incentive, psychological empowerment and work engagement to innovative behaviour of knowledge workers. Findings Perceived organisational support and perceived pay equity are primary antecedents of symbolic incentive meaning reflected in the financial incentive of the pay-for-performance policy. Symbolic incentive meaning comprising dimensions of relative position, control and personal importance relates positively to innovative behaviour of knowledge workers. Psychological empowerment and work engagement are partial mediators of the positive relationship. Originality/value The current study explicates why and how social exchange attributes of the financial incentive provided by the pay-for-performance policy may enhance innovative behaviour of knowledge workers. Implications are supplied to knowledge management scholars and practitioners to optimise the pay-for-performance policy for innovative behaviour enhancement.</t>
  </si>
  <si>
    <t>[Tsai, Shu-pei] Shih Hsin Univ, Dept Publ Relat &amp; Advertising, Taipei, Taiwan</t>
  </si>
  <si>
    <t>Shih Hsin University</t>
  </si>
  <si>
    <t>Tsai, SP (corresponding author), Shih Hsin Univ, Dept Publ Relat &amp; Advertising, Taipei, Taiwan.</t>
  </si>
  <si>
    <t>tsaisp@mail.shu.edu.tw</t>
  </si>
  <si>
    <t>10.1108/JKM-07-2017-0293</t>
  </si>
  <si>
    <t>GX4EB</t>
  </si>
  <si>
    <t>WOS:000447678900004</t>
  </si>
  <si>
    <t>Ouyang, X; Liu, ZQ; Gui, CL</t>
  </si>
  <si>
    <t>Ouyang, Xi; Liu, Zhiqiang; Gui, Chenglin</t>
  </si>
  <si>
    <t>Creativity in the hospitality and tourism industry: a meta-analysis</t>
  </si>
  <si>
    <t>Creativity; Long-term orientation; Meta-analysis; Antecedents; Uncertainty avoidance</t>
  </si>
  <si>
    <t>LEADER-MEMBER EXCHANGE; HUMAN-RESOURCE PRACTICES; EMPLOYEE CREATIVITY; TRANSFORMATIONAL LEADERSHIP; INNOVATIVE BEHAVIOR; SELF-EFFICACY; UNCERTAINTY AVOIDANCE; REGULATORY FOCUS; CHINESE CONTEXT; MODERATING ROLE</t>
  </si>
  <si>
    <t>Purpose Underpinned by the ability-motivation-opportunity framework, this paper aims to establish a framework of employee creativity antecedents in the hospitality and tourism industries and meta-analytically examine the magnitude of effect sizes as well as the moderating effects of cultural factors. Design/methodology/approach A meta-analysis using data from 82 independent studies was conducted to explore the hypothesized relationships and verify how they were contingent on uncertainty avoidance and long-term orientation. Findings The results supported the majority of hypotheses about the relationships between antecedents and creativity. Furthermore, they showed that the effects of intrinsic motivation, positive affect and climate for innovation on creativity in the hospitality and tourism industries were significantly larger than those reported in previous meta-analyses. It also showed that uncertainty avoidance and long-term orientation could buffer or strengthen some associations. Practical implications This study generates some essential managerial suggestions for organizations in need of innovation. Managers can learn from the results so as to effectively promote the ability, motivation and opportunity for creativity and merge cultural elements with innovation strategy when they operate globally. Originality/value This study provides a theory-based explanation for how employee creativity can be activated. To the best of the authors' knowledge, this study is a first attempt to meta-analytically test the underlying determinants of employee creativity in the hospitality and tourism industries. Additionally, the search for boundary conditions of the proposed relationships is likely to reconcile existing conflicts and inspire future studies.</t>
  </si>
  <si>
    <t>[Ouyang, Xi; Liu, Zhiqiang; Gui, Chenglin] Huazhong Univ Sci &amp; Technol, Sch Management, Wuhan, Peoples R China</t>
  </si>
  <si>
    <t>Huazhong University of Science &amp; Technology</t>
  </si>
  <si>
    <t>Gui, CL (corresponding author), Huazhong Univ Sci &amp; Technol, Sch Management, Wuhan, Peoples R China.</t>
  </si>
  <si>
    <t>clgui@hust.edu.cn</t>
  </si>
  <si>
    <t>National Natural Science Foundation of China [71832004, 72072066, 71572066]</t>
  </si>
  <si>
    <t>This research was supported financially by grants from the National Natural Science Foundation of China (71832004, 72072066, and 71572066).</t>
  </si>
  <si>
    <t>OCT 20</t>
  </si>
  <si>
    <t>10.1108/IJCHM-03-2021-0411</t>
  </si>
  <si>
    <t>SEP 2021</t>
  </si>
  <si>
    <t>WU3LF</t>
  </si>
  <si>
    <t>WOS:000692139300001</t>
  </si>
  <si>
    <t>Wang, ZN; Ren, S; Chadee, D; Liu, ML; Cai, SH</t>
  </si>
  <si>
    <t>Wang, Zhining; Ren, Shuang; Chadee, Doren; Liu, Mengli; Cai, Shaohan</t>
  </si>
  <si>
    <t>Team reflexivity and employee innovative behavior: the mediating role of knowledge sharing and moderating role of leadership</t>
  </si>
  <si>
    <t>Knowledge sharing; Leadership; Employee innovative behavior; Team reflexivity</t>
  </si>
  <si>
    <t>Purpose - Although team reflexivity has been identified as a potent tool for improving organizational performance, how and when it influences individual employee innovative behavior remains theoretically and conceptually underspecified. Taking a knowledge management perspective, this study aims to investigate the role of team-level knowledge sharing and leadership in transforming team reflexivity into innovative behavior at the individual level. Design/methodology/approach - The paper follows a multilevel study design to collect data (n = 441) from 91 teams in 48 knowledge-based organizations. The paper tests our multilevel model using multinomial logistic techniques. Findings - The overall results confirm that knowledge sharing in teams mediates the influence of team reflexivity on individual employee innovative behavior, and that leadership plays an important role in moderating these influences. Specifically, authoritarian leadership is found to attenuate the team reflexivity and knowledge sharing effect, whereas benevolent leadership is found to amplify this indirect effect. Originality/value - The multilevel study design that explains how team-level processes translate into innovative behavior at the individual employee level is novel. Relatedly, our use of a multilevel analytical framework is also original.</t>
  </si>
  <si>
    <t>[Wang, Zhining] China Univ Min &amp; Technol, Sch Econ &amp; Management, Xuzhou, Jiangsu, Peoples R China; [Ren, Shuang; Chadee, Doren] Deakin Univ, Deakin Business Sch, Melbourne, Vic, Australia; [Liu, Mengli] Shangdong Univ, Sch Management, Jinan, Peoples R China; [Cai, Shaohan] Carleton Univ, Sprott Sch Business, Ottawa, ON, Canada</t>
  </si>
  <si>
    <t>China University of Mining &amp; Technology; Deakin University; Shandong University; Carleton University</t>
  </si>
  <si>
    <t>Wang, ZN (corresponding author), China Univ Min &amp; Technol, Sch Econ &amp; Management, Xuzhou, Jiangsu, Peoples R China.</t>
  </si>
  <si>
    <t>wzncuml@126.com</t>
  </si>
  <si>
    <t>Liu, Meng/GRF-0962-2022</t>
  </si>
  <si>
    <t>Ren, Shuang/0000-0002-8768-8447</t>
  </si>
  <si>
    <t>Fundamental Research Funds for Central Universities in China [2017XKQY087]</t>
  </si>
  <si>
    <t>Fundamental Research Funds for Central Universities in China</t>
  </si>
  <si>
    <t>This research is partly supported by The Fundamental Research Funds for Central Universities in China (Grant No. 2017XKQY087).</t>
  </si>
  <si>
    <t>JUL 30</t>
  </si>
  <si>
    <t>10.1108/JKM-09-2020-0683</t>
  </si>
  <si>
    <t>TX3XX</t>
  </si>
  <si>
    <t>WOS:000607689900001</t>
  </si>
  <si>
    <t>Eid, R; Agag, G</t>
  </si>
  <si>
    <t>Eid, Riyad; Agag, Gomaa</t>
  </si>
  <si>
    <t>Determinants of Innovative Behaviour in the Hotel Industry: A cross-Cultural Study</t>
  </si>
  <si>
    <t>Employees' innovative behaviour; institutional pressures; corporate support programs; Cross-Cultural Study</t>
  </si>
  <si>
    <t>PERCEIVED ORGANIZATIONAL SUPPORT; TOP MANAGEMENT COMMITMENT; SUPPLY CHAIN MANAGEMENT; INSTITUTIONAL PRESSURES; COMPETITIVE ADVANTAGE; NATIONAL CULTURE; ABSORPTIVE-CAPACITY; EMPIRICAL-ANALYSIS; MEDIATING ROLE; PERFORMANCE</t>
  </si>
  <si>
    <t>The present study develops a conceptual framework that sheds light on whether institutional pressures (i.e., normative, mimetic, and coercive) and corporate support can improve innovative behavior across different societies and the moderating role of national cultural dimensions on this link. Our study validated these arguments empirically using data from the 2018 Global Entrepreneurship Monitor (GEM). Data were collected and analyzed from 2,618 respondents. Data were collected through a questionnaire survey of full-time non-managerial employees selected, from different departments of various four- and five-star hotels across five economically and culturally different societies (UK, UAE, Germany, China, USA). Our results indicated that both institutional pressures and corporate support have positive influence on employees' innovative behaviour. Furthermore, Hotels in cultures with high levels of individualism and low levels of uncertainty avoidance, power distance, and masculinity will indicate higher levels of innovative behaviour in response to corporate support programs. While, hotels in nations with high levels of power distance, collectivism, uncertainty avoidance, and masculinity will indicate higher levels of innovative behaviour in response to normative, mimetic, and coercive pressure. These findings provide important implications for innovative behaviour by developing and validating a multilevel model empirically in the hospitality context.</t>
  </si>
  <si>
    <t>[Eid, Riyad] United Arab Emirates Univ, Al Ain, U Arab Emirates; [Agag, Gomaa] Nottingham Trent Univ, Nottingham Business Sch, Nottingham, England; [Agag, Gomaa] Univ Sadat City, Sadat City, Menofia, Egypt</t>
  </si>
  <si>
    <t>United Arab Emirates University; Nottingham Trent University; RLUK- Research Libraries UK; University of Nottingham; Egyptian Knowledge Bank (EKB); University of Sadat City</t>
  </si>
  <si>
    <t>Eid, R (corresponding author), United Arab Emirates Univ, Al Ain, U Arab Emirates.</t>
  </si>
  <si>
    <t>riyad.aly@uaeu.ac.ae; gomaa.agag@ntu.ac.uk</t>
  </si>
  <si>
    <t>Eid, Riyad/0000-0002-5900-2225</t>
  </si>
  <si>
    <t>10.1016/j.ijhm.2020.102642</t>
  </si>
  <si>
    <t>OM0UA</t>
  </si>
  <si>
    <t>WOS:000585744300014</t>
  </si>
  <si>
    <t>Cangialosi, N; Odoardi, C; Battistelli, A</t>
  </si>
  <si>
    <t>Cangialosi, Nicola; Odoardi, Carlo; Battistelli, Adalgisa</t>
  </si>
  <si>
    <t>Learning Climate and Innovative Work Behavior, the Mediating Role of the Learning Potential of the Workplace</t>
  </si>
  <si>
    <t>VOCATIONS AND LEARNING</t>
  </si>
  <si>
    <t>Innovative work behavior; Learning potential; Workplace learning; Learning climate</t>
  </si>
  <si>
    <t>PSYCHOLOGICAL SAFETY; METHOD BIAS; PERFORMANCE; CREATIVITY; MANAGEMENT; CULTURE; MODEL; PERCEPTIONS; LEADERSHIP; IMPACT</t>
  </si>
  <si>
    <t>This study aims to explore the relationship between learning climate, in the dimensions of learning facilitation and error avoidance, learning potential of the workplace (task-related and interactional) and innovative work behavior. Survey data were collected from a sample of 374 employees and their supervisors from an automatic food distribution company in central Italy. Structural equation models have been conducted to empirically test the hypotheses. Results showed that both dimensions of learning climate were related interactional and task-related learning potential and that task-related learning potential mediated the relationship between climate and innovative behavior. Furthermore, the climatic dimension of learning facilitation had a direct relationship with innovative work behavior. Advancing from existing organizational behavior and individual learning literature, this article contributes to extend knowledge about the role of learning climate and workplace learning potential in innovative work behavior. The findings offer guidance for organizations that aim to strengthen employee-driven innovation, highlighting the importance of learning climate and potential.</t>
  </si>
  <si>
    <t>[Cangialosi, Nicola; Odoardi, Carlo] Univ Florence, Dept Educ &amp; Psychol, Florence, Italy; [Battistelli, Adalgisa] Univ Bordeaux, Dept Psychol, EA4139, Bordeaux, France</t>
  </si>
  <si>
    <t>University of Florence; UDICE-French Research Universities; Universite de Bordeaux</t>
  </si>
  <si>
    <t>Cangialosi, N (corresponding author), Univ Florence, Dept Educ &amp; Psychol, Florence, Italy.</t>
  </si>
  <si>
    <t>nicola.cangialosi@unifi.it</t>
  </si>
  <si>
    <t>Cangialosi, Nicola/AAF-7788-2021</t>
  </si>
  <si>
    <t>Cangialosi, Nicola/0000-0002-8532-3022</t>
  </si>
  <si>
    <t>1874-785X</t>
  </si>
  <si>
    <t>1874-7868</t>
  </si>
  <si>
    <t>VOCAT LEARN</t>
  </si>
  <si>
    <t>Vocat. Learn.</t>
  </si>
  <si>
    <t>10.1007/s12186-019-09235-y</t>
  </si>
  <si>
    <t>LV2BK</t>
  </si>
  <si>
    <t>WOS:000538244800005</t>
  </si>
  <si>
    <t>Moon, KK</t>
  </si>
  <si>
    <t>Moon, Kuk-Kyoung</t>
  </si>
  <si>
    <t>Examining the Relationships Between Diversity and Work Behaviors in US Federal Agencies: Does Inclusive Management Make a Difference?</t>
  </si>
  <si>
    <t>REVIEW OF PUBLIC PERSONNEL ADMINISTRATION</t>
  </si>
  <si>
    <t>demographic diversity; innovative behavior; turnover behavior; inclusive management</t>
  </si>
  <si>
    <t>DEMOGRAPHIC DIVERSITY; GENDER DIVERSITY; ORGANIZATIONAL FAIRNESS; PUBLIC ORGANIZATIONS; PERFORMANCE EVIDENCE; WORKFORCE DIVERSITY; TURNOVER INTENTION; RACIAL DIVERSITY; ETHNIC DIVERSITY; JOB-SATISFACTION</t>
  </si>
  <si>
    <t>Workforce diversity has been depicted as a double-edged sword that leads to both positive and negative work-related outcomes. As a result, the critical issue in diversity research is concerned with enhancing the benefits and reducing the detriments of heterogeneity within organizations on work behaviors. By combining theories on diversity and inclusiveness, this article examines inclusive management at the federal subagency level as a moderator of the relationships between demographic diversity (gender and race) and work behaviors (innovative and turnover behavior). Using survey and personnel data drawn from federal subagencies, inclusive managementa set of policies aimed at recognizing all employees as valued organizational insiders with unique identitiesnot only strengthens the positive relationship between racial diversity and innovative behavior but also attenuates the positive relationship between gender diversity and turnover behavior. These findings suggest that inclusive management is a key strategy for effectively managing diversity.</t>
  </si>
  <si>
    <t>[Moon, Kuk-Kyoung] Univ Georgia, Dept Publ Adm &amp; Publ Policy, Athens, GA 30602 USA</t>
  </si>
  <si>
    <t>University System of Georgia; University of Georgia</t>
  </si>
  <si>
    <t>Moon, KK (corresponding author), Univ Georgia, Dept Publ Adm &amp; Publ Policy, Sch Publ &amp; Int Affairs, 204 Baldwin Hall,355 South Jackson St, Athens, GA 30602 USA.</t>
  </si>
  <si>
    <t>vivamkk@gmail.com</t>
  </si>
  <si>
    <t>0734-371X</t>
  </si>
  <si>
    <t>1552-759X</t>
  </si>
  <si>
    <t>REV PUBLIC PERS ADM</t>
  </si>
  <si>
    <t>Rev. Public Pers. Adm.</t>
  </si>
  <si>
    <t>10.1177/0734371X16660157</t>
  </si>
  <si>
    <t>GF6ZY</t>
  </si>
  <si>
    <t>WOS:000432118600004</t>
  </si>
  <si>
    <t>Edghiem, F; Mouzughi, Y</t>
  </si>
  <si>
    <t>Edghiem, Farag; Mouzughi, Yusra</t>
  </si>
  <si>
    <t>Knowledge-advanced innovative behaviour: a hospitality service perspective</t>
  </si>
  <si>
    <t>Case study; Service innovation; Dependent knowledge; Pre-encounter knowledge; Service employees' innovative behaviour</t>
  </si>
  <si>
    <t>HOTEL INDUSTRY; BUSINESS PERFORMANCE; IDEA GENERATION; TOURISM; MODEL; IMPLEMENTATION; NETWORKS; SECTOR</t>
  </si>
  <si>
    <t>Purpose - The purpose of this paper is to explore the nature and implications of knowledge advanced through service employees' innovative behaviour and leading to initiating innovation within the hotel service subsector. Design/methodology/approach - A case study research method was applied to achieve the research objectives, which investigated two hotel properties resembling two personal-interactive service systems. In total, 52 semi-structured interviews were conducted along with other qualitative research methods, including the direct observation of employees, review of management archives/literature and the assessment of micro cases. Findings - The research outcome highlights the role of knowledge as supplementary to the interlinked process of idea generation and development. A novel classification of two types of knowledge is revealed as pre-encounter and encounter-dependent knowledge, implicating four patterns of service employees' innovative behaviour. Practical implications - This paper recommends practical measures to nurture service employees' innovative behaviour, leading to innovation. Originality/value - This study contributes to service innovation research by providing an in-depth assessment at the micro level, overlooked to date, of the nature of knowledge and the service employees' role in initiating innovation within the hotel service subsector.</t>
  </si>
  <si>
    <t>[Edghiem, Farag] Liverpool John Moores Univ, Liverpool Business Sch, Liverpool, Merseyside, England; [Mouzughi, Yusra] Muscat Univ, Muscat, Oman</t>
  </si>
  <si>
    <t>Liverpool John Moores University; N8 Research Partnership; RLUK- Research Libraries UK; University of Liverpool</t>
  </si>
  <si>
    <t>Edghiem, F (corresponding author), Liverpool John Moores Univ, Liverpool Business Sch, Liverpool, Merseyside, England.</t>
  </si>
  <si>
    <t>Edghiem, Farag/0000-0001-9755-7435</t>
  </si>
  <si>
    <t>10.1108/IJCHM-04-2016-0200</t>
  </si>
  <si>
    <t>WOS:000424495000009</t>
  </si>
  <si>
    <t>Hou, XF; Li, WQ; Yuan, Q</t>
  </si>
  <si>
    <t>Hou, Xuanfang; Li, Wenqi; Yuan, Qiao</t>
  </si>
  <si>
    <t>Frontline disruptive leadership and new generation employees' innovative behaviour in China: the moderating role of emotional intelligence</t>
  </si>
  <si>
    <t>ASIA PACIFIC BUSINESS REVIEW</t>
  </si>
  <si>
    <t>China; Chinese new generation employees; frontline disruptive leadership; innovative behaviour; emotional intelligence; psychological capital; conservation of resources theory</t>
  </si>
  <si>
    <t>ABUSIVE SUPERVISION; DESTRUCTIVE LEADERSHIP; SELF-EFFICACY; PERFORMANCE; CREATIVITY; WORKPLACE; MODEL</t>
  </si>
  <si>
    <t>This study examines the moderating mediation effect of frontline disruptive leadership on Chinese new generation employees' innovative behaviour - from the dual perspective of 'Resource revenue' and 'Resource loss' vis-a-vis the 'Conservation of Resources' theory. Data were collected from a sample of 215 Chinese new generation employees and their frontline supervisors, using a longitudinal pairing design, in labour-intensive enterprises. Results indicate that first, frontline disruptive leadership influenced negatively new generation employees' innovative behaviour via psychological capital; second, emotional intelligence negatively moderated the effect of frontline disruptive leadership on new generation employees' psychological capital; third, the mediation of psychological capital between frontline disruptive leadership and new generation employees' innovative behaviour was also negatively moderated by emotional intelligence. This study provides evidence for strengthening Chinese new generation employees' emotion-management and controlling the disruptive behaviour of frontline disruptive leadership, so as to promote the enhanced innovative performance of new generation employees in China.</t>
  </si>
  <si>
    <t>[Hou, Xuanfang; Li, Wenqi; Yuan, Qiao] Jiangxi Normal Univ, Business Coll, Nanchang, Jiangxi, Peoples R China</t>
  </si>
  <si>
    <t>Jiangxi Normal University</t>
  </si>
  <si>
    <t>Hou, XF (corresponding author), Jiangxi Normal Univ, Business Coll, Nanchang, Jiangxi, Peoples R China.</t>
  </si>
  <si>
    <t>244797823@qq.com</t>
  </si>
  <si>
    <t>National Natural Science Foundation of China [71562021]; Social Science Planning Project of Jiangxi Province [15GL14]; Research Project of Humanities and Social Sciences in Universities of Jiangxi Province [GL1559]</t>
  </si>
  <si>
    <t>National Natural Science Foundation of China(National Natural Science Foundation of China (NSFC)); Social Science Planning Project of Jiangxi Province; Research Project of Humanities and Social Sciences in Universities of Jiangxi Province</t>
  </si>
  <si>
    <t>This work was supported by the National Natural Science Foundation of China [grant number 71562021]; the Social Science Planning Project of Jiangxi Province [grant number 15GL14]; the Research Project of Humanities and Social Sciences in Universities of Jiangxi Province [grant number GL1559].</t>
  </si>
  <si>
    <t>1360-2381</t>
  </si>
  <si>
    <t>1743-792X</t>
  </si>
  <si>
    <t>ASIA PAC BUS REV</t>
  </si>
  <si>
    <t>Asia Pac. Bus. Rev.</t>
  </si>
  <si>
    <t>10.1080/13602381.2018.1451126</t>
  </si>
  <si>
    <t>GR2MT</t>
  </si>
  <si>
    <t>WOS:000442409000003</t>
  </si>
  <si>
    <t>Clark, JL</t>
  </si>
  <si>
    <t>Clark, Jamie L.</t>
  </si>
  <si>
    <t>The Howieson's Poort fauna from Sibudu Cave: Documenting continuity and change within Middle Stone Age industries</t>
  </si>
  <si>
    <t>JOURNAL OF HUMAN EVOLUTION</t>
  </si>
  <si>
    <t>Howieson's Poort; Middle Stone Age; Sibudu Cave; Zooarchaeology; Fauna; Human behavioral evolution</t>
  </si>
  <si>
    <t>DIEPKLOOF ROCK SHELTER; SOUTH-AFRICA; BLOMBOS CAVE; WESTERN CAPE; TAPHONOMIC ANALYSIS; BONE FRAGMENTATION; KLIPDRIFT SHELTER; HUMAN-BEHAVIOR; DIET BREADTH; EXPLOITATION</t>
  </si>
  <si>
    <t>The Howieson's Poort (HP; similar to 65-59 ka) continues to be a source of interest to scholars studying human behavioral evolution during the Late Pleistocene. This is in large part because the HP preserves evidence for a suite of innovative technologies and behaviors (including geometric backed tools and engraved ostrich eggshell), but also because the disappearance of the innovative behaviors associated with this phase is not well understood. Here, I present taphonomic and taxonomic data on the full sample of macromammal remains excavated from the HP deposits at Sibudu Cave under the direction of Lyn Wadley. With a total number of identified specimens (NISP) of 5921, Sibudu provides the largest sample of HP fauna published to date. Taken as a whole, the data suggest a focus on a diverse range of prey. Ungulates dominate the assemblage, as do taxa that preferentially inhabit closed (particularly forested) environments. Small bovids are common throughout; blue duiker (Philantomba monticola) alone comprises similar to 33% of the total NISP. A diverse smaller game assemblage is also present. Taphonomic data implicate humans as the primary contributor to the fauna; however, low levels of gastric etching (-1% of the NISP) suggest that non-human agents may have played some role in the accumulation of the smaller game. Despite broad similarities in the fauna, a number of directional trends are evidenced. Most notably, the lowermost deposits of the HP contain the highest frequency of blue duiker and other small ungulates, taxa which prefer closed environments, and miscellaneous smaller game. All of these decline throughout the HP, and these differences are statistically significant. After considering possible explanations for these trends, I discuss the potential implications of the variation evidenced in the assemblage to our understanding of the onset and disappearance of this important substage of the MSA. (C) 2017 Elsevier Ltd. All rights reserved.</t>
  </si>
  <si>
    <t>[Clark, Jamie L.] Univ Alaska Fairbanks, Dept Anthropol, POB 757720, Fairbanks, AK 99775 USA; [Clark, Jamie L.] Univ Witwatersrand, Evolutionary Studies Inst, Private Bag 3, ZA-2050 Johannesburg, South Africa; [Clark, Jamie L.] Univ Tubingen, Inst Archaeol Sci, Rumelinstr 23, D-72070 Tubingen, Germany</t>
  </si>
  <si>
    <t>University of Alaska System; University of Alaska Fairbanks; University of Witwatersrand; Eberhard Karls University of Tubingen</t>
  </si>
  <si>
    <t>Clark, JL (corresponding author), Univ Alaska Fairbanks, Dept Anthropol, POB 757720, Fairbanks, AK 99775 USA.;Clark, JL (corresponding author), Univ Witwatersrand, Evolutionary Studies Inst, Private Bag 3, ZA-2050 Johannesburg, South Africa.;Clark, JL (corresponding author), Univ Tubingen, Inst Archaeol Sci, Rumelinstr 23, D-72070 Tubingen, Germany.</t>
  </si>
  <si>
    <t>jlclark7@alaska.edu</t>
  </si>
  <si>
    <t>Alexander von Humboldt Foundation; Leakey Foundation; National Science Foundation (DDIG) [0612606]; Palaeontological Scientific Trust (Scatterlings of Africa); Division Of Behavioral and Cognitive Sci; Direct For Social, Behav &amp; Economic Scie [0612606] Funding Source: National Science Foundation</t>
  </si>
  <si>
    <t>Alexander von Humboldt Foundation(Alexander von Humboldt Foundation); Leakey Foundation; National Science Foundation (DDIG)(National Science Foundation (NSF)); Palaeontological Scientific Trust (Scatterlings of Africa); Division Of Behavioral and Cognitive Sci; Direct For Social, Behav &amp; Economic Scie(National Science Foundation (NSF)NSF - Directorate for Social, Behavioral &amp; Economic Sciences (SBE))</t>
  </si>
  <si>
    <t>This research would not have been possible without the support of numerous people; most especially Lyn Wadley, who has been a source of inspiration and guidance for more than ten years. Thanks are also due to Ina Plug, Joshua Robinson, and Aurore Val, who assisted in the processing and analysis of the remains, and to Shaw Badenhorst and the staff of the Ditsong National Museum of Natural History, who provided access to that museum's comparative faunal collection. Lyn Wadley and Andrew Kandel provided comments on an earlier version of this paper; their input, combined with that of the anonymous reviewers, significantly strengthened the final product. Any mistakes that remain are, of course, my own. Funding for this work was provided by a number of sources, including the Alexander von Humboldt Foundation, the Leakey Foundation, the National Science Foundation (DDIG #0612606) and the Palaeontological Scientific Trust (Scatterlings of Africa).</t>
  </si>
  <si>
    <t>ACADEMIC PRESS LTD- ELSEVIER SCIENCE LTD</t>
  </si>
  <si>
    <t>24-28 OVAL RD, LONDON NW1 7DX, ENGLAND</t>
  </si>
  <si>
    <t>0047-2484</t>
  </si>
  <si>
    <t>J HUM EVOL</t>
  </si>
  <si>
    <t>J. Hum. Evol.</t>
  </si>
  <si>
    <t>10.1016/j.jhevol.2017.03.002</t>
  </si>
  <si>
    <t>Anthropology; Evolutionary Biology</t>
  </si>
  <si>
    <t>EW2SG</t>
  </si>
  <si>
    <t>WOS:000402345700005</t>
  </si>
  <si>
    <t>Chen, YS; Huang, SYJ</t>
  </si>
  <si>
    <t>Chen, Yu-Shan; Huang, Stanley Y. J.</t>
  </si>
  <si>
    <t>A conservation of resources view of personal engagement in the development of innovative behavior and work-family conflict</t>
  </si>
  <si>
    <t>Innovative behaviour; Work-family conflict; Conservation of resources theory; Personal engagement</t>
  </si>
  <si>
    <t>CHARISMATIC LEADERSHIP; SELF; DYNAMICS; STRESS; MODELS</t>
  </si>
  <si>
    <t>Purpose - The purpose of this paper is to examine how personal engagement (PE) may be related with work-family conflict (WFC) and innovative behavior (IB) at the same time. Design/methodology/approach - This study tested the proposed model using a longitudinal data with 1,501 employees from R&amp; D departments in information technology industry of Greater China at multiple points (Time 1 to Time 3) in time over a ten-month period. Findings - This study exhibits how charismatic leadership style, colleague support (CS), and s elf-esteem (SE) are capable of predicting the PE, which, in turn, positively related to the IB and the WFC. Research limitations/implications - The present study proposed a model of the PE, but there are other variables that might also be important for the PE. Practical implications - These finding suggests that managers not only must inspire and enable employees to apply their full energy to their work (e.g. PE), but must also alleviate the WFC. Originality/value - The study drawn from Kahn's (1990) engagement theory and conservation of resources view to explain how the leadership style, CS, and SE can increase PE, which, in turn, increase positive organization behavior (IB) and negative organization behavior (WFC) at the same time.</t>
  </si>
  <si>
    <t>[Chen, Yu-Shan; Huang, Stanley Y. J.] Natl Taipei Univ, Dept Business Adm, New Taipei, Taiwan</t>
  </si>
  <si>
    <t>National Taipei University</t>
  </si>
  <si>
    <t>Huang, SYJ (corresponding author), Natl Taipei Univ, Dept Business Adm, New Taipei, Taiwan.</t>
  </si>
  <si>
    <t>s810331112@webmail.ntpu.edu.tw</t>
  </si>
  <si>
    <t>Huang, Stanley Y.B,/0000-0001-6848-5102</t>
  </si>
  <si>
    <t>10.1108/JOCM-11-2015-0213</t>
  </si>
  <si>
    <t>WOS:000387207700011</t>
  </si>
  <si>
    <t>Jonsson, T; Unterrainer, C; Jeppesen, HJ; Jain, AK</t>
  </si>
  <si>
    <t>Jonsson, Thomas; Unterrainer, Christine; Jeppesen, Hans-Jeppe; Jain, Ajay Kumar</t>
  </si>
  <si>
    <t>Measuring distributed leadership agency in a hospital context Development and validation of a new scale</t>
  </si>
  <si>
    <t>JOURNAL OF HEALTH ORGANIZATION AND MANAGEMENT</t>
  </si>
  <si>
    <t>Research methods; Employee involvement; Decentralization; Hospital management; Distributed leadership</t>
  </si>
  <si>
    <t>SATISFACTION; METAANALYSIS; INVOLVEMENT</t>
  </si>
  <si>
    <t>Purpose - The purpose of this paper is to develop and validate an instrument that can measure distributed leadership (DL) as employees' active participation in DL tasks. The authors designate this as the distributed leadership agency (DLA). Design/methodology/approach - Data were collected throughout all departments and occupational groups at a merged centralized hospital setting in Denmark. A total of 1,774 employees from 24 hospital departments and 16 occupational groups completed our survey. Structural equation model and confirmatory factor analyses were applied to identify appropriate items and a test for measurement invariance, predictive, discriminant and convergent validity, and ANOVAs were applied to analyse group differences in DLA. Findings - The identified unidimensional questionnaire consists of seven items, as it is different from, but associated with, empowering leadership, organizational influence, attitude to participation and trust in management. As theoretically predicted, DLA is positively related to self-efficacy, job satisfaction and innovative behaviour. Chief physicians, permanent employees and employee representatives scored higher on the scale than the rest of their respective counterparts. Practical implications - The survey offers a method to assess a distribution of leadership agency in hospital organizations. Such assessment may provide a basis for organizational and leadership development. Originality/value - The present study provides a reliable and valid quantitative instrument that measures how much employees at all hierarchical levels are involved in concrete leadership activities in the hospital context. Taking a normative perspective the authors could show that DL - measured with the DLA-questionnaire - has positive effects on employees' behaviour.</t>
  </si>
  <si>
    <t>[Jonsson, Thomas; Unterrainer, Christine; Jeppesen, Hans-Jeppe] Aarhus Univ, Dept Psychol &amp; Behav Sci, Aarhus, Denmark; [Jain, Ajay Kumar] Management Dev Inst, Dept Human Behav &amp; Org Dev, Gurgaon, India</t>
  </si>
  <si>
    <t>Aarhus University; Management Development Institute (MDI)</t>
  </si>
  <si>
    <t>Jonsson, T (corresponding author), Aarhus Univ, Dept Psychol &amp; Behav Sci, Aarhus, Denmark.</t>
  </si>
  <si>
    <t>Jonsson, Thomas Faurholt/0000-0002-9161-4459; Unterrainer, Christine/0000-0001-5904-1809; Jain, Ajay/0000-0002-0055-6004</t>
  </si>
  <si>
    <t>1477-7266</t>
  </si>
  <si>
    <t>1758-7247</t>
  </si>
  <si>
    <t>J HEALTH ORGAN MANAG</t>
  </si>
  <si>
    <t>J. Health Organ. Manag.</t>
  </si>
  <si>
    <t>10.1108/JHOM-05-2015-0068</t>
  </si>
  <si>
    <t>Health Policy &amp; Services</t>
  </si>
  <si>
    <t>EB2GJ</t>
  </si>
  <si>
    <t>WOS:000387175600007</t>
  </si>
  <si>
    <t>Leung, K; Deng, H; Wang, J; Zhou, F</t>
  </si>
  <si>
    <t>Leung, Kwok; Deng, Hong; Wang, Jie; Zhou, Fan</t>
  </si>
  <si>
    <t>Beyond Risk-Taking: Effects of Psychological Safety on Cooperative Goal Interdependence and Prosocial Behavior</t>
  </si>
  <si>
    <t>psychological safety; cooperative goal interdependence; harmony enhancement; disintegration avoidance; helping behavior; innovative behavior</t>
  </si>
  <si>
    <t>ORGANIZATIONAL CITIZENSHIP BEHAVIOR; TEAM-MEMBER EXCHANGE; POSITIVE RELATIONSHIPS; FAIRNESS PERCEPTIONS; TASK INTERDEPENDENCE; HARMONY MOTIVES; MEDIATING ROLE; WORK TEAMS; PERFORMANCE; CLIMATE</t>
  </si>
  <si>
    <t>In addition to risk-taking behavior, we propose that psychological safety also promotes prosocial behavior through cooperative goal interdependence. To differentiate these two types of effects, we contrasted the moderating effects of two interpersonal harmony motives. A survey in China supported the indirect effect of psychological safety on helping behavior through cooperative goal interdependence. This mediated relationship was moderated by harmony enhancement such that the mediated effect of psychological safety was weaker when harmony enhancement was high. Psychological safety was positively related to innovative behavior, and this relationship was moderated by disintegration avoidance such that it was weaker when disintegration avoidance was high. These results shed light on the different effects of psychological safety and their underlying mechanisms.</t>
  </si>
  <si>
    <t>[Leung, Kwok] Chinese Univ Hong Kong, Hong Kong, Hong Kong, Peoples R China; [Deng, Hong] Univ London London Sch Econ &amp; Polit Sci, Dept Management, London WC2A 2AE, England; [Wang, Jie] Univ Nottingham, Dept Int Business &amp; Management, Business Sch China, Ningbo, Zhejiang, Peoples R China; [Zhou, Fan] Zhejiang Univ, Hangzhou 310003, Zhejiang, Peoples R China</t>
  </si>
  <si>
    <t>Chinese University of Hong Kong; University of London; London School Economics &amp; Political Science; University of Nottingham Ningbo China; Zhejiang University</t>
  </si>
  <si>
    <t>Deng, H (corresponding author), Univ London London Sch Econ &amp; Polit Sci, Dept Management, New Acad Bldg,Houghton St, London WC2A 2AE, England.</t>
  </si>
  <si>
    <t>h.deng3@lse.ac.uk</t>
  </si>
  <si>
    <t>Wang, Jie/0000-0002-3201-0129</t>
  </si>
  <si>
    <t>10.1177/1059601114564012</t>
  </si>
  <si>
    <t>CA4EN</t>
  </si>
  <si>
    <t>WOS:000348857100005</t>
  </si>
  <si>
    <t>van Rijnsoever, FJ; Meeus, MTH; Donders, ART</t>
  </si>
  <si>
    <t>van Rijnsoever, Frank J.; Meeus, Marius T. H.; Donders, A. Rogier T.</t>
  </si>
  <si>
    <t>The effects of economic status and recent experience on innovative behavior under environmental variability: An experimental approach</t>
  </si>
  <si>
    <t>Experiment; Innovation; Risk-taking; Status; Recent experience; Environmental change; Discrete choice experiment</t>
  </si>
  <si>
    <t>DYNAMIC CAPABILITIES; ORGANIZATIONAL ROUTINES; DECISION-MAKING; EMPIRICAL EXPLORATION; TECHNOLOGY ADOPTION; RISK-TAKING; PERFORMANCE; ADAPTATION; STRATIFICATION; DETERMINANTS</t>
  </si>
  <si>
    <t>We build and empirically test a model that predicts the display of innovative behavior as a function of environmental change, with recent experience and economic status acting as moderators. We start with the model developed by Slevin (1971), which evolved from the so-called innovation boundary. This is the threshold beyond which the display of innovative behavior becomes attractive. We show how environmental change creates uncertainty about the position of the innovation boundary: however, this uncertainty is reduced by recent experiences. Furthermore, economic status serves as both an enhancer and an inhibitor of innovation. Our model was tested and largely confirmed in two experiments: one conducted in a laboratory setting and one conducted as a discrete choice experiment. Currently experiments are rarely conducted in the field of innovation studies. By presenting this evidence we also hope to encourage more authors to conduct experiments in their work. (C) 2012 Elsevier B.V. All rights reserved.</t>
  </si>
  <si>
    <t>[van Rijnsoever, Frank J.] Univ Utrecht, Copernicus Inst Sustainable Dev, NL-3584 CS Utrecht, Netherlands; [Meeus, Marius T. H.] Tilburg Univ, Ctr Innovat Res, Dept Org Studies, NL-5000 LE Tilburg, Netherlands; [Donders, A. Rogier T.] Radboud Univ Nijmegen, Med Ctr, Dept Epidemiol Biostat &amp; Hlth Technol Assessment, NL-6500 HB Nijmegen, Netherlands</t>
  </si>
  <si>
    <t>Utrecht University; Tilburg University; Radboud University Nijmegen</t>
  </si>
  <si>
    <t>van Rijnsoever, FJ (corresponding author), Univ Utrecht, Copernicus Inst Sustainable Dev, Heidelberglaan 2, NL-3584 CS Utrecht, Netherlands.</t>
  </si>
  <si>
    <t>F.J.vanrijnsoever@uu.nl; M.T.H.Meeus@uvt.nl; R.Donders@epib.umcn.nl</t>
  </si>
  <si>
    <t>Donders, A.R.T./L-4277-2015; van Rijnsoever, Frank J/L-6628-2013; Meeus, Marius T.H./E-8648-2011</t>
  </si>
  <si>
    <t xml:space="preserve">Donders, A.R.T./0000-0002-0484-1419; </t>
  </si>
  <si>
    <t>10.1016/j.respol.2012.02.005</t>
  </si>
  <si>
    <t>937FU</t>
  </si>
  <si>
    <t>WOS:000303645200004</t>
  </si>
  <si>
    <t>Belak, J; Mulej, M</t>
  </si>
  <si>
    <t>Belak, Jernej; Mulej, Matjaz</t>
  </si>
  <si>
    <t>Enterprise ethical climate changes over life cycle stages</t>
  </si>
  <si>
    <t>Cybernetics; Business ethics; Organizational innovation; Systems theory; Slovenia</t>
  </si>
  <si>
    <t>THINKING</t>
  </si>
  <si>
    <t>Purpose - Life cycle stages may see, result from, and/or cause, changes in culture and climate as the right-brain attributes of both managers and their co-workers. A four-stage model is used to perceive these possible changes. Findings are tested in Slovenian enterprises. Differences per stages may be crucial and should therefore be known to managers/owners. Based on the case study research, this paper aims to suggest that enterprise awareness of importance of ethical climate can be of essential meaning for its long-term success. The purpose of this paper is to discover differences in enterprise ethical climate in different enterprise life cycle stages and to identify their importance for active ethical climate care by the enterprises. Design/methodology/approach - In this paper, the qualitative research is applied. The research cognitions on ethical climate are discussed in application of the dialectical systems theory. Findings - The paper finds that there are some differences in enterprise ethical climate for enterprise life cycle stages and indicates a significant presence of the rule, law and code and instrumental ethical climates. Movement towards a more bureaucratic method of enterprise functioning, as an enterprise moves from the pioneer stage towards the stage of turn-over, was also found. Practical implications - This paper gives us some insights in the state of ethical climate in Slovenian enterprises. In a frame of practical implications, a further research should be done to show which measures of such ethical climate implementation should be used to stimulate the enterprises' innovative behaviour in accordance with the state of enterprise's life cycle stage. Originality/value - The available literature does not provide for a similar research of linkage between the ethical climate and enterprises' life cycle.</t>
  </si>
  <si>
    <t>[Belak, Jernej; Mulej, Matjaz] Univ Maribor, Fac Econ &amp; Business, Dept Strateg Management &amp; Enterprise Policy, SLO-2000 Maribor, Slovenia</t>
  </si>
  <si>
    <t>Belak, J (corresponding author), Univ Maribor, Fac Econ &amp; Business, Dept Strateg Management &amp; Enterprise Policy, SLO-2000 Maribor, Slovenia.</t>
  </si>
  <si>
    <t>jernej.belak@uni-mb.si</t>
  </si>
  <si>
    <t>belak, jernej/E-7911-2013</t>
  </si>
  <si>
    <t>belak, jernej/0000-0001-9855-4973</t>
  </si>
  <si>
    <t>7-8</t>
  </si>
  <si>
    <t>10.1108/03684920910977032</t>
  </si>
  <si>
    <t>501JV</t>
  </si>
  <si>
    <t>WOS:000270378700023</t>
  </si>
  <si>
    <t>Liberatore, MJ; Breem, D</t>
  </si>
  <si>
    <t>Adoption and implementation of digital-imaging technology in the banking and insurance industries</t>
  </si>
  <si>
    <t>banking industry; business process redesign; digital imaging; information technology; insurance industry; reengineering; technological innovation</t>
  </si>
  <si>
    <t>BUSINESS</t>
  </si>
  <si>
    <t>This paper investigates the adoption patterns and implementation issues associated with the use of digital-imaging technology within the banking and insurance industries, Several research hypotheses are tested using data obtained from a survey of the 250 largest banks and 250 largest insurance companies in the United States, The results clearly indicate that the diffusion of imaging can be modeled by an S-curve, and that firm size is a good predictor of the adoption decision, Two well-known models of innovative behavior, the internal influence and Bass models, were not supported by this study, Positive, measurable benefits were associated with imaging adoption, Reengineering the work processes and piloting the technology were both found to be strongly related to the degree of implementation success, Based on the findings from this study, similarities and differences in innovative behavior between manufacturing and the banking and insurance industries are discussed.</t>
  </si>
  <si>
    <t>AT&amp;T EASYLINK SERV,BALA CYNWYD,PA 19004</t>
  </si>
  <si>
    <t>AT&amp;T</t>
  </si>
  <si>
    <t>Liberatore, MJ (corresponding author), VILLANOVA UNIV,DEPT MANAGEMENT,VILLANOVA,PA 19085, USA.</t>
  </si>
  <si>
    <t>345 E 47TH ST, NEW YORK, NY 10017-2394</t>
  </si>
  <si>
    <t>10.1109/17.649867</t>
  </si>
  <si>
    <t>YG018</t>
  </si>
  <si>
    <t>WOS:A1997YG01800005</t>
  </si>
  <si>
    <t>Brunetto, Y; Saheli, N; Dick, T; Nelson, S</t>
  </si>
  <si>
    <t>Brunetto, Yvonne; Saheli, Nasim; Dick, Thomas; Nelson, Silvia</t>
  </si>
  <si>
    <t>Psychosocial Safety Climate, Psychological Capital, Healthcare SLBs' Wellbeing and Innovative Behaviour During the COVID 19 Pandemic</t>
  </si>
  <si>
    <t>PUBLIC PERFORMANCE &amp; MANAGEMENT REVIEW</t>
  </si>
  <si>
    <t>Employee wellbeing; innovative behavior; psychological capital; psychosocial safety climate; SLBs' personal resources; street level bureaucrats (SLB)</t>
  </si>
  <si>
    <t>PUBLIC-SECTOR; EMOTIONAL INTELLIGENCE; AUTHENTIC LEADERSHIP; IMPACT; MANAGEMENT; WORK; CONSERVATION; RESOURCES; NURSES; DETERMINANTS</t>
  </si>
  <si>
    <t>The innovative behavior of employees is an essential component of successful organizational change, especially during an emergency. COVID 19 is changing the working lives of those employees delivering emergency services, especially healthcare. This study contributes to the search for antecedents of employees' innovative behavior because most organizational change fails because of poor buy-in from them. This paper uses Conservation of Resources theory to examine the impact of Psychosocial Safety Climate (PSC) on employees' personal psychological coping resources, wellbeing and innovative behavior during the pandemic. PSC refers to the policies and practices that affect workers' psychological health and safety and captures the extent to which management prioritizes performance ahead of psychological health and safety. The sample comprised 163 Australian doctors, nurses and allied health professionals. Statistical analysis included ANOVAs and structural equation modeling. The findings show that the employees' perception of PSC, personal psychological resources and wellbeing explains over half of their innovative behavior and PSC and personal psychological resources explain over two-thirds of their wellbeing. Hence, if the public wants transformation, then strategies must involve building employees' psychological capabilities by improving the quality of workplace support.</t>
  </si>
  <si>
    <t>[Brunetto, Yvonne] Southern Cross Univ, Fac Business Law &amp; Arts, HRM &amp; Management, Bilinga, Australia; [Saheli, Nasim] Southern Cross Univ, Fac Hlth, Bilinga, Australia; [Dick, Thomas] Southern Cross Univ, Bilinga, Australia; [Nelson, Silvia] Southern Cross Univ, Fac Business Law &amp; Arts, HRM, Bilinga, Australia</t>
  </si>
  <si>
    <t>Southern Cross University; Southern Cross University; Southern Cross University; Southern Cross University</t>
  </si>
  <si>
    <t>Brunetto, Y (corresponding author), Southern Cross Univ, Fac Business Law &amp; Arts, Bilinga, Australia.</t>
  </si>
  <si>
    <t>yvonne.brunetto@scu.edu.au</t>
  </si>
  <si>
    <t>; Brunetto, Yvonne/P-4836-2017</t>
  </si>
  <si>
    <t>Salehi, Nasim/0000-0003-1205-6530; Brunetto, Yvonne/0000-0001-7219-0817</t>
  </si>
  <si>
    <t>1530-9576</t>
  </si>
  <si>
    <t>1557-9271</t>
  </si>
  <si>
    <t>PUBLIC PERFORM MANAG</t>
  </si>
  <si>
    <t>Public Perform. Manag. Rev.</t>
  </si>
  <si>
    <t>10.1080/15309576.2021.1918189</t>
  </si>
  <si>
    <t>3O6BD</t>
  </si>
  <si>
    <t>WOS:000657351700001</t>
  </si>
  <si>
    <t>Kor, B; Wakkee, I; van der Sijde, P</t>
  </si>
  <si>
    <t>Kor, Burcu; Wakkee, Ingrid; van der Sijde, Peter</t>
  </si>
  <si>
    <t>How to promote managers' innovative behavior at work: Individual factors and perceptions</t>
  </si>
  <si>
    <t>Individual-level innovative behavior; Perceived organizational innovativeness; Perceived organizational risk-taking; Self-leadership; Banking sector</t>
  </si>
  <si>
    <t>SELF-LEADERSHIP; ENTREPRENEURIAL ORIENTATION; DYNAMIC CAPABILITIES; RISK-TAKING; TRANSFORMATIONAL LEADERSHIP; EMPLOYEE CREATIVITY; MODERATED MEDIATION; MARKET ORIENTATION; GENDER-DIFFERENCES; BANKING SECTOR</t>
  </si>
  <si>
    <t>With the rapid development of Information and Communication Technology (ICT), digital technology changes how banks translate new customer demands into new products and services. To achieve this translation, banks should increase their intrapreneurship capability through Individual-level Innovative Behavior (IIB). However, research on how to manage and promote manager's IIB in the workplace is still at the nascent stage. Therefore, this study investigates an under-researched topic: how Perceived Organizational Innovativeness (POI) affects manager's IIB through self-leadership strategies, and whether perceived organizational risk-taking and the gender of the respondents facilitate or impede the process. The study surveys 340 managers in the Turkish banking sector and analyses the results through SEM. The findings indicate that POI, self-leadership, and strategies of self-leadership are positively related to manager's IIB. Further, the results show that self-leadership fully mediates the relationship between POI and manager's IIB and that the perceived organizational risk-taking and gender of the respondents moderate the mediating effect of self-leadership on the relationship between POI and manager's IIB. Overall, the contribution of the research is not only to gain a more holistic understanding of manager's IIB antecedents but also to provide managers or practitioners with guidance on designing organizational environments that encourage innovation in the technology-driven sector.</t>
  </si>
  <si>
    <t>[Kor, Burcu; Wakkee, Ingrid] Amsterdam Univ Appl Sci, Fraijlemaborg 133, NL-1102 CV Amsterdam, Netherlands; [van der Sijde, Peter] Vrije Univ Amsterdam, Amsterdam, Netherlands</t>
  </si>
  <si>
    <t>Vrije Universiteit Amsterdam</t>
  </si>
  <si>
    <t>Kor, B (corresponding author), Amsterdam Univ Appl Sci, Fraijlemaborg 133, NL-1102 CV Amsterdam, Netherlands.;van der Sijde, P (corresponding author), Vrije Univ Amsterdam, Amsterdam, Netherlands.</t>
  </si>
  <si>
    <t>b.kor@hva.nl</t>
  </si>
  <si>
    <t>Wakkee, Ingrid/F-8499-2013</t>
  </si>
  <si>
    <t>Wakkee, Ingrid/0000-0001-9583-3125</t>
  </si>
  <si>
    <t>10.1016/j.technovation.2020.102127</t>
  </si>
  <si>
    <t>PE0QV</t>
  </si>
  <si>
    <t>WOS:000598079000001</t>
  </si>
  <si>
    <t>Argyres, N; Rios, LA; Silverman, BS</t>
  </si>
  <si>
    <t>Argyres, Nicholas; Rios, Luis A.; Silverman, Brian S.</t>
  </si>
  <si>
    <t>Organizational change and the dynamics of innovation: Formal R&amp;D structure and intrafirm inventor networks</t>
  </si>
  <si>
    <t>STRATEGIC MANAGEMENT JOURNAL</t>
  </si>
  <si>
    <t>innovation; organizational structure; R&amp;D; social networks</t>
  </si>
  <si>
    <t>INTERFIRM COLLABORATION; KNOWLEDGE; FIRM; CAPABILITIES; EVOLUTION; IMPACT; PERFORMANCE; PARADOX; MARKET; TIES</t>
  </si>
  <si>
    <t>Research Prior research has argued and shown that firms with more centralized R&amp;D produce broader innovations, but the organizational mechanisms underlying this relationship are underexplored. This gap limits our understanding of whether and how formal R&amp;D structure can be used as a lever to influence research outcomes. To address this question, we study the relationship between formal R&amp;D structure, internal inventor networks, and innovative behavior and outcomes. We find that centralization of R&amp;D budget authority increases the connectedness of internal inventor networks, which in turn increases the breadth of both innovation impact and technological search. Surprisingly, decentralization does not have the opposite effect. Our results suggest that changes in formal structure influence innovation outcomes through changes in inventor networks, with a lag reflecting organizational inertia. Managerial Diversified corporations can organize their R&amp;D functions to be more or less centralized. Prior research has shown that this organizational choice is associated with different types of innovative outcomes. But what happens when a corporation changes its level of R&amp;D centralization? This paper suggests that centralization of R&amp;D gradually leads to new patterns of collaboration among inventors, which in turn will be associated with innovations that draw on and influence a wider range of technologies. However, future work is needed to understand why decentralization does not appear to have the opposite effect.</t>
  </si>
  <si>
    <t>[Argyres, Nicholas] Washington Univ, Olin Sch Business, St Louis, MO 63110 USA; [Rios, Luis A.] Univ Penn, Wharton Sch Business, 3620 Locust Walk, Philadelphia, PA 19104 USA; [Silverman, Brian S.] Univ Toronto, Rotman Sch Management, Toronto, ON, Canada</t>
  </si>
  <si>
    <t>Washington University (WUSTL); University of Pennsylvania; University of Toronto</t>
  </si>
  <si>
    <t>Rios, LA (corresponding author), Univ Penn, Wharton Sch Business, 3620 Locust Walk, Philadelphia, PA 19104 USA.</t>
  </si>
  <si>
    <t>luisrios@upenn.edu</t>
  </si>
  <si>
    <t>Silverman, Brian/AAP-7819-2021</t>
  </si>
  <si>
    <t>Social Sciences and Humanities Research Council of Canada; William and Phyllis Mack Institute for Innovation Management</t>
  </si>
  <si>
    <t>Social Sciences and Humanities Research Council of Canada(Social Sciences and Humanities Research Council of Canada (SSHRC)); William and Phyllis Mack Institute for Innovation Management</t>
  </si>
  <si>
    <t>Social Sciences and Humanities Research Council of Canada; The William and Phyllis Mack Institute for Innovation Management</t>
  </si>
  <si>
    <t>0143-2095</t>
  </si>
  <si>
    <t>1097-0266</t>
  </si>
  <si>
    <t>STRATEGIC MANAGE J</t>
  </si>
  <si>
    <t>Strateg. Manage. J.</t>
  </si>
  <si>
    <t>10.1002/smj.3217</t>
  </si>
  <si>
    <t>AUG 2020</t>
  </si>
  <si>
    <t>NV0UD</t>
  </si>
  <si>
    <t>WOS:000559998700001</t>
  </si>
  <si>
    <t>Chang, W; Liu, AY; Wang, XH; Yi, BW</t>
  </si>
  <si>
    <t>Chang, Wen; Liu, Anyu; Wang, Xuhui; Yi, Bowen</t>
  </si>
  <si>
    <t>Meta-analysis of outcomes of leader-member exchange in hospitality and tourism: what does the past say about the future?</t>
  </si>
  <si>
    <t>LMX; Meta-analysis; Moderator analysis; Bayesian random effect model</t>
  </si>
  <si>
    <t>ORGANIZATIONAL CITIZENSHIP BEHAVIOR; CUSTOMER SERVICE; FRONTLINE EMPLOYEES; INNOVATIVE BEHAVIOR; HELPING-BEHAVIOR; LMX; MODEL; ANTECEDENTS; PERFORMANCE; MOTIVATION</t>
  </si>
  <si>
    <t>Purpose Leader-member exchange (LMX) theory is particularly relevant to the hospitality and tourism industry due to its labor-intensive and service-focused nature. However, the hospitality literature regarding the impact of LMX on its various outcomes have inconsistent results. A holistic review of LMX studies is nonexistent in the current literature. Thus, the purpose of this study is to use a meta approach to quantitatively summarize and examine the relationship between LMX and its outcomes in the hospitality and tourism literature. Design/methodology/approach A total of 89 individual observations from 36 studies conducted between 1997 and 2018 were identified. A Bayesian random effect model was introduced into the hospitality and tourism literature for the first time to implement the meta-analysis. Findings The results suggest significant differences in the impact of LMX on various groups of outcomes. LMX has the strongest impact on firms' practice-related outcomes, such as organizational justice and employee empowerment. Few moderators are identified on the impact of LMX, such as LMX measure, culture, industry sector and statistical method. Practical implications Findings yielded several recommendations for both hospitality researchers and organizations in developing LMX related studies, as well as managing employees. Originality/value This study is the first Bayesian meta-analysis in the hospitality and tourism literature; it complements LMX theory by linking it to cognitive appraisal theory. Specific characteristics of LMX in the hospitality and tourism industry, such as the measurement of LMX and the effect of industry sector, are also identified.</t>
  </si>
  <si>
    <t>[Chang, Wen; Yi, Bowen] Dongbei Univ Finance &amp; Econ, Sch Hospitality &amp; Tourism Management, Dalian, Peoples R China; [Liu, Anyu] Univ Surrey, Sch Hospitality &amp; Tourism Management, Guildford, Surrey, England; [Wang, Xuhui] Dongbei Univ Finance &amp; Econ, Sch Business Adm, Dalian, Peoples R China</t>
  </si>
  <si>
    <t>Dongbei University of Finance &amp; Economics; University of Surrey; Dongbei University of Finance &amp; Economics</t>
  </si>
  <si>
    <t>Wang, XH (corresponding author), Dongbei Univ Finance &amp; Econ, Sch Business Adm, Dalian, Peoples R China.</t>
  </si>
  <si>
    <t>changwen@dufe.edu.cn; anyu.liu@surrey.ac.uk; wangxuhui@dufe.edu.cn; dlybw888@163.com</t>
  </si>
  <si>
    <t>Chang, Wen/0000-0002-0471-8883; Yi, Bowen/0000-0001-8813-7404</t>
  </si>
  <si>
    <t>National Natural Science Foundation of China [71672026]</t>
  </si>
  <si>
    <t>This study is funded by the National Natural Science Foundation of China (Grant number 71672026).</t>
  </si>
  <si>
    <t>10.1108/IJCHM-06-2019-0591</t>
  </si>
  <si>
    <t>WOS:000529157000001</t>
  </si>
  <si>
    <t>Yan, DX; Wen, FL; Li, XY; Zhang, YQ</t>
  </si>
  <si>
    <t>Yan, Dexiu; Wen, Fule; Li, Xiaoyu; Zhang, Yaqing</t>
  </si>
  <si>
    <t>The relationship between psychological capital and innovation behaviour in Chinese nurses</t>
  </si>
  <si>
    <t>Chinese nurses; innovation behaviour; job control; perceived organisational innovation climate; psychological capital</t>
  </si>
  <si>
    <t>JOB DEMANDS; CLIMATE; IMPACT; CREATIVITY; LEADER</t>
  </si>
  <si>
    <t>Aim To explore the serial-multiple mediation of job control and perceived organisational innovation climate between psychological capital and innovation behaviour among Chinese nurses through structural equation modelling. Background Nurses' innovation not only promotes the development of the nursing industry but also improves the quality of care and promotes patient prognosis. Thus, it is essential to clarify the factors affecting nurses' innovative behaviour and to provide a theoretical basis for improving nurses' innovative behaviour. Methods A cross-sectional study was conducted among 4,677 Chinese nurses from 18 hospitals. The PCQ-R, Nurses' Job Control Scale, the Nurses' Organizational Innovation Climate Scale, and the Nurses' Innovation Behaviour Scale were used to conduct a questionnaire survey. Results According to the serial-multiple mediation, the mediating role of job control and perceived organisational innovation climate between psychological capital and innovative behaviour is significant. (Z = 7.25, p &lt; .05). Conclusions Higher psychological capital can promote nurses' innovation behaviour. Therefore, improving psychological capital can enhance the innovation behaviour of nurses. Implications for Nursing Management It is essential to change hospital working environments for enhancing the innovation behaviour of health professionals. Managers could promote nurses' innovative behaviour by strengthening nurses' psychological capital.</t>
  </si>
  <si>
    <t>[Yan, Dexiu; Wen, Fule; Li, Xiaoyu; Zhang, Yaqing] Shanghai Jiao Tong Univ, Sch Nursing, 227 South Chongqing Rd, Shanghai, Peoples R China</t>
  </si>
  <si>
    <t>Shanghai Jiao Tong University</t>
  </si>
  <si>
    <t>Zhang, YQ (corresponding author), Shanghai Jiao Tong Univ, Sch Nursing, 227 South Chongqing Rd, Shanghai, Peoples R China.</t>
  </si>
  <si>
    <t>zhangyqf@shsmu.edu.cn</t>
  </si>
  <si>
    <t>wen, fule/GWQ-6293-2022</t>
  </si>
  <si>
    <t>wen, fule/0000-0002-6954-647X</t>
  </si>
  <si>
    <t>National Social Science Foundation of China [16BGL102]</t>
  </si>
  <si>
    <t>National Social Science Foundation of China</t>
  </si>
  <si>
    <t>National Social Science Foundation of China, Grant/Award Number: 16BGL102</t>
  </si>
  <si>
    <t>WILEY-HINDAWI</t>
  </si>
  <si>
    <t>ADAM HOUSE, 3RD FL, 1 FITZROY SQ, LONDON, WIT 5HE, ENGLAND</t>
  </si>
  <si>
    <t>10.1111/jonm.12926</t>
  </si>
  <si>
    <t>LI3UA</t>
  </si>
  <si>
    <t>WOS:000527065100001</t>
  </si>
  <si>
    <t>Junglas, I; Goel, L; Ives, B; Harris, J</t>
  </si>
  <si>
    <t>Junglas, Iris; Goel, Lakshmi; Ives, Blake; Harris, Jeanne</t>
  </si>
  <si>
    <t>Innovation at work: The relative advantage of using consumer IT in the workplace</t>
  </si>
  <si>
    <t>INFORMATION SYSTEMS JOURNAL</t>
  </si>
  <si>
    <t>consumer IT; consumerization; empowerment; innovative work behaviour; relative advantage; satisfaction</t>
  </si>
  <si>
    <t>TECHNOLOGY ACCEPTANCE MODEL; USER COMPUTING SATISFACTION; STRUCTURAL EQUATION MODELS; INFORMATION-TECHNOLOGY; PSYCHOLOGICAL EMPOWERMENT; EXPECTATION-CONFIRMATION; FIRM PERFORMANCE; MODERATING ROLE; BUSINESS VALUE; SYSTEMS</t>
  </si>
  <si>
    <t>Employees' personal devices are increasingly evident in the workplace; the use of non-enterprise sanctioned hardware and software is now commonplace. This phenomenon, frequently referred to as IT consumerization, is gaining momentum. Employees increasingly are using their own devices and choosing their own software (eg, Google Apps, Skype or Dropbox) in addition to-or instead of-enterprise IT. Employees are turning from consumers of enterprise IT to IT deciders, bypassing the IS department to use what critics call rogue IT. While discouraged in some contexts, the influx of consumer IT into the workplace has been suggested to influence innovative behaviours among employees. Although the phenomenon is very prevalent, research lags in the operationalization of an IT consumerization model. In this paper, we take a close look at the antecedents and consequences of consumerization behaviours. We examine to what extent an individual's level of satisfaction with enterprise IT in juxtaposition with the level of perceived relative advantage of consumer IT over enterprise IT influences an individual's usage of consumer IT in the workplace; we also examine how organizational mandates and IT empowerment influences IT consumerization behaviours. Finally, we investigate the influence of IT consumerization on innovative behaviours at work.</t>
  </si>
  <si>
    <t>[Junglas, Iris] Florida State Univ, Coll Business, Rovetta Business Annex, Room 348,821 Acad Way, Tallahassee, FL 32306 USA; [Goel, Lakshmi] Univ North Florida, Coggin Coll Business, Bldg 42,Room 3226,1UNF Dr, Jacksonville, FL 32224 USA; [Ives, Blake] Univ Houston, CT Bauer Coll Business, 270c Melcher Hall, Houston, TX 77204 USA; [Harris, Jeanne] Accenture Inst High Performance, 800 Boylston St, Boston, MA 02199 USA</t>
  </si>
  <si>
    <t>State University System of Florida; Florida State University; State University System of Florida; University of North Florida; University of Houston System; University of Houston; Accenture</t>
  </si>
  <si>
    <t>Junglas, I (corresponding author), Florida State Univ, Coll Business, Rovetta Business Annex, Room 348,821 Acad Way, Tallahassee, FL 32306 USA.</t>
  </si>
  <si>
    <t>iris.junglas@gmail.com</t>
  </si>
  <si>
    <t>Ives, Blake/R-5772-2019</t>
  </si>
  <si>
    <t>Ives, Blake/0000-0002-1296-6801</t>
  </si>
  <si>
    <t>1350-1917</t>
  </si>
  <si>
    <t>1365-2575</t>
  </si>
  <si>
    <t>INFORM SYST J</t>
  </si>
  <si>
    <t>Inf. Syst. J.</t>
  </si>
  <si>
    <t>10.1111/isj.12198</t>
  </si>
  <si>
    <t>Information Science &amp; Library Science</t>
  </si>
  <si>
    <t>HK8YT</t>
  </si>
  <si>
    <t>WOS:000458276500003</t>
  </si>
  <si>
    <t>Bednall, TC; Sanders, K</t>
  </si>
  <si>
    <t>Bednall, Timothy C.; Sanders, Karin</t>
  </si>
  <si>
    <t>Do Opportunities for Formal Learning Stimulate Follow-Up Participation in Informal Learning? A Three-Wave Study</t>
  </si>
  <si>
    <t>formal learning; HRM system strength; informal learning; informal learning activities</t>
  </si>
  <si>
    <t>HUMAN-RESOURCE ARCHITECTURE; EMPLOYEE PERCEPTIONS; ABSORPTIVE-CAPACITY; SYSTEM STRENGTH; HR PRACTICES; FIT INDEXES; PERFORMANCE; TEACHERS; MANAGEMENT; DIVERSITY</t>
  </si>
  <si>
    <t>Informal learning is an important source of employee adaptability and expertise, yet it is unclear how it may be encouraged through human resource management (HRM) practices. In this study, we investigate how opportunities for formal learning may be used to stimulate short- and long-term participation in informal learning. In addition, we examine whether HRM system strength intensifies the relationship between opportunities for formal learning and informal learning. Using a sample of 430 respondents in 52 teams within six Dutch vocational and educational training schools, we adopt a longitudinal design to examine two types of autonomous informal learning activities (reflection and keeping up to date), and three collaborative activities (asking for feedback, knowledge sharing and innovative behavior) over two years. Opportunity for formal learning was positively related to short- and long-term participation in informal learning activities, with the exception of long-term innovation. Moreover, HRM system strength intensified these relationships. Managerial implications of these findings for encouraging informal learning activities at work are discussed. (c) 2016 Wiley Periodicals, Inc.</t>
  </si>
  <si>
    <t>[Bednall, Timothy C.] Swinburne Business Sch, Dept Management &amp; Mkt, POB 218,Mail H23,Cnr John &amp; Wakefield St, Hawthorn, Vic 3122, Australia; [Bednall, Timothy C.] UNSW Australia Business Sch, Sydney, NSW, Australia; [Bednall, Timothy C.] Australian Red Cross Blood Serv &amp; Chandler Macleo, Melbourne, Vic, Australia; [Bednall, Timothy C.] APS Coll Org Psychologists, Melbourne, Vic, Australia; [Sanders, Karin] UNSW Australia Business Sch, Sch Management, Human Resource Management &amp; Org Behav, Sydney, NSW, Australia; [Sanders, Karin] UNSW Australia Business Sch, Sch Management, Sydney, NSW, Australia</t>
  </si>
  <si>
    <t>University of New South Wales Sydney; Australian Red Cross Blood Service; University of New South Wales Sydney; University of New South Wales Sydney</t>
  </si>
  <si>
    <t>Bednall, TC (corresponding author), Swinburne Business Sch, Dept Management &amp; Mkt, POB 218,Mail H23,Cnr John &amp; Wakefield St, Hawthorn, Vic 3122, Australia.</t>
  </si>
  <si>
    <t>Dutch Organization for Scientific Research [NWO/PROO 411-07-303]</t>
  </si>
  <si>
    <t>Dutch Organization for Scientific Research(Netherlands Organization for Scientific Research (NWO))</t>
  </si>
  <si>
    <t>This research is funded by the Dutch Organization for Scientific Research (NWO/PROO 411-07-303).</t>
  </si>
  <si>
    <t>10.1002/hrm.21800</t>
  </si>
  <si>
    <t>FG9OQ</t>
  </si>
  <si>
    <t>WOS:000410769200006</t>
  </si>
  <si>
    <t>Eberhardt, M; Helmers, C; Yu, ZH</t>
  </si>
  <si>
    <t>Eberhardt, Markus; Helmers, Christian; Yu, Zhihong</t>
  </si>
  <si>
    <t>What can explain the Chinese patent explosion?</t>
  </si>
  <si>
    <t>OXFORD ECONOMIC PAPERS-NEW SERIES</t>
  </si>
  <si>
    <t>RESEARCH-AND-DEVELOPMENT; INTERNAL FINANCE; INNOVATION; FIRMS; PROTECTION; COUNTRIES; CAPACITY; MATTER; SURGE; UK</t>
  </si>
  <si>
    <t>We analyse the 'explosion' of patent filings by Chinese residents, both domestically and in the USA during the early 2000s, employing a unique data set of 374,000 firms matching patent applications to manufacturing census data. Our analysis reveals that patenting is highly concentrated among a small number of firms, operating in the information and communication technology (ICT) sector. Although increases in patent filings by these companies are partly driven by increased R&amp; D intensity, our analysis suggests that the explosion of patent filings at the Chinese patent office is driven by factors other than underlying innovative behaviour, including government subsidies that encourage patent filings directly.</t>
  </si>
  <si>
    <t>[Eberhardt, Markus; Yu, Zhihong] Univ Nottingham, Sch Econ, Univ Pk, Nottingham NG7 2RD, England; [Eberhardt, Markus; Helmers, Christian] Univ Oxford, Ctr Study African Econ, Oxford, England; [Helmers, Christian] Santa Clara Univ, Santa Clara, CA 95053 USA</t>
  </si>
  <si>
    <t>RLUK- Research Libraries UK; University of Nottingham; RLUK- Research Libraries UK; University of Oxford; Santa Clara University</t>
  </si>
  <si>
    <t>Eberhardt, M (corresponding author), Univ Nottingham, Sch Econ, Univ Pk, Nottingham NG7 2RD, England.;Eberhardt, M (corresponding author), Univ Oxford, Ctr Study African Econ, Oxford, England.</t>
  </si>
  <si>
    <t>Markus.Eberhardt@nottingham.ac.uk</t>
  </si>
  <si>
    <t>Yu, Zhihong/0000-0003-1533-3732</t>
  </si>
  <si>
    <t>UK ESRC [PTA-026-27-2048]; Nottingham School of Economics; Santa Clara University</t>
  </si>
  <si>
    <t>UK ESRC(UK Research &amp; Innovation (UKRI)Economic &amp; Social Research Council (ESRC)); Nottingham School of Economics; Santa Clara University</t>
  </si>
  <si>
    <t>This work was supported by the UK ESRC [grant number PTA-026-27-2048, to Eberhardt]; the Nottingham School of Economics; and Santa Clara University.</t>
  </si>
  <si>
    <t>0030-7653</t>
  </si>
  <si>
    <t>1464-3812</t>
  </si>
  <si>
    <t>OXFORD ECON PAP</t>
  </si>
  <si>
    <t>Oxf. Econ. Pap.-New Ser.</t>
  </si>
  <si>
    <t>10.1093/oep/gpw042</t>
  </si>
  <si>
    <t>EP0MH</t>
  </si>
  <si>
    <t>WOS:000397080900011</t>
  </si>
  <si>
    <t>Kor, B</t>
  </si>
  <si>
    <t>Kor, Burcu</t>
  </si>
  <si>
    <t>The mediating effects of self-leadership on perceived entrepreneurial orientation and innovative work behavior in the banking sector</t>
  </si>
  <si>
    <t>SPRINGERPLUS</t>
  </si>
  <si>
    <t>Entrepreneurial orientation; Perceived entrepreneurial orientation; Self-leadership; Innovative work behavior; Innovative behavior; Banking sector</t>
  </si>
  <si>
    <t>JOB-SATISFACTION; MODERATING ROLE; TRANSFORMATIONAL LEADERSHIP; PSYCHOLOGICAL CLIMATE; INDIVIDUAL INNOVATION; BUSINESS PERFORMANCE; PERCEPTIONS; MODEL; FIRMS; FIT</t>
  </si>
  <si>
    <t>Innovative work behavior has been one of the essential attribute of high performing firms, and the roles of entrepreneurial orientation and self-leadership have been important for promoting innovative work behavior. This study advances research on innovative work behavior by examining the mediating role of self-leadership in the relationship between perceived entrepreneurial orientation and innovative work behavior. Structural equation modelling is employed to analyze data from a survey of 404 employees in banking sector. The results of reliability measures and confirmatory factor analysis strongly support the scale of the study. The results from an empirical survey study in the deposit banks reveal that participants' perceptions about high levels of entrepreneurial orientation have a positive impact on innovative work behavior. The results also provide support for the full mediating role of self-leadership in the relationship between participants' perceptions of entrepreneurial orientation and innovative work behavior. Additionally, this study provides some implications for practitioners in the banking sector to facilitate innovative work behavior through entrepreneurial orientation and self-leadership.</t>
  </si>
  <si>
    <t>[Kor, Burcu] Bogazici Univ, Dept Management Informat Syst, Hisar Campus,B Block, TR-34342 Istanbul, Turkey</t>
  </si>
  <si>
    <t>Bogazici University</t>
  </si>
  <si>
    <t>Kor, B (corresponding author), Bogazici Univ, Dept Management Informat Syst, Hisar Campus,B Block, TR-34342 Istanbul, Turkey.</t>
  </si>
  <si>
    <t>burcu.kor@boun.edu.tr</t>
  </si>
  <si>
    <t>Scientific and Technological Research Council of Turkey [2214]</t>
  </si>
  <si>
    <t>Scientific and Technological Research Council of Turkey(Turkiye Bilimsel ve Teknolojik Arastirma Kurumu (TUBITAK))</t>
  </si>
  <si>
    <t>This research was supported by the Scientific and Technological Research Council of Turkey [Grant Number: 2214].</t>
  </si>
  <si>
    <t>2193-1801</t>
  </si>
  <si>
    <t>SpringerPlus</t>
  </si>
  <si>
    <t>OCT 21</t>
  </si>
  <si>
    <t>10.1186/s40064-016-3556-8</t>
  </si>
  <si>
    <t>EH5KD</t>
  </si>
  <si>
    <t>WOS:000391810900009</t>
  </si>
  <si>
    <t>Bunpin, JJD; Chapman, S; Blegen, M; Spetz, J</t>
  </si>
  <si>
    <t>Bunpin, Jose J. Dy, III; Chapman, Susan; Blegen, Mary; Spetz, Joanne</t>
  </si>
  <si>
    <t>Differences in Innovative Behavior Among Hospital-Based Registered Nurses</t>
  </si>
  <si>
    <t>JOURNAL OF NURSING ADMINISTRATION</t>
  </si>
  <si>
    <t>EMPOWERMENT; AUTONOMY</t>
  </si>
  <si>
    <t>BACKGROUND: The 2010 Institute of Medicine report, 'The Future of Nursing: Leading Change, Advancing Health', advocated for nurses to innovate in their practice, research, and education. However, little is known about the innovative behavior of registered nurses or whether there are differences in innovative behavior among registered nurses. OBJECTIVE: The purpose of this article is to describe the innovative behavior of hospital-based registered nurses and understand the differences in innovative behavior when registered nurses are categorized into various demographic groups. METHODS: A survey of 251 hospital-based registered nurses from 9 hospitals in California was administered to assess demographic characteristics and innovative behavior, measured through Scott and Bruce's Individual Innovative Behavior Scale. RESULTS: Hospital-based registered nurses, on average, reported moderate levels of innovative behavior. There were statistically significant differences in innovative behavior when registered nurses were categorized according to specialty certification, role, level of education, hospital size, and hospital innovativeness. CONCLUSIONS: To support innovative behavior, organizations should provide opportunities for specialty certification and increasing levels of education.</t>
  </si>
  <si>
    <t>[Bunpin, Jose J. Dy, III] San Francisco VA Med Ctr, Surg &amp; Procedural Care, San Francisco, CA 94121 USA; [Chapman, Susan] Univ Calif San Francisco, Sch Nursing, Dept Social &amp; Behav Sci, San Francisco, CA 94143 USA; [Blegen, Mary] Univ Calif San Francisco, Sch Nursing, San Francisco, CA 94143 USA; [Spetz, Joanne] Univ Calif San Francisco, Sch Med, Inst Hlth Policy Studies, San Francisco, CA 94143 USA</t>
  </si>
  <si>
    <t>US Department of Veterans Affairs; Veterans Health Administration (VHA); San Francisco VA Medical Center; University of California System; University of California San Francisco; University of California System; University of California San Francisco; University of California System; University of California San Francisco</t>
  </si>
  <si>
    <t>Bunpin, JJD (corresponding author), San Francisco VA Med Ctr, 4150 Clement St, San Francisco, CA 94121 USA.</t>
  </si>
  <si>
    <t>jose.dybunpin@va.gov</t>
  </si>
  <si>
    <t>Spetz, Joanne/0000-0003-3112-5511</t>
  </si>
  <si>
    <t>0002-0443</t>
  </si>
  <si>
    <t>1539-0721</t>
  </si>
  <si>
    <t>J NURS ADMIN</t>
  </si>
  <si>
    <t>J. Nurs. Adm.</t>
  </si>
  <si>
    <t>10.1097/NNA.0000000000000310</t>
  </si>
  <si>
    <t>DF8BZ</t>
  </si>
  <si>
    <t>WOS:000371583200006</t>
  </si>
  <si>
    <t>Stewart, AME; Gordon, CH; Wich, SA; Schroor, P; Meijaard, E</t>
  </si>
  <si>
    <t>Stewart, Anne-Marie E.; Gordon, Chris H.; Wich, Serge A.; Schroor, Philippa; Meijaard, Erik</t>
  </si>
  <si>
    <t>Fishing in Macaca fascicularis: A rarely observed innovative behavior</t>
  </si>
  <si>
    <t>INTERNATIONAL JOURNAL OF PRIMATOLOGY</t>
  </si>
  <si>
    <t>Borneo; culture; diet; fishing behavior; innovation; primates; Sumatra</t>
  </si>
  <si>
    <t>LONG-TAILED MACAQUES</t>
  </si>
  <si>
    <t>Observations of fishing behavior in nonhuman primates are rare and isolated, and there is no prior published observation on the behavior in long-tailed macaques (Macaca fascicularis). We observed fishing behavior in 3 groups of long-tailed macaques from 2 separate study sites in North Sumatra and East Kalimantan, Indonesia. We propose that the behavior is rare and fulfills the requirements for classification as innovation. Further, all of the fishing individuals were watched by other members of their group, with their actions inciting attempts at fishing by them. We consider the possibility that the behavior has the potential to become cultural within the populations.</t>
  </si>
  <si>
    <t>[Stewart, Anne-Marie E.; Gordon, Chris H.; Schroor, Philippa; Meijaard, Erik] E Kalimantan Programme, Nat Conservancy, Samarinda 75123, E Kalimantan, Indonesia; [Wich, Serge A.] Great Ape Trust, Des Moines, IA 50320 USA; [Meijaard, Erik] Australian Natl Univ, Sch Archaeol &amp; Anthropol, Canberra, ACT 0200, Australia</t>
  </si>
  <si>
    <t>Australian National University</t>
  </si>
  <si>
    <t>Stewart, AME (corresponding author), E Kalimantan Programme, Nat Conservancy, Samarinda 75123, E Kalimantan, Indonesia.</t>
  </si>
  <si>
    <t>amistewart@yahoo.co.uk</t>
  </si>
  <si>
    <t>Meijaard, Erik/A-2687-2016</t>
  </si>
  <si>
    <t>Meijaard, Erik/0000-0001-8685-3685; Wich, Serge/0000-0003-3954-5174</t>
  </si>
  <si>
    <t>0164-0291</t>
  </si>
  <si>
    <t>1573-8604</t>
  </si>
  <si>
    <t>INT J PRIMATOL</t>
  </si>
  <si>
    <t>Int. J. Primatol.</t>
  </si>
  <si>
    <t>10.1007/s10764-007-9176-y</t>
  </si>
  <si>
    <t>289MM</t>
  </si>
  <si>
    <t>WOS:000255058600016</t>
  </si>
  <si>
    <t>Liverpool, J; Alexander, R; Johnson, M; Ebba, EK; Francis, S; Liverpool, C</t>
  </si>
  <si>
    <t>Western medicine and traditional healers: Partners in the fight against HIV/AIDS</t>
  </si>
  <si>
    <t>JOURNAL OF THE NATIONAL MEDICAL ASSOCIATION</t>
  </si>
  <si>
    <t>traditional healer; HIV; AIDS; South Africa</t>
  </si>
  <si>
    <t>Prevention and control programs for HIV/AIDS have had limited success, especially in sub-Saharan Africa. Not surprising, most residents see traditional healers as their only option to meet their healthcare needs. Some patients refuse surgery or other medical treatment unless their traditional healer sanctions the treatment first. Formally trained doctors have finally begun to consider traditional healers as potential allies in the battle to prevent the spread of HIV/AIDS by recognizing that the longstanding trust and credibility of these healers in the black communities can facilitate change in sexual behavior. Innovative and effective approaches, including utilization of traditional healers, can play a vital role in Africa's AIDS prevention and control programs.</t>
  </si>
  <si>
    <t>Morehouse Sch Med, Dept Pediat, Atlanta, GA 30310 USA; Univ N Carolina, Chapel Hill, NC 27514 USA</t>
  </si>
  <si>
    <t>Morehouse School of Medicine; University of North Carolina; University of North Carolina Chapel Hill</t>
  </si>
  <si>
    <t>Liverpool, J (corresponding author), Morehouse Sch Med, Dept Pediat, 720 Westview Dr SW, Atlanta, GA 30310 USA.</t>
  </si>
  <si>
    <t>liverpj@bellsouth.net</t>
  </si>
  <si>
    <t>NATL MED ASSOC</t>
  </si>
  <si>
    <t>WASHINGON</t>
  </si>
  <si>
    <t>1012 10TH ST, N W, WASHINGON, DC 20001 USA</t>
  </si>
  <si>
    <t>0027-9684</t>
  </si>
  <si>
    <t>J NATL MED ASSOC</t>
  </si>
  <si>
    <t>J. Natl. Med. Assoc.</t>
  </si>
  <si>
    <t>Medicine, General &amp; Internal</t>
  </si>
  <si>
    <t>General &amp; Internal Medicine</t>
  </si>
  <si>
    <t>840HO</t>
  </si>
  <si>
    <t>WOS:000222848900033</t>
  </si>
  <si>
    <t>OyelaranOyeyinka, B; Laditan, GOA; Esubiyi, AO</t>
  </si>
  <si>
    <t>Industrial innovation in Sub-Saharan Africa: The manufacturing sector in Nigeria</t>
  </si>
  <si>
    <t>This paper presents the findings of a study on the innovative behaviour of over 50 firms in a Sub-Saharan African country, Nigeria. The study examines the engineering and agro-allied sectors and the nature of linkages they form with research and development institutions (RDIs). We found evidence of significant innovative activities, albeit of adaptive and incremental kinds, Linkages between firms and between firms and RDIs are mostly on an ad-hoc basis. Interaction remains fairly weak but developing. Firms innovate largely in response to materials constraints and scale bottlenecks. Poor physical and engineering infrastructure constitutes a particular constraint category shaping the rate of innovative activities.</t>
  </si>
  <si>
    <t>OyelaranOyeyinka, B (corresponding author), NIGERIAN INST SOCIAL &amp; ECON RES, IBADAN, NIGERIA.</t>
  </si>
  <si>
    <t>10.1016/S0048-7333(96)00889-X</t>
  </si>
  <si>
    <t>VZ230</t>
  </si>
  <si>
    <t>WOS:A1996VZ23000006</t>
  </si>
  <si>
    <t>Slatten, T; Mutonyi, BR; Lien, G</t>
  </si>
  <si>
    <t>Slatten, Terje; Mutonyi, Barbara Rebecca; Lien, Gudbrand</t>
  </si>
  <si>
    <t>The impact of individual creativity, psychological capital, and leadership autonomy support on hospital employees' innovative behaviour</t>
  </si>
  <si>
    <t>BMC HEALTH SERVICES RESEARCH</t>
  </si>
  <si>
    <t>Innovative behaviour; Creativity; Psychological capital; Leadership autonomy support; Hospital; Employees</t>
  </si>
  <si>
    <t>JOB; PERFORMANCE; ANTECEDENTS; EMPOWERMENT; ENVIRONMENT; COMMITMENT; MOTIVATION; NURSES; MODEL</t>
  </si>
  <si>
    <t>BackgroundThere is growing interest in and focus on healthcare services research to identify factors associated with innovation in healthcare organizations. However, previous innovation research has concentrated primarily on the organizational level. In contrast, this study focuses on innovation by individual employees. The specific aim is to examine factors with potential impact on individual employee innovation in hospital organizations. Thus, the study significantly deepens and broadens previous research on innovation in the domain of health services.MethodsA conceptual model was developed and tested on a sample of hospital employees (n=1008). Partial least-squares structural equation modelling (PLS-SEM) was used to analyse the data with SmartPLS 3 software in two steps involving a measurement model and a structural model. Mediation analysis was used to test the proposed indirect effects.ResultsHospital employees' individual innovative behaviour is directly and positively associated with individual creativity (beta =0.440), psychological capital (beta =0.34) and leadership autonomy support (beta =0.07). The relationships between leadership autonomy support, psychological capital and individual innovative behaviour are all mediated by employees' creativity. Psychological capital mediates the relationship between leadership autonomy support and individual innovative behaviour. Overall, the proposed model explains 50% of the variance in hospital employees' innovative behaviour.ConclusionsThis study reveals a complex pattern of links between innovative behaviour and leadership autonomy support, employees' creativity and employees' psychological capital. However, the findings indicate that leadership autonomy support has an influential and multifaceted impact on hospital employees' innovative behaviour.</t>
  </si>
  <si>
    <t>[Slatten, Terje; Mutonyi, Barbara Rebecca; Lien, Gudbrand] Inland Norway Univ Appl Sci, Campus Lillehammer, N-2604 Lillehammer, Norway</t>
  </si>
  <si>
    <t>Slatten, T (corresponding author), Inland Norway Univ Appl Sci, Campus Lillehammer, N-2604 Lillehammer, Norway.</t>
  </si>
  <si>
    <t>Terje.Slatten@inn.no</t>
  </si>
  <si>
    <t>1472-6963</t>
  </si>
  <si>
    <t>BMC HEALTH SERV RES</t>
  </si>
  <si>
    <t>BMC Health Serv. Res.</t>
  </si>
  <si>
    <t>DEC 27</t>
  </si>
  <si>
    <t>10.1186/s12913-020-05954-4</t>
  </si>
  <si>
    <t>PA7FC</t>
  </si>
  <si>
    <t>Green Submitted, Green Published, gold</t>
  </si>
  <si>
    <t>WOS:000595795600006</t>
  </si>
  <si>
    <t>Chen, TJ; Wu, CM</t>
  </si>
  <si>
    <t>Chen, Tso-Jen; Wu, Chi-Min</t>
  </si>
  <si>
    <t>Can newcomers perform better at hotels? Examining the roles of transformational leadership, supervisor-triggered positive affect, and perceived supervisor support</t>
  </si>
  <si>
    <t>TOURISM MANAGEMENT PERSPECTIVES</t>
  </si>
  <si>
    <t>ORGANIZATIONAL SOCIALIZATION TACTICS; SERVICE PERFORMANCE; MEDIATING ROLE; HOSPITALITY INDUSTRY; EMOTIONAL LABOR; EMPLOYEE CREATIVITY; PROSOCIAL IMPACT; EMPOWERING LEADERSHIP; INFORMATION-SEEKING; INNOVATIVE BEHAVIOR</t>
  </si>
  <si>
    <t>Tourism literature has presented the effects of leadership style on staff efficiency yet few have examined the causal relationship between leadership style and newcomer outcomes at the hotel workplace context. This study examined the underlying mechanism regarding how transformational leadership can facilitate hotel newcomers to exhibit better performance and retention. Using the structural equation model, this study tested research hypotheses using valid data collected from 234 hotel newcomers with their supervisors from 63 tourist hotels rated above four-star in Taiwan. Based on emotion in feedback system theory, this study noted that hotel newcomers displayed higher supervisor-triggered positive affect due to the transformational leadership of their supervisors. In turn, this led to newcomers' high performance and motivation to continue working. Adapting social exchange theory, this study found that transformational leadership has led to the development of a higher perceived supervisor support, which facilitated better performance among newcomers at hotel organizations.</t>
  </si>
  <si>
    <t>[Chen, Tso-Jen] Tainan Univ Technol, Dept Business Adm, Tainan, Taiwan; [Wu, Chi-Min] Chia Nan Univ Pharm &amp; Sci, Dept Recreat &amp; Hlth Care Management, Tainan, Taiwan; [Chen, Tso-Jen] 529 Zhongzheng Rd, Tainan 71002, Taiwan; [Wu, Chi-Min] 60,Sec 1,Erren Rd, Tainan 71710, Taiwan</t>
  </si>
  <si>
    <t>Chia Nan University of Pharmacy &amp; Science</t>
  </si>
  <si>
    <t>Wu, CM (corresponding author), Chia Nan Univ Pharm &amp; Sci, Dept Recreat &amp; Hlth Care Management, Tainan, Taiwan.;Wu, CM (corresponding author), 60,Sec 1,Erren Rd, Tainan 71710, Taiwan.</t>
  </si>
  <si>
    <t>tj0004@mail.tut.edu.tw; wuchimin@mail.cnu.edu.tw</t>
  </si>
  <si>
    <t>Research Support Scheme of the Ministry of Science and Technology, R.O.C (Taiwan) [107-2410-H-165-005-SSS]</t>
  </si>
  <si>
    <t>Research Support Scheme of the Ministry of Science and Technology, R.O.C (Taiwan)</t>
  </si>
  <si>
    <t>This work was supported by the Research Support Scheme of the Ministry of Science and Technology, R.O.C (Taiwan), grant no. 107-2410-H-165-005-SSS.</t>
  </si>
  <si>
    <t>2211-9736</t>
  </si>
  <si>
    <t>2211-9744</t>
  </si>
  <si>
    <t>TOUR MANAG PERSPECT</t>
  </si>
  <si>
    <t>Tour. Manag. Perspect.</t>
  </si>
  <si>
    <t>10.1016/j.tmp.2019.100587</t>
  </si>
  <si>
    <t>KH2LN</t>
  </si>
  <si>
    <t>WOS:000510478700009</t>
  </si>
  <si>
    <t>Ng, TWH; Wang, M</t>
  </si>
  <si>
    <t>Ng, Thomas W. H.; Wang, Mo</t>
  </si>
  <si>
    <t>An actor-partner interdependence model of employees' and coworkers' innovative behavior, psychological detachment, and strain reactions</t>
  </si>
  <si>
    <t>coworkers; innovative behavior; proactivity; psychological detachment</t>
  </si>
  <si>
    <t>ORGANIZATIONAL CITIZENSHIP BEHAVIOR; DEMANDS-RESOURCES MODEL; OFF-JOB TIME; PROACTIVE PERSONALITY; WORK BEHAVIOR; ABUSIVE SUPERVISION; MEDIATING ROLE; RECOVERY EXPERIENCES; MODERATING ROLE; SLEEP QUALITY</t>
  </si>
  <si>
    <t>In an extension of the existing paradigm on the benefits of innovative behavior for organizations, this study addresses the negative effects of innovative behavior. Guided by psychological detachment theory, we propose that both displaying innovative behavior and witnessing others' innovative behavior make it difficult for workers to psychologically distance themselves from innovation matters, engendering strain reactions (e.g., sleep problems, hostility). Those with more proactive personalities may be more likely to experience these detachment difficulty problems after displaying or witnessing innovative behavior. To test these premises, we conducted two studies. In the pilot study (N = 104 employee-coworker dyads), we gathered both quantitative and qualitative data to show that innovative behavior predicts detachment difficulty above and beyond other job behaviors. In the main study, we collected data from 257 employee-coworker dyads over 5 weeks and analyzed them with an actor-partner interdependence model. The results are generally supportive, suggesting that further investigation of the unintended consequences of innovative behavior is warranted.</t>
  </si>
  <si>
    <t>[Ng, Thomas W. H.] Univ Hong Kong, Fac Business &amp; Econ, Pok Fu Lam, KKL Bldg, Hong Kong, Peoples R China; [Wang, Mo] Univ Florida, Warrington Coll Business, Dept Management, Gainesville, FL USA</t>
  </si>
  <si>
    <t>University of Hong Kong; State University System of Florida; University of Florida</t>
  </si>
  <si>
    <t>Ng, TWH (corresponding author), Univ Hong Kong, Fac Business &amp; Econ, Pok Fu Lam, KKL Bldg, Hong Kong, Peoples R China.</t>
  </si>
  <si>
    <t>Wang, Mo/AAT-1501-2021; Ng, Thomas Wai Hung/A-4433-2010</t>
  </si>
  <si>
    <t>Wang, Mo/0000-0001-7004-3549</t>
  </si>
  <si>
    <t>Research Grants Council of Hong Kong [GRF 17500317]</t>
  </si>
  <si>
    <t>Research Grants Council of Hong Kong(Hong Kong Research Grants Council)</t>
  </si>
  <si>
    <t>Research Grants Council of Hong Kong, Grant/Award Number: GRF 17500317</t>
  </si>
  <si>
    <t>10.1111/peps.12317</t>
  </si>
  <si>
    <t>IM6DU</t>
  </si>
  <si>
    <t>WOS:000478084200005</t>
  </si>
  <si>
    <t>Carbonell, P; Escudero, AIR</t>
  </si>
  <si>
    <t>Carbonell, Pilar; Rodriguez Escudero, Ana I.</t>
  </si>
  <si>
    <t>The Dark Side of Team Social Cohesion in NPD Team Boundary Spanning</t>
  </si>
  <si>
    <t>PRODUCT DEVELOPMENT TEAMS; FINANCIAL PERFORMANCE; INNOVATIVE BEHAVIOR; EXTERNAL ACTIVITIES; IDENTITY; KNOWLEDGE; COHESIVENESS; TASK; ANTECEDENTS; MAINTENANCE</t>
  </si>
  <si>
    <t>Although team boundary spanning is conducive to achieving new product (NP) competitive advantage, these actions may not always deliver the expected performance. The current study makes an initial attempt to examine factors that undermine team boundary spanning positive effects on NP competitive advantage by proposing and testing a negative moderating effect of team social cohesion on the relationship between team boundary spanning and NP competitive advantage. Furthermore, the current study expects team social cohesion to have a stronger negative moderating effect on the relationship between team boundary spanning and NP competitive advantage when external task interdependence and project newness are high than when they are low. Data for this study come from 140 NPD projects developed and commercialized by Spanish manufacturing firms in high- and medium-high-technology sectors. The study's results reveal a positive effect of team boundary spanning on NP competitive advantage. Furthermore, high levels of team social cohesion are shown to reduce the positive effect of team boundary spanning on NP competitive advantage. Finally, we found that project newness and external task interdependence accentuate the negative moderating effect of team social cohesion on the relationship between team boundary spanning and NP competitive advantage. The current study makes several contributions to the literature. First, findings from this study give us new insights into the significance of team boundary spanning to the success of NPs by revealing that boundary-spanning activities are beneficial to achieving NP competitive advantage. Second, the study departs from existing research in that it exposes a dark side of team social cohesion for NPD teams engaged in boundary spanning activities. Last, the study expands extant research by proposing and demonstrating that project newness and external task interdependence bring about situations in which external groups present a threat to the collective identity of socially cohesive groups.</t>
  </si>
  <si>
    <t>[Carbonell, Pilar] York Univ, Sch Adm Studies, Mkt, N York, ON, Canada; [Rodriguez Escudero, Ana I.] Univ Valladolid, Mkt, Valladolid, Spain</t>
  </si>
  <si>
    <t>York University - Canada; Universidad de Valladolid</t>
  </si>
  <si>
    <t>Carbonell, P (corresponding author), Sch Adm Studies, Atkinson Bldg,Room 282,4700 Keele St, Toronto, ON M3J 1P3, Canada.</t>
  </si>
  <si>
    <t>pilarc@yorku.ca</t>
  </si>
  <si>
    <t>Rodríguez-Escudero, Ana Isabel/C-8586-2011; Carbonell, Pilar/P-6890-2019</t>
  </si>
  <si>
    <t>Rodríguez-Escudero, Ana Isabel/0000-0002-8827-5353; Carbonell, Pilar/0000-0002-9737-5778</t>
  </si>
  <si>
    <t>Junta de Castilla y Leon (Spain) [VA112P17]; Ministerio de Economia, Industria y Competitividad, Plan Estatal de Investigacion Cientifica y Tecnica y de Innovacion 2013-2016 [ECO2017-86628-P]</t>
  </si>
  <si>
    <t>Junta de Castilla y Leon (Spain)(Junta de Castilla y Leon); Ministerio de Economia, Industria y Competitividad, Plan Estatal de Investigacion Cientifica y Tecnica y de Innovacion 2013-2016</t>
  </si>
  <si>
    <t>The authors are grateful for the financial support of the Junta de Castilla y Leon (Spain), project reference VA112P17, and the Ministerio de Economia, Industria y Competitividad, Plan Estatal de Investigacion Cientifica y Tecnica y de Innovacion 2013-2016, project reference ECO2017-86628-P.</t>
  </si>
  <si>
    <t>10.1111/jpim.12473</t>
  </si>
  <si>
    <t>HK0RV</t>
  </si>
  <si>
    <t>WOS:000457609500002</t>
  </si>
  <si>
    <t>Steele, LM; Johnson, G; Medeiros, KE</t>
  </si>
  <si>
    <t>Steele, Logan M.; Johnson, Genevieve; Medeiros, Kelsey E.</t>
  </si>
  <si>
    <t>Looking beyond the generation of creative ideas: Confidence in evaluating ideas predicts creative outcomes</t>
  </si>
  <si>
    <t>Creativity; Creative self-efficacy; Idea generation; Idea evaluation</t>
  </si>
  <si>
    <t>SELF-EFFICACY; IMPLICIT THEORIES; DIVERGENT THINKING; CONTEXTUAL PREDICTORS; EMPLOYEE CREATIVITY; INNOVATIVE BEHAVIOR; 5-FACTOR MODEL; MEDIATING ROLE; PERSONALITY; PERFORMANCE</t>
  </si>
  <si>
    <t>Since its inception 15 years ago, creative self-efficacy has been identified as an important predictor of creativity, the generation of new and useful ideas. Over 50 studies examining this relationship suggest a strong, positive correlation. Nevertheless, like most research on creativity, the research on creative self-efficacy has over-emphasized its generative aspects and largely ignored the evaluative aspects, both of which are critical to the production of new and useful ideas. To address this, the present effort developed a measure of idea evaluation self-efficacy. Through two studies, evidence is obtained for the construct and incremental validity of this measure. Implications and future research directions are discussed.</t>
  </si>
  <si>
    <t>[Steele, Logan M.] Univ S Florida, Muma Coll Business, Tampa, FL 33620 USA; [Johnson, Genevieve] Amer Inst Res, Washington, DC USA; [Medeiros, Kelsey E.] Univ Texas Arlington, Arlington, TX 76019 USA</t>
  </si>
  <si>
    <t>State University System of Florida; University of South Florida; American Institutes for Research; University of Texas System; University of Texas Arlington</t>
  </si>
  <si>
    <t>Steele, LM (corresponding author), Univ S Florida, Muma Coll Business, Tampa, FL 33620 USA.</t>
  </si>
  <si>
    <t>lmsteele@usf.edu</t>
  </si>
  <si>
    <t>Steele, Logan/0000-0002-1377-3147</t>
  </si>
  <si>
    <t>APR 15</t>
  </si>
  <si>
    <t>10.1016/j.paid.2017.12.028</t>
  </si>
  <si>
    <t>FW8CW</t>
  </si>
  <si>
    <t>WOS:000425555900004</t>
  </si>
  <si>
    <t>Jung, CS; Lee, G</t>
  </si>
  <si>
    <t>Jung, Chan Su; Lee, Geon</t>
  </si>
  <si>
    <t>ORGANIZATIONAL CLIMATE, LEADERSHIP, ORGANIZATION SIZE, AND ASPIRATION FOR INNOVATION IN GOVERNMENT AGENCIES</t>
  </si>
  <si>
    <t>aspiration; government agencies; leadership; organizational climate; organization size</t>
  </si>
  <si>
    <t>PUBLIC MANAGEMENT; EMPIRICAL-ANALYSIS; PERFORMANCE; ADOPTION; CULTURE; DIFFUSION; DETERMINANTS; COMPLEXITY; BEHAVIOR</t>
  </si>
  <si>
    <t>Scholars of organizational innovation emphasize the importance of employees' perceptions and point to dissatisfaction with the status quo as a force facilitating innovation adoption and innovative behavior. This study applies the efficiency-focused perspective on innovative behavior to explore how perceptions of organizational climate and leadership explain employees' aspiration for innovation in public organizations. It notes that the association of the predictors varies according to organization size (number of full-time employees). Using samples of full-time employees in South Korean government agencies, regression analyses suggest that employees' perceptions of the hierarchical climate, as opposed to the innovative climate, relate positively to their aspirations for organizational innovation. One unexpected result is the positive association of the current facilitative leadership with the criterion variable. Organization size moderates the influence of the predictors, except for the current facilitative leadership. The academic and practical implications of these findings are presented in the discussion and conclusion section.</t>
  </si>
  <si>
    <t>[Jung, Chan Su] City Univ Hong Kong, Hong Kong, Hong Kong, Peoples R China; [Lee, Geon] Kyonggi Univ, Suwon, South Korea</t>
  </si>
  <si>
    <t>City University of Hong Kong; Kyonggi University</t>
  </si>
  <si>
    <t>Lee, G (corresponding author), 154-42 Gwanggyosan Ro, Suwon 443760, Gyeonggi Do, South Korea.</t>
  </si>
  <si>
    <t>givethanks@kgu.ac.kr</t>
  </si>
  <si>
    <t>Jung, Chan/HTG-3801-2023</t>
  </si>
  <si>
    <t>JUNG, Chan Su/0000-0002-6196-1660</t>
  </si>
  <si>
    <t>Early Career Scheme grant from the Research Grants Council of Hong Kong [9041997, CityU 158513]</t>
  </si>
  <si>
    <t>Early Career Scheme grant from the Research Grants Council of Hong Kong</t>
  </si>
  <si>
    <t>The authors would like to thank three anonymous journal reviewers for their valuable comments and suggestions. This research was supported by an Early Career Scheme grant (Project Number: 9041997; CityU 158513) from the Research Grants Council of Hong Kong.</t>
  </si>
  <si>
    <t>10.1080/15309576.2015.1137764</t>
  </si>
  <si>
    <t>DX5WE</t>
  </si>
  <si>
    <t>WOS:000384452600001</t>
  </si>
  <si>
    <t>Pons, FJ; Ramos, J; Ramos, A</t>
  </si>
  <si>
    <t>Pons, F. J.; Ramos, J.; Ramos, A.</t>
  </si>
  <si>
    <t>Antecedent variables of innovation behaviors in organizations: Differences between men and women</t>
  </si>
  <si>
    <t>EUROPEAN REVIEW OF APPLIED PSYCHOLOGY-REVUE EUROPEENNE DE PSYCHOLOGIE APPLIQUEE</t>
  </si>
  <si>
    <t>Organizational innovation; Proactivity; Gender differences</t>
  </si>
  <si>
    <t>CREATIVITY; PERSONALITY; INTELLIGENCE; OPENNESS; DEMANDS; GENDER; MODEL; SEX; AGE</t>
  </si>
  <si>
    <t>Introduction. - Relevance of innovation behaviors for organizational success led to study its main individual, job-related and organizational antecedents. Moreover, research on differences in innovation between men and women showed inconclusive results. Ambidexterity (Bledow, Frese, Anderson, Erez, &amp; Farr, 2009) and Zhou and Hoever (2014) call for combining contextual and personal characteristics in innovation research suggest that pathways and variables leading to innovation between men and women could be different. Objective(s). - This study aims to analyze if men and women differ in the main antecedents for innovative behaviors. Thus, a moderating effect of gender on the relationship between innovative behaviors and their main antecedent variables is hypothesized. Results are of interest for promoting innovation and empowering women at work context. Method. - In a sample of 458 employees from 16 Spanish companies, we carried out hierarchical regression analyses on innovation behaviors, including as main antecedents academic level, proactive personality, job demands, organizational commitment, HR practices addressed to participation, and transformational leadership. In addition, interaction terms between gender and such antecedents were entered in regression analysis. Results. - Proactive personality, HR participation practices, inspirational motivation, job demands and academic level significantly predicted innovative behaviors at their different phases. Moreover, gender moderated the relationship between generation of new ideas with academic level and organizational commitment, and between promotion of ideas with job demands and idealized influence. Organizational commitment promoted generation of ideas among women but not among men, whereas idealized influence is detrimental for women. Reversely, higher job demands stimulate promotion of ideas among men but were detrimental for innovation among women. Conclusion. - Our results suggest that innovation among women seems to be more sensitive to the influence of leadership and require more social support, whereas higher job demands are detrimental. These results suggest that innovation is more related to intrinsic variables (as self-confidence, empowerment and social processes) among women, whereas for men, it seems to be more related to work demands. Results could help companies to stimulate innovation, between both men and women. (C) 2016 Elsevier Masson SAS. All rights reserved.</t>
  </si>
  <si>
    <t>[Pons, F. J.; Ramos, J.] Univ Valencia, IDOCAL, Fac Psicol, 21 Av Blasco Ibanez, E-46010 Valencia, Spain; [Pons, F. J.; Ramos, J.] IVIE, 21 Av Blasco Ibanez, Valencia 46010, Spain; [Ramos, A.] Univ Miguel Hernandez, CIEG, Valencia, Spain</t>
  </si>
  <si>
    <t>University of Valencia; Universidad Miguel Hernandez de Elche</t>
  </si>
  <si>
    <t>Pons, FJ (corresponding author), Univ Valencia, IDOCAL, Fac Psicol, 21 Av Blasco Ibanez, E-46010 Valencia, Spain.;Pons, FJ (corresponding author), IVIE, 21 Av Blasco Ibanez, Valencia 46010, Spain.</t>
  </si>
  <si>
    <t>Fernando.Pons@uv.es</t>
  </si>
  <si>
    <t>Ramos, Jose/P-5084-2016; Ramos, Jose/AAJ-1090-2020; Ramos, Amparo/L-1105-2017</t>
  </si>
  <si>
    <t>Ramos, Jose/0000-0003-0821-214X; Ramos, Jose/0000-0003-0821-214X; Ramos, Amparo/0000-0001-7932-2384; Pons Verdu, Fernando Jose/0000-0002-1585-1831</t>
  </si>
  <si>
    <t>ELSEVIER FRANCE-EDITIONS SCIENTIFIQUES MEDICALES ELSEVIER</t>
  </si>
  <si>
    <t>ISSY-LES-MOULINEAUX</t>
  </si>
  <si>
    <t>65 RUE CAMILLE DESMOULINS, CS50083, 92442 ISSY-LES-MOULINEAUX, FRANCE</t>
  </si>
  <si>
    <t>1162-9088</t>
  </si>
  <si>
    <t>EUR REV APPL PSYCHOL</t>
  </si>
  <si>
    <t>Eur. Rev. Appl. Psychol.-Rev. Eur. Psychol. Appl.</t>
  </si>
  <si>
    <t>10.1016/j.erap.2016.04.004</t>
  </si>
  <si>
    <t>DP7EG</t>
  </si>
  <si>
    <t>WOS:000378661400004</t>
  </si>
  <si>
    <t>Kim, SJ; Park, M</t>
  </si>
  <si>
    <t>Kim, Sung-Jin; Park, Myonghwa</t>
  </si>
  <si>
    <t>Leadership, Knowledge Sharing, and Creativity The Key Factors in Nurses' Innovative Behaviors</t>
  </si>
  <si>
    <t>SELF-LEADERSHIP; PRODUCTIVITY; EFFICACY</t>
  </si>
  <si>
    <t>Objective: This study identified the factors that affect the innovative behaviors of nurses at general hospitals based on their individual and organizational characteristics. Background: The predictors of innovative nursing behaviors, such as self-leadership, individual knowledge sharing, creative self-efficacy, organizational knowledge sharing, and innovative organizational cultures, should be explored at individual and organizational level. Methods: This study administered a cross-sectional survey to 347 registered nurses working at 6 general hospitals (with &gt;300 beds) in central South Korea. Data were collected using a self-report questionnaire and analyzed using structural equation modeling. Results: Self-leadership, creative self-efficacy, and individual knowledge sharing directly affected individual innovative behaviors. Organizational knowledge sharing indirectly affected individual innovative behaviors, and this effect was mediated by an innovative organizational culture. Conclusions: This study contributes to the knowledge base regarding the effective management of individuals and organizations through innovative behavior; furthermore, it provides future directions for nursing interventions.</t>
  </si>
  <si>
    <t>[Kim, Sung-Jin] Masan Coll, Dept Nursing, Masan, South Korea; [Park, Myonghwa] Chungnam Natl Univ, Coll Nursing, Taejon 35015, South Korea</t>
  </si>
  <si>
    <t>Chungnam National University</t>
  </si>
  <si>
    <t>Park, M (corresponding author), Chungnam Natl Univ, Coll Nursing, 266 Munhwa Ro, Taejon 35015, South Korea.</t>
  </si>
  <si>
    <t>mhpark@cnu.ac.kr</t>
  </si>
  <si>
    <t>Park, Myonghwa/0000-0002-0329-0010</t>
  </si>
  <si>
    <t>Basic Science Research Program through the National Research Foundation of Korea (NRE) - Ministry of Education, Science and Technology [NRF 2010-0024922]</t>
  </si>
  <si>
    <t>Basic Science Research Program through the National Research Foundation of Korea (NRE) - Ministry of Education, Science and Technology</t>
  </si>
  <si>
    <t>This study was supported by Basic Science Research Program through the National Research Foundation of Korea (NRE) funded by the Ministry of Education, Science and Technology (NRF 2010-0024922).</t>
  </si>
  <si>
    <t>10.1097/NNA.0000000000000274</t>
  </si>
  <si>
    <t>CX4QV</t>
  </si>
  <si>
    <t>WOS:000365686300007</t>
  </si>
  <si>
    <t>He, Z; Rayman-Bacchus, L</t>
  </si>
  <si>
    <t>He, Zheng; Rayman-Bacchus, Lez</t>
  </si>
  <si>
    <t>Cluster network and innovation under transitional economies An empirical study of the Shaxi garment cluster</t>
  </si>
  <si>
    <t>China; Innovation; National economy; Agglomeration; Garment industry</t>
  </si>
  <si>
    <t>FOREIGN DIRECT-INVESTMENT; KNOWLEDGE; GEOGRAPHY; LOCATION; FIRMS; PERFORMANCE; STRATEGY; INDUSTRY; HETEROGENEITY; LOCALIZATION</t>
  </si>
  <si>
    <t>Purpose - Firms in the same industry often display a striking propensity to agglomerate. These geographic concentrations significantly affect innovative behavior of individual firms and therefore have important strategic implications. The purpose of this paper is to report on how networks within the cluster influence firms' commitment to innovation. Design/methodology/approach - Employing a longitudinal case study approach data were collected for 2004 and 2007 about the Shaxi garment cluster in Zhongshan, China. A novel method of measuring innovative behavior was developed and tested at the level of individual small and medium sized enterprises, where R&amp;D expenditure is not recorded, by measuring managerial perception of developments in three areas: product, process, and market development. Findings - The extent to which related firms, various associations, and government policies affected the individual firm's propensity to innovate was examined. The main findings of this paper show firm-level commitment to innovation is significantly stimulated by three groups of factors: competitor action and cooperation in the supply chain, membership of various government and industry associations and government stimulus policies in the cluster. The relative significance and nature of these influences do change over time. Originality/value - Disincentives to firm innovation were also found, such as knowledge spillover between competitors, leading to free rider problem, weak intellectual property right protection leading to imitation, and underground economy in the cluster resulting from weak implementation of regulation compounded by the difficulties of effectively policing regulation. These factors appear to be particularly strong in a developing economy.</t>
  </si>
  <si>
    <t>[He, Zheng] Univ Elect Sci &amp; Technol China, Sch Management &amp; Econ, Chengdu 610054, Peoples R China; [Rayman-Bacchus, Lez] London Metropolitan Univ, London, England</t>
  </si>
  <si>
    <t>University of Electronic Science &amp; Technology of China; London Metropolitan University</t>
  </si>
  <si>
    <t>He, Z (corresponding author), Univ Elect Sci &amp; Technol China, Sch Management &amp; Econ, Chengdu 610054, Peoples R China.</t>
  </si>
  <si>
    <t>hezh@uestc.edu.cn</t>
  </si>
  <si>
    <t>Rayman-Bacchus, Lez/S-9941-2019</t>
  </si>
  <si>
    <t>Rayman-Bacchus, Lez/0000-0002-7915-0866</t>
  </si>
  <si>
    <t>10.1108/17506141011094145</t>
  </si>
  <si>
    <t>730NW</t>
  </si>
  <si>
    <t>WOS:000288041700007</t>
  </si>
  <si>
    <t>Lehmann-Willenbrock, N; Kauffeld, S</t>
  </si>
  <si>
    <t>Lehmann-Willenbrock, Nale; Kauffeld, Simone</t>
  </si>
  <si>
    <t>Development and Construct Validation of the German Workplace Trust Survey (G-WTS)</t>
  </si>
  <si>
    <t>EUROPEAN JOURNAL OF PSYCHOLOGICAL ASSESSMENT</t>
  </si>
  <si>
    <t>organizational trust; coworker trust; supervisor trust; survey; validity</t>
  </si>
  <si>
    <t>SOCIAL-EXCHANGE; COMMITMENT; JUSTICE; ORGANIZATION; EXTENSION; MODEL; FOCI</t>
  </si>
  <si>
    <t>In research on trust in the organizational context, there is some agreement evolving that trust should be measured with respect to various foci. The Workplace Trust Survey (WTS) by Ferres (2002) provides reliable assessment of coworker, supervisor, and organizational trust. By means of a functionally equivalent translation, we developed a German version of the questionnaire (G-WTS) comprising 21 items. A total of 427 employees were surveyed with the G-WTS and questionnaires concerning several work-related attitudes and behaviors and 92 of these completed the survey twice. The hypothesized three-dimensional conceptualization of organizational trust was confirmed by confirmatory factor analysis. The G-WTS showed good internal consistency and retest reliability values. Concerning convergent validity, all of the three G-WTS dimensions positively predicted job satisfaction. In terms of discriminant validity, Coworker Trust enhanced group cohesion; Supervisor Trust fostered innovative behavior, while Organizational Trust was associated with affective commitment. Theoretical and practical contributions as well as opportunities for future research with the G-WTS are discussed.</t>
  </si>
  <si>
    <t>[Lehmann-Willenbrock, Nale; Kauffeld, Simone] Tech Univ Carolo Wilhelmina Braunschweig, Inst Psychol, Dept Work Org &amp; Social Psychol, D-38106 Braunschweig, Germany</t>
  </si>
  <si>
    <t>Braunschweig University of Technology</t>
  </si>
  <si>
    <t>Lehmann-Willenbrock, N (corresponding author), Tech Univ Carolo Wilhelmina Braunschweig, Inst Psychol, Dept Work Org &amp; Social Psychol, Spielmannstr 19, D-38106 Braunschweig, Germany.</t>
  </si>
  <si>
    <t>n.lehmann-willenbrock@tu-bs.de</t>
  </si>
  <si>
    <t>Lehmann-Willenbrock, Nale/H-2107-2013; Lehmann-Willenbrock, Nale/AAE-2207-2020</t>
  </si>
  <si>
    <t xml:space="preserve">Lehmann-Willenbrock, Nale/0000-0003-3346-5894; </t>
  </si>
  <si>
    <t>1015-5759</t>
  </si>
  <si>
    <t>2151-2426</t>
  </si>
  <si>
    <t>EUR J PSYCHOL ASSESS</t>
  </si>
  <si>
    <t>Eur. J. Psychol. Assess.</t>
  </si>
  <si>
    <t>10.1027/1015-5759/a000002</t>
  </si>
  <si>
    <t>549LB</t>
  </si>
  <si>
    <t>WOS:000274049400002</t>
  </si>
  <si>
    <t>Rooks, G; Oerlemans, L; Buys, A; Pretorius, T</t>
  </si>
  <si>
    <t>Industrial innovation in South Africa: a comparative study</t>
  </si>
  <si>
    <t>SOUTH AFRICAN JOURNAL OF SCIENCE</t>
  </si>
  <si>
    <t>INNOVATION IS WIDELY RECOGNIZED AS A driving force behind economic growth. Despite its importance, not much is known about the innovative behaviour of South African firms. In the study reported here, we compare South African companies with their counterparts in the European Union. A representative sample of 617 South African firms answered questions about their innovative behaviour in the period 1998-2000. We found that innovation outputs, the percentage of innovating businesses, were comparable in the two groups. However, the typical South African firm spends less on innovation than the average European company. We did not find a clear explanation for this distinction, and hence conclude that more research is needed to provide it.</t>
  </si>
  <si>
    <t>Eindhoven Univ Technol, Dept Technol &amp; Policy, Eindhoven Ctr Innovat Studies, NL-5600 MB Eindhoven, Netherlands; Tilburg Univ, Dept Organisat Studies, NL-5000 LE Tilburg, Netherlands; Univ Pretoria, Dept Engn &amp; Technol Management, ZA-0002 Pretoria, South Africa</t>
  </si>
  <si>
    <t>Eindhoven University of Technology; Tilburg University; University of Pretoria</t>
  </si>
  <si>
    <t>Rooks, G (corresponding author), Eindhoven Univ Technol, Dept Technol &amp; Policy, Eindhoven Ctr Innovat Studies, POB 513, NL-5600 MB Eindhoven, Netherlands.</t>
  </si>
  <si>
    <t>g.rooks@tm.tue.nl</t>
  </si>
  <si>
    <t>Oerlemans, Leon/K-1732-2019; Oerlemans, Leon/B-1651-2008</t>
  </si>
  <si>
    <t>Oerlemans, Leon/0000-0002-7495-4515; Pretorius, Marthinuus/0000-0002-8214-4838</t>
  </si>
  <si>
    <t>ACAD SCIENCE SOUTH AFRICA A S S AF</t>
  </si>
  <si>
    <t>LYNWOOD RIDGE</t>
  </si>
  <si>
    <t>PO BOX 72135, LYNWOOD RIDGE 0040, SOUTH AFRICA</t>
  </si>
  <si>
    <t>0038-2353</t>
  </si>
  <si>
    <t>1996-7489</t>
  </si>
  <si>
    <t>S AFR J SCI</t>
  </si>
  <si>
    <t>S. Afr. J. Sci.</t>
  </si>
  <si>
    <t>956XW</t>
  </si>
  <si>
    <t>WOS:000231334400014</t>
  </si>
  <si>
    <t>Msuya, SE; Mbizvo, E; Stray-Pedersen, B; Sundby, J; Sam, NE; Hussain, A</t>
  </si>
  <si>
    <t>Reproductive tract infections and the risk of HIV among women in Moshi, Tanzania</t>
  </si>
  <si>
    <t>ACTA OBSTETRICIA ET GYNECOLOGICA SCANDINAVICA</t>
  </si>
  <si>
    <t>HIV-1; RTIs; women; Tanzania</t>
  </si>
  <si>
    <t>HUMAN-IMMUNODEFICIENCY-VIRUS; SEXUALLY-TRANSMITTED-DISEASES; VAGINAL FLORA; TRANSMISSION; ASSOCIATION; MORTALITY; SYNERGY; TYPE-1; HARARE</t>
  </si>
  <si>
    <t>Objectives. The objectives of the study were to determine the prevalence of HIV and reproductive tract infections (RTIs); to compare the occurrence of RTIs among HIV-infected and non-infected women; and to assess the association of HIV with RTIs and behavioral factors among women aged 15-49 years. Methods. A cross-sectional study was conducted in late 1999 among 382 consenting women attending three primary healthcare clinics. They were interviewed and screened for HIV-1 and RTIs. Results. The prevalence of HIV-1 was 11.5%. Sixty-four percent of the women had one ongoing treatable RTI. Endogenous and sexually transmitted RTIs were higher in HIV-positive than negative women and 84% of the HIV seropositive women were co-infected with one treatable RTI. HIV was significantly associated with cervicitis (chlamydial or gonococcal) [OR = 3.2 (CI 1.1-13.2)], HSV-2 [OR = 2.6 (CI 1.3-5.1)], bacterial vaginosis [OR = 1.9 (CI 1.1-4.1)], genital warts [OR = 4.8 (CI 1.1-22.2)], and presence of vaginal discharge [OR = 2.7 (CI 1.3-5.2)]. Having more than one lifetime sexual partner, a history of infant mortality or a partner who had other wives or resided away from home &gt; 6 months, were risk factors for HIV infection. Conclusion. HIV-1 and RTIs are a major public health problem among women in this population. Integration of routine screening and treatment of RTIs in the reproductive health clinics will be an important strategy to combat HIV in the area. Further, innovative behavior interventions targeting both men and women, preferably as couples are needed.</t>
  </si>
  <si>
    <t>Univ Oslo, Dept Int Hlth, Inst Gen Practice &amp; Community Med, Oslo, Norway; Kilimanjaro Christian Med Ctr, Moshi, Tanzania; Univ Oslo, Natl Hosp, Dept Obstet &amp; Gynecol, Oslo, Norway; Univ Oslo, Natl Hosp, Epidemiol Ctr, Oslo, Norway</t>
  </si>
  <si>
    <t>University of Oslo; Kilimanjaro Christian Medical Centre; University of Oslo; National Hospital Norway; University of Oslo; National Hospital Norway</t>
  </si>
  <si>
    <t>Msuya, SE (corresponding author), POB 8418, Moshi, Tanzania.</t>
  </si>
  <si>
    <t>siamsuya@hotmail.com</t>
  </si>
  <si>
    <t>Mbizvo, Elizabeth/0000-0002-1384-2317</t>
  </si>
  <si>
    <t>0001-6349</t>
  </si>
  <si>
    <t>1600-0412</t>
  </si>
  <si>
    <t>ACTA OBSTET GYN SCAN</t>
  </si>
  <si>
    <t>Acta Obstet. Gynecol. Scand.</t>
  </si>
  <si>
    <t>10.1034/j.1600-0412.2002.810916.x</t>
  </si>
  <si>
    <t>Obstetrics &amp; Gynecology</t>
  </si>
  <si>
    <t>592ZA</t>
  </si>
  <si>
    <t>WOS:000177965700016</t>
  </si>
  <si>
    <t>Li, FY; Liu, B; Lin, WP; Wei, X; Xu, ZK</t>
  </si>
  <si>
    <t>Li, Fengyu; Liu, Bing; Lin, Weipeng; Wei, Xin; Xu, Zikun</t>
  </si>
  <si>
    <t>How and when servant leadership promotes service innovation: A moderated mediation model</t>
  </si>
  <si>
    <t>Service innovative behavior; Servant leadership; Customer orientation; Employee age</t>
  </si>
  <si>
    <t>ORGANIZATIONAL CITIZENSHIP BEHAVIOR; CUSTOMER ORIENTATION; ETHICAL LEADERSHIP; WORK ENGAGEMENT; JOB; AGE; PERFORMANCE; EMPLOYEES; ANTECEDENTS; CREATIVITY</t>
  </si>
  <si>
    <t>Based on social learning theory, the current study examined how and when servant leadership could promote employee service innovative behavior (SIB) in the hospitality setting. Survey data collected from 1021 service employees and their 229 direct supervisors at 54 hotels showed that servant leadership was positively related to employee SIB, and employee customer orientation mediated such effect. Results also showed that employee age moderated the effect of servant leadership on customer orientation, as well as the indirect effect of servant leadership on SIB via customer orientation, such that these effects were stronger for younger employees. Theoretical and practical implications are discussed.</t>
  </si>
  <si>
    <t>[Li, Fengyu; Liu, Bing; Lin, Weipeng; Wei, Xin; Xu, Zikun] Shandong Univ, Sch Management, 27 Shanda Nanlu, Jinan 250100, Peoples R China</t>
  </si>
  <si>
    <t>Shandong University</t>
  </si>
  <si>
    <t>Liu, B; Lin, WP (corresponding author), Shandong Univ, Sch Management, 27 Shanda Nanlu, Jinan 250100, Peoples R China.</t>
  </si>
  <si>
    <t>fengyushine@163.com; liubing@sdu.edu.cn; linweipeng@sdu.edu.cn; 17865196213@163.com; xuzikun777@163.com</t>
  </si>
  <si>
    <t>Lin, Weipeng/0000-0001-5362-6638</t>
  </si>
  <si>
    <t>Project of Humanities and Social Sciences of the Ministry of Education of China [19YJA630045, 20YJC630077]; National Natural Science Foundation of China [72074135]</t>
  </si>
  <si>
    <t>Project of Humanities and Social Sciences of the Ministry of Education of China(Ministry of Education, China); National Natural Science Foundation of China(National Natural Science Foundation of China (NSFC))</t>
  </si>
  <si>
    <t>This study was partly supported by Project of Humanities and Social Sciences of the Ministry of Education of China (Grant No. 19YJA630045 and No. 20YJC630077) and the National Natural Science Foundation of China (Grant No. 72074135).</t>
  </si>
  <si>
    <t>10.1016/j.tourman.2021.104358</t>
  </si>
  <si>
    <t>ST1RB</t>
  </si>
  <si>
    <t>WOS:000662226800006</t>
  </si>
  <si>
    <t>Chen, JW; Lu, L; Cooper, CL</t>
  </si>
  <si>
    <t>Chen, Jia Wun; Lu, Luo; Cooper, Cary L.</t>
  </si>
  <si>
    <t>The Compensatory Protective Effects of Social Support at Work in Presenteeism During the Coronavirus Disease Pandemic</t>
  </si>
  <si>
    <t>sickness presenteeism; supervisory support; collegial support; innovative behavior; well-being; conservation of resource; cultural values</t>
  </si>
  <si>
    <t>EMOTIONAL INTELLIGENCE; SICKNESS PRESENTEEISM; INNOVATIVE BEHAVIOR; COWORKER SUPPORT; FAMILY CONFLICT; MODERATING ROLE; RESOURCES; WORKPLACE; CONSERVATION; SELF</t>
  </si>
  <si>
    <t>The present study investigated the lasting effects of sickness presenteeism on well-being and innovative job performance in the demanding Chinese work context compounded with the precarities of the post-pandemic business environment. Adopting the conservation of resources (COR) theory perspective, especially its proposition of compensation of resources, we incorporated social resources at work (supervisory support and collegial support) as joint moderators in the presenteeism-outcomes relationship. We employed a panel design in which all variables were measured twice with 6 months in between. Data were obtained from 323 Chinese employees working in diverse industries in Taiwan. We found that after controlling for the baseline level of well-being, presenteeism did not have a lasting effect on employees' exhaustion. However, presenteeism did have a negative lasting effect on employees' innovative behavior 6 months later. Moreover, we found a significant three-way interaction of presenteeism, supervisory support, and collegial support on employees' innovative job performance, after controlling for the baseline level of performance. Specifically, when working under illness, employees displayed the best innovative performance with high levels of both supervisory and collegial support, the worst performance with both support being low, and the intermediate when any one of the support being high. This can be taken as the preliminary evidence to support the COR proposition of resource caravans, showing that supervisory support and collegial support compensated for each other as critical resources in alleviating the impact of working under sickness on employees' innovative performance. Theoretical implications of the findings are discussed, taking into account the macro-cultural context of the East Asian Confucian societies. We also reflected on the managerial implications of the lasting damages of sickness presenteeism and benefits of mobilizing social resources on employees' well-being and performance.</t>
  </si>
  <si>
    <t>[Chen, Jia Wun] Chihlee Univ Technol, Dept Int Trade, New Taipei, Taiwan; [Lu, Luo] Natl Taiwan Univ, Dept Business Adm, Taipei, Taiwan; [Cooper, Cary L.] Univ Manchester, Alliance Manchester Business Sch, Manchester, Lancs, England</t>
  </si>
  <si>
    <t>National Taiwan University; RLUK- Research Libraries UK; N8 Research Partnership; University of Manchester; Alliance Manchester Business School</t>
  </si>
  <si>
    <t>Lu, L (corresponding author), Natl Taiwan Univ, Dept Business Adm, Taipei, Taiwan.;Cooper, CL (corresponding author), Univ Manchester, Alliance Manchester Business Sch, Manchester, Lancs, England.</t>
  </si>
  <si>
    <t>luolu@ntu.edu.tw; cary.cooper@manchester.ac.uk</t>
  </si>
  <si>
    <t>Cooper, Cary/0000-0002-0360-8498</t>
  </si>
  <si>
    <t>Ministry of Science and Technology, Taiwan [MOSTMOST108-2410-H-002-126-SS3]</t>
  </si>
  <si>
    <t>Ministry of Science and Technology, Taiwan(Ministry of Science and Technology, Taiwan)</t>
  </si>
  <si>
    <t>This research was funded by a grant from the Ministry of Science and Technology, Taiwan, MOSTMOST108-2410-H-002-126-SS3.</t>
  </si>
  <si>
    <t>MAR 23</t>
  </si>
  <si>
    <t>10.3389/fpsyg.2021.643437</t>
  </si>
  <si>
    <t>RI6CF</t>
  </si>
  <si>
    <t>WOS:000636993100001</t>
  </si>
  <si>
    <t>Vandavasi, RKK; McConville, DC; Uen, JF; Yepuru, P</t>
  </si>
  <si>
    <t>Vandavasi, Rama Krishna Kishore; McConville, David C.; Uen, Jin-Feng; Yepuru, Prasanthi</t>
  </si>
  <si>
    <t>Knowledge sharing, shared leadership and innovative behaviour: a cross-level analysis</t>
  </si>
  <si>
    <t>Knowledge sharing; Shared leadership; Innovative behaviour</t>
  </si>
  <si>
    <t>MANAGEMENT TEAMS; WORK; PERCEPTIONS; PERFORMANCE; CONSTRUCTS; DIVERSITY; FAIRNESS</t>
  </si>
  <si>
    <t>Purpose The purpose of this study is to investigate the effect of knowledge sharing among team members on the development of shared leadership and innovative behaviour. Design/methodology/approach Data were collected from 64 management teams and 427 individuals working in 26 different hotels in the hospitality industry in Taiwan. Findings The results show that knowledge sharing has both direct and indirect effects on the development of shared leadership and individual innovative behaviour. Originality/value This study advances knowledge of shared leadership as a mediator using a multilevel approach to test antecedents of innovative behaviour in the Taiwan hotel industry.</t>
  </si>
  <si>
    <t>[Vandavasi, Rama Krishna Kishore; McConville, David C.] Natl Sun Yat Sen Univ, Inst Human Resource Management, Kaohsiung, Taiwan; [Uen, Jin-Feng] Natl Chiao Tung Univ, Taipei Campus, Taipei, Taiwan; [Yepuru, Prasanthi] Natl Sun Yat Sen Univ, Inst Informat Management, Kaohsiung, Taiwan</t>
  </si>
  <si>
    <t>National Sun Yat Sen University; National Yang Ming Chiao Tung University; National Sun Yat Sen University</t>
  </si>
  <si>
    <t>Vandavasi, RKK (corresponding author), Natl Sun Yat Sen Univ, Inst Human Resource Management, Kaohsiung, Taiwan.</t>
  </si>
  <si>
    <t>vramakrishnakishore@gmail.com</t>
  </si>
  <si>
    <t>Vandavasi, Rama krishna kishore/AAP-7955-2020; Y, Prasanthi/AAN-4675-2021</t>
  </si>
  <si>
    <t>Vandavasi, Rama krishna kishore/0000-0001-7138-1291; Yepuru, Prasanthi/0000-0002-6368-7693; McConville, David Craig/0000-0001-9831-9076</t>
  </si>
  <si>
    <t>DEC 1</t>
  </si>
  <si>
    <t>10.1108/IJM-04-2019-0180</t>
  </si>
  <si>
    <t>PA7JT</t>
  </si>
  <si>
    <t>WOS:000526458000001</t>
  </si>
  <si>
    <t>Laguna, M; Walachowska, K; Gorgievski-Duijvesteijn, MJ; Moriano, JA</t>
  </si>
  <si>
    <t>Laguna, Mariola; Walachowska, Karolina; Gorgievski-Duijvesteijn, Marjan J.; Moriano, Juan A.</t>
  </si>
  <si>
    <t>Authentic Leadership and Employees' Innovative Behaviour: A Multilevel Investigation in Three Countries</t>
  </si>
  <si>
    <t>leadership; authentic leadership; innovation; innovative behaviour; personal initiative; work engagement; business owners; entrepreneurship; multilevel analysis</t>
  </si>
  <si>
    <t>WORK ENGAGEMENT; JOB RESOURCES; MEASUREMENT INVARIANCE; SMALL BUSINESS; MEDIATING ROLE; CREATIVITY; PERFORMANCE; IMPACT; DEMANDS; MODEL</t>
  </si>
  <si>
    <t>The innovativeness of individual employees is a vital source of competitive advantage of firms, contributing to societal development. Therefore, the aim of this multilevel study was to examine how entrepreneurial firm owners' authentic leadership relates to their employees' innovative behaviour. Our conceptual model postulates that the relationship between business owners' authentic leadership (as perceived by their employees) and their employees' innovative behaviour is mediated by employees' personal initiative and their work engagement. Hypotheses derived from this model were tested on data collected from 711 employees working in 85 small firms from three European countries: the Netherlands, Poland, and Spain. The results of the multilevel modelling confirmed our model, showing that when business owners are perceived as more authentic leaders, their employees show higher personal initiative and are more engaged at work and, in turn, identify more innovative solutions to be implemented in the organization. A cross-national difference was observed: employees from Spain (in comparison to Dutch and Polish employees) reported engaging less frequently in innovative behaviour. These research findings suggest that the innovative behaviour of employees can be boosted through leadership training, improving the quality of relationships between leaders and subordinates, and strengthening employees' personal initiative and work engagement.</t>
  </si>
  <si>
    <t>[Laguna, Mariola; Walachowska, Karolina] John Paul II Catholic Univ Lublin, Inst Psychol, PL-20950 Lublin, Poland; [Gorgievski-Duijvesteijn, Marjan J.] Erasmus Univ, Dept Work &amp; Org Psychol, NL-3000 DR Rotterdam, Netherlands; [Moriano, Juan A.] Natl Distance Educ Univ UNED, Dept Social &amp; Org Psychol, Madrid 28040, Spain</t>
  </si>
  <si>
    <t>Catholic University of Lublin; Erasmus University Rotterdam; Erasmus University Rotterdam - Excl Erasmus MC; Universidad Nacional de Educacion a Distancia (UNED)</t>
  </si>
  <si>
    <t>Laguna, M (corresponding author), John Paul II Catholic Univ Lublin, Inst Psychol, PL-20950 Lublin, Poland.</t>
  </si>
  <si>
    <t>laguna@kul.pl; walachowska.karolina@gmail.com; gorgievski@essb.eur.nl; jamoriano@psi.uned.es</t>
  </si>
  <si>
    <t>Moriano, Juan A./L-7607-2014; Laguna, Mariola/T-8177-2018</t>
  </si>
  <si>
    <t>Moriano, Juan A./0000-0002-8332-1314; Laguna, Mariola/0000-0001-6865-8587; Gorgievski - Duijvesteijn, Maria Johanna/0000-0001-8939-0321</t>
  </si>
  <si>
    <t>NARODOWE CENTRUM NAUKI/NATIONAL SCIENCE CENTRE, POLAND [DEC-2013/10/M/HS6/00475]</t>
  </si>
  <si>
    <t>NARODOWE CENTRUM NAUKI/NATIONAL SCIENCE CENTRE, POLAND</t>
  </si>
  <si>
    <t>This research was funded by NARODOWE CENTRUM NAUKI/NATIONAL SCIENCE CENTRE, POLAND, grant number DEC-2013/10/M/HS6/00475.</t>
  </si>
  <si>
    <t>1661-7827</t>
  </si>
  <si>
    <t>10.3390/ijerph16214201</t>
  </si>
  <si>
    <t>JQ3IF</t>
  </si>
  <si>
    <t>WOS:000498842000147</t>
  </si>
  <si>
    <t>Jiang, WB; Chai, HQ; Li, YL; Feng, TW</t>
  </si>
  <si>
    <t>Jiang, Wenbo; Chai, Huaqi; Li, Yali; Feng, Taiwen</t>
  </si>
  <si>
    <t>How workplace incivility influences job performance: the role of image outcome expectations</t>
  </si>
  <si>
    <t>health-care; image outcome expectations; job performance; workplace incivility</t>
  </si>
  <si>
    <t>IMPRESSION MANAGEMENT; ABUSIVE SUPERVISION; MODERATING ROLE; ORGANIZATIONAL POLITICS; EMOTIONAL EXHAUSTION; COWORKER INCIVILITY; INNOVATIVE BEHAVIOR; TASK-PERFORMANCE; MEDIATING ROLE; WORK</t>
  </si>
  <si>
    <t>This study aimed to investigate whether workplace incivility has negative influences on two types of job performance (i.e. in-role job performance and innovative job performance), as well as the moderating role of image outcome expectations in the context of healthcare organizations. We tested the research hypotheses using data collected from 727 employees in three Chinese hospitals. The results reveal that workplace incivility has negative influences on both in-role job performance and innovative job performance. In addition, the negative influence of workplace incivility on in-role job performance is alleviated by expected image risks, while the negative influence of workplace incivility on innovative job performance is buffered by both expected image gains and risks. Managers are expected to establish informal norms of desired behaviors at work and encourage employees to adopt a future-oriented perspective. This study provides novel insights for workplace incivility literature and practice.</t>
  </si>
  <si>
    <t>[Jiang, Wenbo] Northwestern Polytech Univ, Sch Management, Xian, Shaanxi, Peoples R China; [Chai, Huaqi] Northwestern Polytech Univ, Sch Management, Mkt, Xian, Shaanxi, Peoples R China; [Li, Yali] Weihai Municipal Hosp, Dept Rehabil, Weihai, Peoples R China; [Feng, Taiwen] Harbin Inst Technol Weihai, 2 West Rd, Weihai, Shandong, Peoples R China</t>
  </si>
  <si>
    <t>Northwestern Polytechnical University; Northwestern Polytechnical University; Harbin Institute of Technology</t>
  </si>
  <si>
    <t>Feng, TW (corresponding author), Harbin Inst Technol Weihai, 2 West Rd, Weihai, Shandong, Peoples R China.</t>
  </si>
  <si>
    <t>typhoonfeng@gmail.com</t>
  </si>
  <si>
    <t>10.1111/1744-7941.12197</t>
  </si>
  <si>
    <t>JF3ED</t>
  </si>
  <si>
    <t>WOS:000491267900003</t>
  </si>
  <si>
    <t>Duradoni, M; Di Fabio, A</t>
  </si>
  <si>
    <t>Duradoni, Mirko; Di Fabio, Annamaria</t>
  </si>
  <si>
    <t>Intrapreneurial Self-Capital and Sustainable Innovative Behavior within Organizations</t>
  </si>
  <si>
    <t>innovative behavior; innovative implementation behavior; intrapreneurial self-capital; sustainability; sustainable development; innovation</t>
  </si>
  <si>
    <t>PREVENTION; LEADERSHIP</t>
  </si>
  <si>
    <t>Innovative behavior is necessary to combat the 21st century's sustainability challenges, as well as to ensure organizations' longevity and success. Personality traits, such as extraversion, are strongly related to innovative behavior; nevertheless, such traits are not increasable through specific training. Intrapreneurial self-capital is a promising preventive resource to enhance people's capability to cope with innovations. On this basis, this study analyzed, in an explorative way, the relationship between extraversion, intrapreneurial self-capital, and innovative behavior, using a sample of 120 Italian workers. A mediation model was used to assess the effects of extraversion on innovative behavior and innovative implementation behavior (outcome variables) through intrapreneurial self-capital (conceived as an intervening mediator variable). The mediation analysis highlighted that intrapreneurial self-capital is correlated with both workers' innovative behavior and innovative implementation behavior. Therefore, implementing dedicated training on intrapreneurial self-capital could help organizations better address sustainability issues and achieve the Sustainable Development Goals introduced by the United Nations.</t>
  </si>
  <si>
    <t>[Duradoni, Mirko] Univ Florence, Dept Informat Engn, I-50139 Florence, Italy; [Di Fabio, Annamaria] Univ Florence, Dept Educ &amp; Psychol, Psychol Sect, I-50135 Florence, Italy</t>
  </si>
  <si>
    <t>University of Florence; University of Florence</t>
  </si>
  <si>
    <t>Di Fabio, A (corresponding author), Univ Florence, Dept Educ &amp; Psychol, Psychol Sect, I-50135 Florence, Italy.</t>
  </si>
  <si>
    <t>mirko.duradoni@unifi.it; adifabio@psico.unifi.it</t>
  </si>
  <si>
    <t>Duradoni, Mirko/AAF-2854-2019</t>
  </si>
  <si>
    <t>Duradoni, Mirko/0000-0001-8272-9484</t>
  </si>
  <si>
    <t>10.3390/su11020322</t>
  </si>
  <si>
    <t>HJ4FR</t>
  </si>
  <si>
    <t>gold, Green Published, Green Submitted</t>
  </si>
  <si>
    <t>WOS:000457129900026</t>
  </si>
  <si>
    <t>Litchfield, RC; Karakitapoglu-Aygun, Z; Gumusluoglu, L; Carter, M; Hirst, G</t>
  </si>
  <si>
    <t>Litchfield, Robert C.; Karakitapoglu-Aygun, Zahide; Gumusluoglu, Lale; Carter, Matthew; Hirst, Giles</t>
  </si>
  <si>
    <t>When Team Identity Helps Innovation and When It Hurts: Team Identity and Its Relationship to Team and Cross-Team Innovative Behavior</t>
  </si>
  <si>
    <t>SOCIAL IDENTITY; INDIVIDUALISM-COLLECTIVISM; MULTIPLE-REGRESSION; INTERGROUP CONTACT; GOAL ORIENTATION; WORK; PERSPECTIVE; CREATIVITY; BOUNDARY; PERFORMANCE</t>
  </si>
  <si>
    <t>Although the success of team-based organizations requires innovative behavior within and across teams, little research has considered how to foster both types of activity. This is problematic as strong team attachments such as team identification may have mixed effects on team innovative behavior, and may even negatively impact cross-team innovative behavior. The present research explains these mixed effects through intra- and intergroup aspects of social identity theory and the concept of team reflexivity. Effects of team identification on team innovative behavior were expected to be contingent upon team reflexivity, such that team identification would be positively related to team innovative behavior only when team reflexivity was high. Where a team's innovative behavior involves working across team boundaries with other teams, i.e., cross-team innovative behavior, this interaction between team identification and reflexivity was further expected to be qualified by perceived interdependence with another team. In a sample of 61 Turkish research and development (R&amp;D) teams comprising 305 employees and 61 team leaders, the association between team identity and team innovative behavior was moderated by team reflexivity as predicted. Further, team identity was positively associated with cross-team innovative behavior only when reflexivity and perceived interdependence between teams were both high, and negatively associated when reflexivity was low and perceived interdependence between teams was high.</t>
  </si>
  <si>
    <t>[Litchfield, Robert C.] Washington &amp; Jefferson Coll, Dept Econ &amp; Business, 60 S Lincoln St, Washington, PA 15301 USA; [Karakitapoglu-Aygun, Zahide; Gumusluoglu, Lale] Bilkent Univ, Fac Business Adm, Ankara, Turkey; [Carter, Matthew] Aston Univ, Work &amp; Org Psychol Dept, Aston Business Sch, Birmingham, W Midlands, England; [Hirst, Giles] Australian Natl Univ, Leadership, Canberra, ACT, Australia</t>
  </si>
  <si>
    <t>Ihsan Dogramaci Bilkent University; Aston University; Australian National University</t>
  </si>
  <si>
    <t>Litchfield, RC (corresponding author), Washington &amp; Jefferson Coll, Dept Econ &amp; Business, 60 S Lincoln St, Washington, PA 15301 USA.</t>
  </si>
  <si>
    <t>rlitchfield@washjeff.edu</t>
  </si>
  <si>
    <t>hirst, giles/X-6202-2019; Karakitapoglu Aygun, Zahide Karakitapoglu/AAX-1455-2021; Hirst, Giles/HNJ-0711-2023</t>
  </si>
  <si>
    <t>hirst, giles/0000-0001-6296-7821; Litchfield, Robert/0000-0002-3410-8189; Carter, Matthew/0000-0002-0034-153X</t>
  </si>
  <si>
    <t>10.1111/jpim.12410</t>
  </si>
  <si>
    <t>GD7DY</t>
  </si>
  <si>
    <t>Green Submitted, Green Accepted</t>
  </si>
  <si>
    <t>WOS:000430671400005</t>
  </si>
  <si>
    <t>Engelen, A; Weinekotter, L; Saeed, S; Enke, S</t>
  </si>
  <si>
    <t>Engelen, Andreas; Weinekoetter, Lea; Saeed, Saadat; Enke, Susanne</t>
  </si>
  <si>
    <t>The Effect of Corporate Support Programs on Employees' Innovative Behavior: A Cross-Cultural Study</t>
  </si>
  <si>
    <t>PERCEIVED ORGANIZATIONAL SUPPORT; LONG-TERM ORIENTATION; NATIONAL CULTURE; MARKET ORIENTATION; INDIVIDUAL INNOVATION; EXPECTANCY-THEORY; POWER DISTANCE; VALUES; ENTREPRENEURSHIP; MANAGEMENT</t>
  </si>
  <si>
    <t>This article establishes a theoretical model that sheds light on whether corporate support programs can foster employees' innovative behavior across nations and which national cultural dimensions moderate this relationship. To validate the arguments empirically, this research consists of two sequential, independent studies. The first study uses secondary data from the 2011 Global Entrepreneurship Monitor special report. Analysis of responses from 11,560 full-time employees in 13 countries shows that the relationship between support and innovative behavior is more positive when the nation's levels of power distance and masculinity are low and individualism is strong. A second experimental study is conducted in Germany and China using employees' individual behavior as the dependent variable and corporate support programs differentiated into three types of corporate support (providing time, providing budget, and providing advice) as the independent variable. Findings indicate that all three types of corporate support programs positively impact employees' innovative behavior in the sample from Germany, at least indirectly via feasibility and desirability judgments as mediators, but no significant relationships in the sample from China. This study contributes to the research stream on employees' innovative behavior and corporate support programs by adding national cultural properties as environmental factors. In addition, this study investigates the mediating effect of feasibility and desirability judgments between three types of corporate support programs and innovative behavior. This study also contributes to innovation research in general and to research on employees' innovative behavior in particular by building and validating a multilevel model empirically.</t>
  </si>
  <si>
    <t>[Engelen, Andreas] Tech Univ Dortmund, Strateg &amp; Int Management, Dortmund, Germany; [Weinekoetter, Lea] Tech Univ Dortmund, Dept Strateg &amp; Int Management, Dortmund, Germany; [Saeed, Saadat] Univ Durham, Durham Univ Business Sch, Entrepreneurship, Durham, England; [Enke, Susanne] Magdeburg Univ, Int Management, Magdeburg, Germany</t>
  </si>
  <si>
    <t>Dortmund University of Technology; Dortmund University of Technology; N8 Research Partnership; RLUK- Research Libraries UK; Durham University</t>
  </si>
  <si>
    <t>Engelen, A (corresponding author), Tech Univ Dortmund, Fac Business Econ &amp; Social Sci, Dept Strateg &amp; Int Management, Dortmund, Germany.</t>
  </si>
  <si>
    <t>Andreas.Engelen@tu-dortmund.de</t>
  </si>
  <si>
    <t>Saeed, Saadat/HPD-6240-2023</t>
  </si>
  <si>
    <t>Saeed, Saadat/0000-0002-6584-5923</t>
  </si>
  <si>
    <t>10.1111/jpim.12386</t>
  </si>
  <si>
    <t>FU4KF</t>
  </si>
  <si>
    <t>WOS:000423821300006</t>
  </si>
  <si>
    <t>Lee, S; Kim, SH</t>
  </si>
  <si>
    <t>Lee, Seonjeong (Ally); Kim, Soon-Ho</t>
  </si>
  <si>
    <t>Role of restaurant employees' intrinsic motivations on knowledge management An application of need theory</t>
  </si>
  <si>
    <t>Organizational behaviour; Knowledge sharing; Innovative behaviour; Food industry; Restaurant industry; Intrinsic motivation; Need theory; Knowledge application</t>
  </si>
  <si>
    <t>LEADER-MEMBER EXCHANGE; INFORMATION-TECHNOLOGY; INNOVATIVE BEHAVIOR; EXPLICIT KNOWLEDGE; ORGANIZATIONAL-CLIMATE; SHARING INTENTIONS; GOAL ORIENTATIONS; FIRM PERFORMANCE; CREATIVITY; CAPABILITIES</t>
  </si>
  <si>
    <t>Purpose - This study aims to investigate the role of restaurant employees' intrinsic motivations that influenced their knowledge-sharing behaviors and knowledge application behaviors, based on need theory and prior knowledge management research. Design/methodology/approach - A cross-sectional, self-administered survey was used to collect data from employees who work in the food and beverage sections of hotels, coffee shops or restaurants. Findings - Results from this study supported the role of employees' intrinsic motivations to share knowledge with other employees and apply their knowledge to actions. Moreover, results identified employees' knowledge application behaviors that influenced their innovative behaviors. Originality/value - This paper investigated the role of restaurant employees' intrinsic motivations on their knowledge management and innovative behaviors.</t>
  </si>
  <si>
    <t>[Lee, Seonjeong (Ally)] Kent State Univ, Kent, OH 44242 USA; [Kim, Soon-Ho] Georgia State Univ, Sch Hospitality, Atlanta, GA 30303 USA</t>
  </si>
  <si>
    <t>University System of Ohio; Kent State University; Kent State University Kent; Kent State University Salem; University System of Georgia; Georgia State University</t>
  </si>
  <si>
    <t>Lee, S (corresponding author), Kent State Univ, Kent, OH 44242 USA.</t>
  </si>
  <si>
    <t>slee89@kent.edu</t>
  </si>
  <si>
    <t>10.1108/IJCHM-01-2016-0043</t>
  </si>
  <si>
    <t>FV3TN</t>
  </si>
  <si>
    <t>WOS:000424492200002</t>
  </si>
  <si>
    <t>Guetto, R; Mancosu, M; Scherer, S; Torricelli, G</t>
  </si>
  <si>
    <t>Guetto, Raffaele; Mancosu, Moreno; Scherer, Stefani; Torricelli, Giulia</t>
  </si>
  <si>
    <t>The Spreading of Cohabitation as a Diffusion Process: Evidence from Italy</t>
  </si>
  <si>
    <t>European Journal of Population</t>
  </si>
  <si>
    <t>Cohabitation; Diffusion process; Peer effects; Event History Analysis; Italy; Second Demographic Transition</t>
  </si>
  <si>
    <t>2ND DEMOGRAPHIC-TRANSITION; PARENTAL DIVORCE; WESTERN-EUROPE; FAMILY TIES; FERTILITY; BEHAVIOR; CHILDREN; CHILDBEARING; NORMS</t>
  </si>
  <si>
    <t>Drawing on seminal work by Nazio and Blossfeld (Eur J Popul 19(1):47-82, 2003) and Di Giulio and Rosina (Demogr Res 16(14):441-468, 2007), this paper tests whether the recent spread of cohabitation in Italy has followed the typical pattern of diffusion of innovation processes. In doing so, we contribute to the debate on the determinants of the emergence of new family behaviour. Following previous literature, innovative behaviour should spread initially through direct social modelling, i.e. interpersonal communication among highly selected individuals (peer effects). At later stages, the diffusion should spread through knowledge awareness of the innovation, i.e. communication with previous generations (pre-cohort effects), so that also less selected individuals are prone to adopt the new behaviour. In the specific Italian context-a Catholic, familistic setting, with high normative pressure and importance of parental approval-we surmise the influence of previous generations to be dominant. We use data from the Family and Social Subjects survey carried out by Istat (2009) and apply Event History Analysis in the form of competing-risks exponential models to study Italian women's transition to cohabitation as first partnership. Results suggest that the most important driver of the spreading of cohabitation in Italy is represented by the degree of its diffusion among older cohorts. However, we find a positive and significant interaction between women's education and peer effects at the onset of the phenomenon, in line with the Second Demographic Transition (SDT) hypothesis. Cohabitation is also more likely if parents experienced separation/divorce and, more generally, if the environment of the family of origin can be described as SDT-friendly.</t>
  </si>
  <si>
    <t>[Guetto, Raffaele; Mancosu, Moreno; Scherer, Stefani] Univ Trento, Dept Sociol &amp; Social Res, Via Verdi 26, I-38122 Trento, Italy; [Mancosu, Moreno] Coll Carlo Alberto, Via Real Collegio 30, I-10024 Turin, Italy; [Torricelli, Giulia] Doxa, Duepuntozero Res, Via Bartolomeo Panizza 7, I-20144 Milan, Italy</t>
  </si>
  <si>
    <t>University of Trento; Collegio Carlo Alberto</t>
  </si>
  <si>
    <t>Guetto, R (corresponding author), Univ Trento, Dept Sociol &amp; Social Res, Via Verdi 26, I-38122 Trento, Italy.</t>
  </si>
  <si>
    <t>raffaele.guetto@unitn.it; Moreno.Mancosu@carloalberto.org; Stefani.Scherer@unitn.it; g.torricelli@duepuntozeroresearch.it</t>
  </si>
  <si>
    <t>Guetto, Raffaele/AAB-3072-2020; Mancosu, Moreno/ABF-1348-2020</t>
  </si>
  <si>
    <t xml:space="preserve">Guetto, Raffaele/0000-0001-8052-9809; </t>
  </si>
  <si>
    <t>European Research Council (ERC) under the 7th FP, ERC-StG, grant - FamIne-Families of Inequalities [263183]</t>
  </si>
  <si>
    <t>European Research Council (ERC) under the 7th FP, ERC-StG, grant - FamIne-Families of Inequalities</t>
  </si>
  <si>
    <t>Raffaele Guetto and Stefani Scherer gratefully acknowledge funding from the European Research Council (ERC) under the 7th FP, ERC-StG 2010, grant 263183 - FamIne-Families of Inequalities, www.unitn.it/famine. The authors would also like to thank two anonymous reviewers for their helpful comments.</t>
  </si>
  <si>
    <t>0168-6577</t>
  </si>
  <si>
    <t>1572-9885</t>
  </si>
  <si>
    <t>EUR J POPUL</t>
  </si>
  <si>
    <t>Eur. J. Popul.</t>
  </si>
  <si>
    <t>10.1007/s10680-016-9380-6</t>
  </si>
  <si>
    <t>ED6WH</t>
  </si>
  <si>
    <t>WOS:000388996900002</t>
  </si>
  <si>
    <t>Huang, CE; Liu, CHS</t>
  </si>
  <si>
    <t>Huang, Chiung-En; Liu, Chih-Hsing Sam</t>
  </si>
  <si>
    <t>Employees and Creativity: Social Ties and Access to Heterogeneous Knowledge</t>
  </si>
  <si>
    <t>INNOVATIVE BEHAVIOR; TEAM DIVERSITY; PERFORMANCE; STRENGTH; IDEAS; MODEL</t>
  </si>
  <si>
    <t>This study dealt with employee social ties, knowledge heterogeneity contacts, and the generation of creativity. Although prior studies demonstrated a relationship between network position and creativity, inadequate attention has been paid to network ties and heterogeneity knowledge contacts. This study considered the social interaction processes among employees that might account for differences impacts in employee creativity, taken from network perspective and studies of employees' knowledge exploration of heterogeneity contacts on the genesis of novelty ideas. Samples of 350 employees were selected from an international firm in Taiwan and were compared to the influence of these mechanisms on employee creativity. The findings suggest that, although social ties matters, access to heterogeneous knowledge is of equal importance for employee creativity generation. Receiving help and support from colleagues positively moderating the social ties, heterogeneous knowledge, and creativity. Implications and limitations are discussed.</t>
  </si>
  <si>
    <t>[Huang, Chiung-En] Aletheia Univ, New Taipei City, Taiwan; [Liu, Chih-Hsing Sam] Ming Chuan Univ, Gui Shan Dist 333, Taoyuan County, Taiwan</t>
  </si>
  <si>
    <t>Aletheia University; Ming Chuan University</t>
  </si>
  <si>
    <t>Liu, CHS (corresponding author), Ming Chuan Univ, Leisure &amp; Recreat Adm Dept, 5 De Ming Rd, Gui Shan Dist 333, Taoyuan County, Taiwan.</t>
  </si>
  <si>
    <t>APR 3</t>
  </si>
  <si>
    <t>10.1080/10400419.2015.1030309</t>
  </si>
  <si>
    <t>CK5IP</t>
  </si>
  <si>
    <t>WOS:000356257400011</t>
  </si>
  <si>
    <t>Wang, YL</t>
  </si>
  <si>
    <t>Wang, Yu-Lin</t>
  </si>
  <si>
    <t>R&amp;D employees' innovative behaviors in Taiwan: HRM and managerial coaching as moderators</t>
  </si>
  <si>
    <t>coaching; incentive pay system; innovative behaviors; intrinsic motivation; prior work experience; training</t>
  </si>
  <si>
    <t>HUMAN-RESOURCE MANAGEMENT; ORGANIZATIONAL COMMITMENT; INTRINSIC MOTIVATION; PERFORMANCE; DETERMINANTS; PREDICTORS; IMPACT; ORIENTATION; CREATIVITY; STRATEGIES</t>
  </si>
  <si>
    <t>Recently, scholars have acknowledged the importance of exploring factors affecting R&amp;D employees' innovative behaviors in high-technology firms. In addition to the employee's individual differences, an organization's contextual factors serve as the moderators in facilitating the research and development (R&amp;D) employee's innovative behaviors. This survey-based research investigates the influence of HRM (incentive pay system and training) and managerial coaching on the relationships between the R&amp;D employee's characteristics (intrinsic motivation and prior work experience) and the innovative behaviors. A total of 127 R&amp;D employees formed the research sample along with 23 R&amp;D managers who evaluated their employees' innovative behaviors. The results indicate that intrinsic motivation and prior work experience correlate significantly with innovative behaviors. Both HRM (incentive pay system and training) and managerial coaching positively moderates the relationships between employee characteristics and innovative behaviors. Implications for HRM practice and suggestions for future research are discussed.</t>
  </si>
  <si>
    <t>Natl Cheng Kung Univ, Dept Business Adm, Tainan 701, Taiwan</t>
  </si>
  <si>
    <t>Wang, YL (corresponding author), Natl Cheng Kung Univ, Dept Business Adm, Tainan 701, Taiwan.</t>
  </si>
  <si>
    <t>10.1111/j.1744-7941.2012.00049.x</t>
  </si>
  <si>
    <t>232LG</t>
  </si>
  <si>
    <t>WOS:000325494700008</t>
  </si>
  <si>
    <t>Fearne, A; Alvarez-Coque, JMG; Mercedes, TLGU; Garcia, S</t>
  </si>
  <si>
    <t>Fearne, Andrew; Garcia Alvarez-Coque, Jose Maria; Usach Mercedes, Teresa Lopez-Garcia; Garcia, Sanchez</t>
  </si>
  <si>
    <t>Innovative firms and the urban/rural divide: the case of agro-food system</t>
  </si>
  <si>
    <t>Innovation; Agro-food firms; Local labour systems; Rural areas; Urban; Spain</t>
  </si>
  <si>
    <t>PERFORMANCE; KNOWLEDGE</t>
  </si>
  <si>
    <t>Purpose - This paper aims to analyse the capacity of rural and urban spaces to promote innovation in the agro-food firms. The purpose is to determine if the rural/urban division affects the innovative behaviour of agriculture, food processing and food distribution firms. Design/methodology/approach - Business data have been obtained for over 2,000 firms based in the Valencia region, Spain. Out of them, over 200 declared to have taken part in R&amp;D&amp;i activities, mainly in partnership with public support institutions. The database supplies data of micro and small enterprises, which have been typically underestimated in the Spanish Survey on Technological Innovation in Enterprises. The database also makes it possible to identify the main location of agro-food business, and the territory is divided in Local Labour Systems (LLS). LIS were in turn classified as rural or urban according to alternative criteria (OECD, national legislation). A logit model has been used in the analyses. Findings - The location of enterprises according to the rural/urban divide does not appear relevant concerning innovation, although businesses orientated to the primary sector seem less innovative. Co-op businesses appear to be more innovative. Originality/value - The paper offers an approach of innovation in the agro-food traditionally considered as a non-innovative system. It explores how territory affects innovation using data from firms.</t>
  </si>
  <si>
    <t>[Garcia Alvarez-Coque, Jose Maria] Univ Politecn Valencia, Dept Econ &amp; Social Sci, E-46071 Valencia, Spain; [Usach Mercedes, Teresa Lopez-Garcia] IVIFA Fdn, Valencia, Spain; [Garcia, Sanchez] Univ Publ Navarra, Dept Management, Pamplona, Spain</t>
  </si>
  <si>
    <t>Universitat Politecnica de Valencia; Universidad Publica de Navarra</t>
  </si>
  <si>
    <t>Alvarez-Coque, JMG (corresponding author), Univ Politecn Valencia, Dept Econ &amp; Social Sci, E-46071 Valencia, Spain.</t>
  </si>
  <si>
    <t>jmgarcia@upvnet.upv.es</t>
  </si>
  <si>
    <t>SÁNCHEZ, MERCEDES/I-1325-2015; Garcia-Alvarez-Coque, Jose-Maria/G-9964-2015</t>
  </si>
  <si>
    <t>SÁNCHEZ, MERCEDES/0000-0002-9959-5643; Garcia-Alvarez-Coque, Jose-Maria/0000-0002-4334-7843</t>
  </si>
  <si>
    <t>10.1108/MD-12-2011-0482</t>
  </si>
  <si>
    <t>185BN</t>
  </si>
  <si>
    <t>Green Submitted, Green Published</t>
  </si>
  <si>
    <t>WOS:000321940300010</t>
  </si>
  <si>
    <t>BRUGGER, EA; STUCKEY, B</t>
  </si>
  <si>
    <t>REGIONAL ECONOMIC-STRUCTURE AND INNOVATIVE BEHAVIOR IN SWITZERLAND</t>
  </si>
  <si>
    <t>HOHENEGG,CH-8574 OBERHOFEN TG,SWITZERLAND</t>
  </si>
  <si>
    <t>CARFAX PUBL CO</t>
  </si>
  <si>
    <t>PO BOX 25, ABINGDON, OXFORDSHIRE, ENGLAND OX14 3UE</t>
  </si>
  <si>
    <t>10.1080/00343408712331344428</t>
  </si>
  <si>
    <t>J0006</t>
  </si>
  <si>
    <t>WOS:A1987J000600005</t>
  </si>
  <si>
    <t>GARTRELL, JW; WILKENING, EA; PRESSER, HA</t>
  </si>
  <si>
    <t>CURVILINEAR AND LINEAR MODELS RELATING STATUS AND INNOVATIVE BEHAVIOR - REASSESSMENT</t>
  </si>
  <si>
    <t>RURAL SOCIOLOGY</t>
  </si>
  <si>
    <t>UNIV WESTERN ONTARIO, DEPT SOCIOL, TORONTO, ONTARIO, CANADA; UNIV WISCONSIN, DEPT RURAL SOCIOL, MADISON, WI USA; UNIV MELBOURNE, SCH AGR, MELBOURNE, AUSTRALIA</t>
  </si>
  <si>
    <t>Western University (University of Western Ontario); University of Wisconsin System; University of Wisconsin Madison; University of Melbourne</t>
  </si>
  <si>
    <t>0036-0112</t>
  </si>
  <si>
    <t>1549-0831</t>
  </si>
  <si>
    <t>RURAL SOCIOL</t>
  </si>
  <si>
    <t>Rural Sociol.</t>
  </si>
  <si>
    <t>T2380</t>
  </si>
  <si>
    <t>WOS:A1973T238000002</t>
  </si>
  <si>
    <t>Luu, Tuan Trong</t>
  </si>
  <si>
    <t>Can human resource flexibility disentangle innovative work behavior among hospitality employees? The roles of harmonious passion and regulatory foci</t>
  </si>
  <si>
    <t>HR flexibility; Innovative work behavior; Harmonious passion; Promotion focus; Prevention focus</t>
  </si>
  <si>
    <t>CREATIVE SELF-EFFICACY; SERVANT LEADERSHIP; JOB-PERFORMANCE; PSYCHOLOGICAL ADJUSTMENT; ORGANIZATIONAL RESEARCH; ETHICAL LEADERSHIP; HR FLEXIBILITY; MEDIATING ROLE; METHOD BIAS; MANAGEMENT</t>
  </si>
  <si>
    <t>Purpose The ongoing improvement of hospitality services stems from innovative behavior among employees. This study aims to investigate how and when human resource (HR) flexibility promotes hospitality employees' innovative work behavior. Design/methodology/approach The data were garnered from 438 employees and 67 managers from 19 hotels operating in Vietnam. Multilevel structural equation modeling was used to analyze the data. Findings The positive association was observed between HR flexibility and innovative work behavior. Harmonious passion functioned as a mediator for such a relationship. While promotion focus was found to positively interact with HR flexibility to predict employee harmonious passion, prevention focus demonstrated an attenuating effect on the association between HR flexibility and harmonious passion. Practical implications The findings suggest that hospitality organizations can promote innovative work behavior among employees through building skill and behavioral flexibility, as well as flexibility in HR practices. Hospitality organizations should also realize the role of harmonious passion as a mechanism that can channel HR flexibility into innovative work behavior and the interactive effect of promotion focus and HR flexibility on fostering harmonious passion and, in turn, innovative work behavior. Originality/value This inquiry advances the strand of research on the HR management-innovative behavior linkage by offering insights into how and when HR flexibility promotes innovative work behavior among hotel employees.</t>
  </si>
  <si>
    <t>[Luu, Tuan Trong] Swinburne Univ Technol, Swinburne Business Sch, Melbourne, Vic, Australia</t>
  </si>
  <si>
    <t>NOV 16</t>
  </si>
  <si>
    <t>10.1108/IJCHM-02-2021-0276</t>
  </si>
  <si>
    <t>OCT 2021</t>
  </si>
  <si>
    <t>WZ7EL</t>
  </si>
  <si>
    <t>WOS:000705654600001</t>
  </si>
  <si>
    <t>Delorme, MM; Pimentel, TC; Freitas, MQ; da Cunha, DT; Silva, R; Guimaraes, JT; Scudino, H; Esmerino, EA; Duarte, MCKH; Cruz, AG</t>
  </si>
  <si>
    <t>Delorme, Mariana M.; Pimentel, Tatiana C.; Freitas, Monica Q.; da Cunha, Diogo T.; Silva, Ramon; Guimaraes, Jonas Toledo; Scudino, Hugo; Esmerino, Erick A.; Duarte, Maria Carmella K. H.; Cruz, Adriano G.</t>
  </si>
  <si>
    <t>Consumer innovativeness and perception about innovative processing technologies: A case study with sliced Prato cheese processed by ultraviolet radiation</t>
  </si>
  <si>
    <t>INTERNATIONAL JOURNAL OF DAIRY TECHNOLOGY</t>
  </si>
  <si>
    <t>Brazilian cheese; consumer studies; innovative behaviour; new foods; packaging; projective techniques</t>
  </si>
  <si>
    <t>EMERGING TECHNOLOGIES; ACCEPTANCE; MILK; INACTIVATION; SURFACE; LIGHT</t>
  </si>
  <si>
    <t>Brazilian consumers' innovativeness and motivation to eat new foods were evaluated using a new scale and conventional or UV-C-treated sliced Prato cheeses with or without a labelled claim in the package. The proposed scale (16 statements) showed discriminant (heterotrait-monotrait ratio values &lt;0.85) and convergent (average variance extracted &gt;0.6) validity and adequate reliability (composite reliability &gt;0.8). Consumers (n = 395) tend to show neophilic attitudes and innovativeness towards new foods or familiar foods with new ingredients if new sensory characteristics and quality assurance were provided. It is found that the highest acceptance, purchase intention and perceived safety and quality can be achieved with UV-C-treated cheese with labelled claim.</t>
  </si>
  <si>
    <t>[Delorme, Mariana M.; Silva, Ramon; Guimaraes, Jonas Toledo; Scudino, Hugo] Univ Fed Fluminense, Fac Med Veterinaria, BR-24230340 Niteroi, RJ, Brazil; [Pimentel, Tatiana C.] Inst Fed Paran IFPR, Campus Paranava, Paranavai, Parana, Brazil; [Freitas, Monica Q.; da Cunha, Diogo T.] Univ Estadual Campinas, Fac Cie Aplicadas, Limeira, SP, Brazil; [Silva, Ramon; Esmerino, Erick A.; Duarte, Maria Carmella K. H.; Cruz, Adriano G.] Inst Fed Educacao, Dept Alimentos, Cie Tecnologia Alimentos IFRJ, BR-20270021 Rio De Janeiro, Brazil</t>
  </si>
  <si>
    <t>Universidade Federal Fluminense; Instituto Federal do Parana; Universidade Estadual de Campinas</t>
  </si>
  <si>
    <t>Cruz, AG (corresponding author), Inst Fed Educacao, Dept Alimentos, Cie Tecnologia Alimentos IFRJ, BR-20270021 Rio De Janeiro, Brazil.</t>
  </si>
  <si>
    <t>food@globo.com</t>
  </si>
  <si>
    <t>Pimentel, Tatiana Colombo/G-5025-2012; da Cunha, Diogo Thimoteo/H-1670-2013</t>
  </si>
  <si>
    <t>Pimentel, Tatiana Colombo/0000-0003-4600-8932; da Cunha, Diogo Thimoteo/0000-0001-5928-9265</t>
  </si>
  <si>
    <t>1364-727X</t>
  </si>
  <si>
    <t>1471-0307</t>
  </si>
  <si>
    <t>INT J DAIRY TECHNOL</t>
  </si>
  <si>
    <t>Int. J. Dairy Technol.</t>
  </si>
  <si>
    <t>10.1111/1471-0307.12807</t>
  </si>
  <si>
    <t>AUG 2021</t>
  </si>
  <si>
    <t>Food Science &amp; Technology</t>
  </si>
  <si>
    <t>WL6FY</t>
  </si>
  <si>
    <t>WOS:000689686600001</t>
  </si>
  <si>
    <t>Vrontis, D; Morea, D; Basile, G; Bonacci, I; Mazzitelli, A</t>
  </si>
  <si>
    <t>Vrontis, Demetris; Morea, Donato; Basile, Gianpaolo; Bonacci, Isabella; Mazzitelli, Andrea</t>
  </si>
  <si>
    <t>Consequences of technology and social innovation on traditional business model</t>
  </si>
  <si>
    <t>Social innovation; Corporate social innovation; Hybrid organization; Innovation catalyst; Social business model; Conditional inference tree</t>
  </si>
  <si>
    <t>HYBRID ORGANIZATIONS; ENTREPRENEURSHIP; SUSTAINABILITY; INFORMATION; PERFORMANCE; IMPACT; OPPORTUNITIES; GOVERNANCE; ECOSYSTEM; DYNAMICS</t>
  </si>
  <si>
    <t>The growing presence of new players - beside those belonging to the institutional and third sectors - committed to supporting social and environmental causes through innovative approaches and tools leads to the profile of a for-profit enterprise increasingly committed to the pursuit of social goals. In the paper, the authors focus their attention on the existence of relationships between innovation and a company's social role in order to assess how innovation affects the social conduct of profit-making enterprises and to determine the birth of a new hybrid business model. In order to achieve this goal, research was carried out on a sample of 4,000 Italian Small and Medium-sized Enterprises that claim to operate according to a corporate social commitment, in order to investigate the existence of a relationship between innovative behavior and social and business purposes of companies having different Corporate Social Innovation policies. The data were analyzed using the conditional inference tree, a non-parametric class of tree regression model, which overcomes different regression problems involving ordinal and nominal variables. The results achieved make it possible to fill some gaps in the existing literature, to detect a relationship between technological and social commitment in a company and to open a debate on future research developments.</t>
  </si>
  <si>
    <t>[Vrontis, Demetris] Univ Nicosia, Sch Business, Dept Mkt, 46 Makedonitissas Ave, CY-2417 Nicosia, Cyprus; [Vrontis, Demetris] Univ Nicosia, Sch Business, Dept Mkt, POB 24005, CY-1700 Nicosia, Cyprus; [Morea, Donato] Univ Cagliari, Dept Mech, Chem &amp; Mat Engn, Via Marengo, I-09123 Cagliari, Italy; [Basile, Gianpaolo; Bonacci, Isabella; Mazzitelli, Andrea] Univ Mercatorum, Fac Econ, Piazza Mattei 10, I-00186 Rome, Italy</t>
  </si>
  <si>
    <t>University of Nicosia; University of Nicosia; University of Cagliari; Universita Telematica Mercatorum</t>
  </si>
  <si>
    <t>Morea, D (corresponding author), Univ Cagliari, Dept Mech, Chem &amp; Mat Engn, Via Marengo, I-09123 Cagliari, Italy.</t>
  </si>
  <si>
    <t>vrontis.d@unic.ac.cy; donato.morea@unica.it; gianpaolo.basile@unimercatorum.it; isabella.bonacci@unimercatorum.it; a.mazzitelli@unimercatorum.it</t>
  </si>
  <si>
    <t>Morea, Donato/S-9544-2019</t>
  </si>
  <si>
    <t>Morea, Donato/0000-0003-0995-6685; Bonacci, Isabella/0000-0002-6848-932X; Vrontis, Prof. Demetris/0000-0001-7570-6241</t>
  </si>
  <si>
    <t>10.1016/j.techfore.2021.120877</t>
  </si>
  <si>
    <t>TI1SA</t>
  </si>
  <si>
    <t>WOS:000672563900005</t>
  </si>
  <si>
    <t>Miao, RT; Lu, L; Cao, Y; Du, Q</t>
  </si>
  <si>
    <t>Miao, Rentao; Lu, Lu; Cao, Yi; Du, Qing</t>
  </si>
  <si>
    <t>The High-Performance Work System, Employee Voice, and Innovative Behavior: The Moderating Role of Psychological Safety</t>
  </si>
  <si>
    <t>high-performance work system; employee innovative behavior; voice behavior; psychological safety</t>
  </si>
  <si>
    <t>ORGANIZATIONAL PERFORMANCE; SOCIAL-EXCHANGE; LEADERSHIP; CREATIVITY; CLIMATE; MODEL</t>
  </si>
  <si>
    <t>In this study, we examined the associations of the high-performance work system (HPWS) with employee innovative behavior, and tested a theoretical model in which these associations were mediated by employee voice (promotive and prohibitive voice) and moderated by psychological safety. Matched data were collected from 46 HR (Human Resource) managers and 374 full-time employees from 46 companies in China with multi-source and time-lagged techniques. We found that the HPWS is associated with employee behavior. Both the promotive voice and prohibitive voice partially mediate the relationship between HPWS and employee innovative behavior. Psychological safety moderates the relationship between HPWS and the promotive voice. However, psychological safety does not moderate the relationship between HPWS and the prohibitive voice. Furthermore, psychological safety moderates the mediation effect of the promotive voice between HPWS and employee innovative behavior. We discuss the theoretical and practical implications of these findings.</t>
  </si>
  <si>
    <t>[Miao, Rentao; Lu, Lu] Capital Univ Econ &amp; Business, Sch Labor Econ, Beijing 100070, Peoples R China; [Cao, Yi] Peking Univ, Sch Psychol &amp; Cognit Sci, Beijing 100871, Peoples R China; [Du, Qing] Capital Univ Econ &amp; Business, Sch Foreign Studies, Beijing 100070, Peoples R China</t>
  </si>
  <si>
    <t>Capital University of Economics &amp; Business; Peking University; Capital University of Economics &amp; Business</t>
  </si>
  <si>
    <t>Cao, Y (corresponding author), Peking Univ, Sch Psychol &amp; Cognit Sci, Beijing 100871, Peoples R China.</t>
  </si>
  <si>
    <t>mrtmiao@hotmail.com; 13141078566@163.com; cycaoyi@pku.edu.cn; 15823922953@163.com</t>
  </si>
  <si>
    <t>National Social Science Fund of China [16BGL099]</t>
  </si>
  <si>
    <t>National Social Science Fund of China</t>
  </si>
  <si>
    <t>This research was funded by The National Social Science Fund of China (Project No: 16BGL099).</t>
  </si>
  <si>
    <t>10.3390/ijerph17041150</t>
  </si>
  <si>
    <t>KY2GF</t>
  </si>
  <si>
    <t>WOS:000522388500026</t>
  </si>
  <si>
    <t>Resilient employees are creative employees, when the workplace forces them to be</t>
  </si>
  <si>
    <t>INNOVATIVE BEHAVIOR; MEDIATING ROLE; ORGANIZATIONAL RESEARCH; PROACTIVE PERSONALITY; RADICAL INNOVATION; PERCEIVED POLITICS; JOB-SATISFACTION; MODERATING ROLE; WORK CONTEXT; SELF</t>
  </si>
  <si>
    <t>With a basis in conservation of resources theory, this article considers the connection between employees' resilience and disruptive creative behaviour-conceptualized herein as the extent to which they generate radically new ideas for organizational improvement-as well as how this connection might be invigorated by resource-draining work conditions that stem from excessive workloads and unfavourable decision-making processes. Data collected through a survey administered to employees in an organization that operates in the distribution sector reveal that employees' resilience levels spur their disruptive creative behaviour, and this process is more prominent among employees who believe they have insufficient time to complete their work tasks (i.e., suffer from high work overload) and operate in organizational climates marked by high rigidity or dysfunctional politics. The findings accordingly inform organizational practitioners that the allocation of employees' personal resource bases to disruptive creative behaviours might be particularly useful among employees who face substantial adversity in their organizational functioning.</t>
  </si>
  <si>
    <t>[De Clercq, Dirk] Brock Univ, Goodman Sch Business, St Catharines, ON L2S 3A1, Canada; [Pereira, Renato] OBSERVARE Res Ctr, Lisbon, Portugal; [Pereira, Renato] Inst Univ Lisboa, ISCTE Business Sch, Lisbon, Portugal</t>
  </si>
  <si>
    <t>De Clercq, D (corresponding author), Brock Univ, Goodman Sch Business, St Catharines, ON L2S 3A1, Canada.</t>
  </si>
  <si>
    <t>ddeclercq@brocku.ca</t>
  </si>
  <si>
    <t>De Clercq, Dirk/0000-0003-1476-2965</t>
  </si>
  <si>
    <t>10.1111/caim.12328</t>
  </si>
  <si>
    <t>IN8BI</t>
  </si>
  <si>
    <t>WOS:000478905200005</t>
  </si>
  <si>
    <t>Lee, J; Yun, S; Lee, S; Lee, JH</t>
  </si>
  <si>
    <t>Lee, Jihye; Yun, Seokhwa; Lee, Soojin; Lee, Jung Hyun</t>
  </si>
  <si>
    <t>The Curvilinear Relationship between Self-efficacy and Creativity: The Moderating Role of Supervisor Close Monitoring</t>
  </si>
  <si>
    <t>Self-efficacy; Curvilinear relationship; Supervisor close monitoring; Creativity</t>
  </si>
  <si>
    <t>WORK-RELATED PERFORMANCE; INTERACTIONIST MODEL; RESOURCE-ALLOCATION; INNOVATIVE BEHAVIOR; CONTEXTUAL FACTORS; DECISION-MAKING; TOO; PERSONALITY; DETERMINANTS; METAANALYSIS</t>
  </si>
  <si>
    <t>The assumption that self-efficacy always has a positive linear relation with job performance has been challenged both conceptually and empirically. Recent research suggests that excessive self-efficacy may negatively affect employees' work outcomes. We propose a curvilinear association between employees' self-efficacy and creativity. Further, we examine the moderating effect of supervisor close monitoring on the aforementioned relationship. Using a sample of 188 subordinate-supervisor dyads from South Korea, we find evidence of an inverted U-shaped relationship between self-efficacy and creativity that is moderated by supervisor close monitoring. Implications for both theory and practice are presented.</t>
  </si>
  <si>
    <t>[Lee, Jihye; Yun, Seokhwa; Lee, Jung Hyun] Seoul Natl Univ, Coll Business Adm, Gwanakno 1, Seoul 151916, South Korea; [Lee, Soojin] Chonnam Natl Univ, Coll Business Adm, 77 Yongbong Ro, Gwangju 61186, South Korea</t>
  </si>
  <si>
    <t>Seoul National University (SNU); Chonnam National University</t>
  </si>
  <si>
    <t>Lee, S (corresponding author), Chonnam Natl Univ, Coll Business Adm, 77 Yongbong Ro, Gwangju 61186, South Korea.</t>
  </si>
  <si>
    <t>wisdom0405@snu.ac.kr; syun@snu.ac.kr; soojinlee@jnu.ac.kr; julielee0829@gmail.com</t>
  </si>
  <si>
    <t>Lee, Jihye/AAN-3653-2021; Lee, Jihye/HZJ-7686-2023</t>
  </si>
  <si>
    <t>Lee, Jihye/0000-0001-5177-6245</t>
  </si>
  <si>
    <t>Institute of Management Research at Seoul National University</t>
  </si>
  <si>
    <t>This study was supported by the Institute of Management Research at Seoul National University.</t>
  </si>
  <si>
    <t>10.1007/s10869-018-9546-9</t>
  </si>
  <si>
    <t>HY7TZ</t>
  </si>
  <si>
    <t>WOS:000468340400008</t>
  </si>
  <si>
    <t>Thongsri, N; Chang, AKH</t>
  </si>
  <si>
    <t>Thongsri, Natenapang; Chang, Alex Kung-Hsiung</t>
  </si>
  <si>
    <t>Interactions Among Factors Influencing Product Innovation and Innovation Behaviour: Market Orientation, Managerial Ties, and Government Support</t>
  </si>
  <si>
    <t>product innovation; innovation behaviour; market orientation; managerial ties; government support</t>
  </si>
  <si>
    <t>RESOURCE-BASED VIEW; SUSTAINABLE COMPETITIVE ADVANTAGE; FIRM PERFORMANCE; MODERATING ROLE; ORGANIZATIONAL PERFORMANCE; CUSTOMER ORIENTATION; POLITICAL TIES; BUSINESS; SMES; CAPABILITY</t>
  </si>
  <si>
    <t>Ongoing globalization and changing customer needs make it increasingly difficult for firms to survive in the long term. Innovation is considered an important tool for firms in this environment. In particular, a firm's ability to cultivate innovative behaviour and implement product innovation for sustainability is important. This study explores resources and capabilities to enhance firm innovation behaviour and implementation of sustainable product innovation. The results provide insights on how firms can manage strategies for future sustainable innovations. We used a sample of 645 small- and medium-sized enterprises and presented the conceptual framework according to a resource-based view and relational capital. We specified three independent factors that enhance sustainable innovation and superior performance: market orientation, managerial ties, and government support. We used a questionnaire survey and structural equation modelling to evaluate the conceptual model. We found that interactions between business ties, customers, and competitor orientation can enhance sustainable product innovation, whereas interactions between government support and political relations can enhance the sustainability of innovation behaviour. Moreover, product innovation and innovation behaviour are mediators that can lead to superior firm performance. The results suggest ways entrepreneurs and public policy makers can promote sustainable innovation.</t>
  </si>
  <si>
    <t>[Thongsri, Natenapang] Natl Pingtung Univ Sci &amp; Technol, Dept Trop Agr &amp; Int Cooperat, Pingtung 9120, Taiwan; [Chang, Alex Kung-Hsiung] Natl Pingtung Univ Sci &amp; Technol, Dept Business Adm, Pingtung 91201, Taiwan</t>
  </si>
  <si>
    <t>National Pingtung University Science &amp; Technology; National Pingtung University Science &amp; Technology</t>
  </si>
  <si>
    <t>Chang, AKH (corresponding author), Natl Pingtung Univ Sci &amp; Technol, Dept Business Adm, Pingtung 91201, Taiwan.</t>
  </si>
  <si>
    <t>nate_1218@hotmail.com; bear419@mail.npust.edu.tw</t>
  </si>
  <si>
    <t>Thongsri, Nattaporn/AAA-2070-2021</t>
  </si>
  <si>
    <t>Thongsri, Nattaporn/0000-0002-4077-8517</t>
  </si>
  <si>
    <t>MAY 2</t>
  </si>
  <si>
    <t>10.3390/su11102793</t>
  </si>
  <si>
    <t>IC5LV</t>
  </si>
  <si>
    <t>WOS:000471010300076</t>
  </si>
  <si>
    <t>Williamson, AJ; Battisti, M; Leatherbee, M; Gish, JJ</t>
  </si>
  <si>
    <t>Williamson, Amanda J.; Battisti, Martina; Leatherbee, Michael; Gish, J. Jeffrey</t>
  </si>
  <si>
    <t>Rest, Zest, and My Innovative Best: Sleep and Mood as Drivers of Entrepreneurs' Innovative Behavior</t>
  </si>
  <si>
    <t>sleep quality; emotions; experience sampling methodology; creativity; innovation</t>
  </si>
  <si>
    <t>EXPERIENCE SAMPLING METHODOLOGY; POSITIVE AFFECT; OPPORTUNITY EVALUATION; PROACTIVE BEHAVIOR; PERSONAL RESOURCES; DECISION-MAKING; WORK ENGAGEMENT; NEGATIVE AFFECT; MODERATING ROLE; SELF-EFFICACY</t>
  </si>
  <si>
    <t>This study investigates the antecedents of an entrepreneur's day-level innovative behavior. Drawing on 2,420 data points from a 10-day experience sampling study with 121 entrepreneurs, we find that sleep quality is a precursor to an entrepreneur's subsequent innovative behavior, in accordance with the effort-recovery model. Moreover, sleep quality is positively related to high-activation positive moods (e.g., enthusiastic, inspired) and negatively related to high-activation negative moods (e.g., tension, anxiety). Our multilevel structural equation model indicates that high-activation positive moods mediate the relationship between sleep quality and innovative behavior on a given day. These results are relevant for managing entrepreneurial performance.</t>
  </si>
  <si>
    <t>[Williamson, Amanda J.] Univ Sheffield, Management Sch, Inst Work Psychol, Sheffield, S Yorkshire, England; [Battisti, Martina] Univ Portsmouth, Business Sch, Strategy Enterprise &amp; Innovat Subject Grp, Portsmouth, Hants, England; [Leatherbee, Michael] Pontificia Univ Catolica Chile, Dept Ind &amp; Syst Engn, Innovat &amp; Entrepreneurship, Santiago, Chile; [Gish, J. Jeffrey] Univ Oregon, Lundquist Coll Business, Dept Management, Eugene, OR 97403 USA</t>
  </si>
  <si>
    <t>N8 Research Partnership; RLUK- Research Libraries UK; White Rose University Consortium; University of Sheffield; University of Portsmouth; Pontificia Universidad Catolica de Chile; University of Oregon</t>
  </si>
  <si>
    <t>Williamson, AJ (corresponding author), Univ Sheffield, Sheffield S1O 2TN, S Yorkshire, England.</t>
  </si>
  <si>
    <t>a.j.williamson@sheffield.ac.uk</t>
  </si>
  <si>
    <t>Leatherbee, Michael/M-2283-2013; Williamson, Amanda J/Y-4508-2018; Battisti, Martina/H-4162-2019; Gish, J. Jeffrey/W-6687-2019</t>
  </si>
  <si>
    <t>Leatherbee, Michael/0000-0002-9125-8271; Williamson, Amanda J/0000-0003-3727-4577; Battisti, Martina/0000-0002-3236-7654; Gish, J. Jeffrey/0000-0002-8545-9253</t>
  </si>
  <si>
    <t>CONICYT Fondecyt Iniciacion [11170537]; CORFO; Nucleo Milenio Research Center in Entrepreneurial Strategy Under Uncertainty [NS130028]; Aubrey Chernick Foundation</t>
  </si>
  <si>
    <t>CONICYT Fondecyt Iniciacion(Comision Nacional de Investigacion Cientifica y Tecnologica (CONICYT)CONICYT FONDECYT); CORFO; Nucleo Milenio Research Center in Entrepreneurial Strategy Under Uncertainty; Aubrey Chernick Foundation</t>
  </si>
  <si>
    <t>The author(s) disclosed receipt of the following financial support for the research, authorship, and/or publication of this article: We gratefully acknowledge the financial support from CONICYT Fondecyt Iniciacion (11170537), CORFO, Nucleo Milenio Research Center in Entrepreneurial Strategy Under Uncertainty (NS130028), and the Aubrey Chernick Foundation.</t>
  </si>
  <si>
    <t>10.1177/1042258718798630</t>
  </si>
  <si>
    <t>HZ6AI</t>
  </si>
  <si>
    <t>Green Submitted, Bronze, Green Accepted</t>
  </si>
  <si>
    <t>WOS:000468933700007</t>
  </si>
  <si>
    <t>Chou, CY; Huang, CH; Lin, TA</t>
  </si>
  <si>
    <t>Chou, Cindy Yunhsin; Huang, Chin Hsiu; Lin, Tzu-An</t>
  </si>
  <si>
    <t>Organizational intellectual capital and its relation to frontline service employee innovative behavior: consumer value co-creation behavior as a moderator</t>
  </si>
  <si>
    <t>SERVICE BUSINESS</t>
  </si>
  <si>
    <t>Organizational intellectual capital; Value co-creation; Frontline service employee; Employee innovative behavior</t>
  </si>
  <si>
    <t>STRUCTURAL EQUATION MODELS; CUSTOMER PARTICIPATION; PRODUCT DEVELOPMENT; PERSONAL VALUES; DOMINANT LOGIC; MEDIATING ROLE; PERFORMANCE; KNOWLEDGE; COCREATION; LOYALTY</t>
  </si>
  <si>
    <t>Frontline service employee innovative behavior is the moment of truth that significantly affects organizational performance. Yet, little research has investigated the effect of organizational intellectual capital on frontline service employee innovative behavior. This study used SPSS 24.0 and AMOS 20.0 to examine the structural model and the hypothetical effects of (1) different dimensions of organizational intellectual capital on frontline service employee innovative behavior and (2) consumer value co-creation on frontline service employee innovative behavior along the dimensions of organizational intellectual capital. A total of 282 valid questionnaires were collected from frontline service employees working at a travel agency located in Taipei, Taiwan. Human capital and customer capital were found to positively affect frontline service employee innovative behavior. The interactions between consumer value co-creation and human and customer capital had a significant moderating effect on frontline service employee innovative behavior.</t>
  </si>
  <si>
    <t>[Chou, Cindy Yunhsin] Yuan Ze Univ, Coll Management, Taoyuan, Taiwan; [Huang, Chin Hsiu] Yuan Ze Univ, Coll Management, Innovat Ctr Lion Travel Co LTD, Taoyuan, Taiwan; [Lin, Tzu-An] Univ Texas Dallas, Naveen Jindal Sch Management, Richardson, TX 75083 USA</t>
  </si>
  <si>
    <t>Yuan Ze University; University of Texas System; University of Texas Dallas</t>
  </si>
  <si>
    <t>Chou, CY (corresponding author), Yuan Ze Univ, Coll Management, Taoyuan, Taiwan.</t>
  </si>
  <si>
    <t>cindy.chou@saturn.yzu.edu.tw; ritahuang@liontravel.com; anmyu123@gmail.com</t>
  </si>
  <si>
    <t>Chou, Cindy Yunhsin/0000-0002-2697-4669</t>
  </si>
  <si>
    <t>Ministry of Science and Technology, Taiwan [MOST 104-2410-H-155-022]</t>
  </si>
  <si>
    <t>The authors thank the Editor-in-Chief and the anonymous reviewers for providing invaluable feedback and comments. The authors also thank Lion Travel Co. LTD, Taiwan for their support in data collection. This work is supported in part by the Ministry of Science and Technology, Taiwan under Grant No. MOST 104-2410-H-155-022.</t>
  </si>
  <si>
    <t>1862-8516</t>
  </si>
  <si>
    <t>1862-8508</t>
  </si>
  <si>
    <t>SERV BUS</t>
  </si>
  <si>
    <t>Serv. Bus.</t>
  </si>
  <si>
    <t>10.1007/s11628-018-0387-4</t>
  </si>
  <si>
    <t>GY9XH</t>
  </si>
  <si>
    <t>WOS:000449005500002</t>
  </si>
  <si>
    <t>Campbell, JW</t>
  </si>
  <si>
    <t>Campbell, Jesse W.</t>
  </si>
  <si>
    <t>Felt responsibility for change in public organizations: general and sector-specific paths</t>
  </si>
  <si>
    <t>Reform; innovation; motivation; incentives; leadership</t>
  </si>
  <si>
    <t>CREATIVE SELF-EFFICACY; TRANSFORMATIONAL LEADERSHIP; SERVICE MOTIVATION; EMPLOYEE CREATIVITY; PERFORMANCE MANAGEMENT; CITIZENSHIP BEHAVIOR; INNOVATIVE BEHAVIOR; MEDIATION ANALYSIS; MODERATING ROLE; CONSTRAINTS</t>
  </si>
  <si>
    <t>Employees may be a source of performance-enhancing innovation or an obstacle to its implementation. This article develops a model of felt responsibility for change that integrates general and public sector-specific components. Structural equation modelling using survey data collected from Korean government employees suggests that both transformational leadership and performance-based incentives influence change attitudes by strengthening an organization's climate for innovation. The analysis also suggests that transformational leadership wields influence through reinforcing public service motivation. It is argued that this path is uniquely relevant to the implementation of reform in the public sector.</t>
  </si>
  <si>
    <t>[Campbell, Jesse W.] Incheon Natl Univ, Dept Publ Adm, Incheon, South Korea</t>
  </si>
  <si>
    <t>Campbell, JW (corresponding author), Incheon Natl Univ, Dept Publ Adm, Incheon, South Korea.</t>
  </si>
  <si>
    <t>jcampbell@inu.ac.kr</t>
  </si>
  <si>
    <t>Campbell, John L/HNR-2256-2023; Campbell, Jesse W/O-8019-2015</t>
  </si>
  <si>
    <t>Campbell, Jesse W/0000-0002-0376-5362</t>
  </si>
  <si>
    <t>National Research Foundation of Korea [NRF-2014S1A3A2044898]; National Research Foundation of Korea [2014S1A3A2044898] Funding Source: Korea Institute of Science &amp; Technology Information (KISTI), National Science &amp; Technology Information Service (NTIS)</t>
  </si>
  <si>
    <t>National Research Foundation of Korea(National Research Foundation of Korea); National Research Foundation of Korea(National Research Foundation of Korea)</t>
  </si>
  <si>
    <t>This work was supported by the National Research Foundation of Korea: [NRF-2014S1A3A2044898].</t>
  </si>
  <si>
    <t>10.1080/14719037.2017.1302245</t>
  </si>
  <si>
    <t>FU3RE</t>
  </si>
  <si>
    <t>WOS:000423768600002</t>
  </si>
  <si>
    <t>Bieraugel, M; Neill, S</t>
  </si>
  <si>
    <t>Bieraugel, Mark; Neill, Stern</t>
  </si>
  <si>
    <t>Ascending Bloom's Pyramid: Fostering Student Creativity and Innovation in Academic Library Spaces</t>
  </si>
  <si>
    <t>COLLEGE &amp; RESEARCH LIBRARIES</t>
  </si>
  <si>
    <t>EXPLOITATION; EXPLORATION</t>
  </si>
  <si>
    <t>Our research examined the degree to which behaviors and learning associated with creativity and innovation were supported in five academic library spaces and three other spaces at a mid-sized university. Based on survey data from 226 students, we apply a number of statistical techniques to measure student perceptions of the types of learning and behavior associated with the selected spaces. We found that the on-campus makerspace located outside the library encouraged the most innovative behaviors and exploration of new ideas. Within the library, collaboration rooms were the best spaces for encouraging creativity. There is an opportunity for the academic library to be reconceptualized as a place to foster creativity and innovation in students. We believe that academic libraries should continue to offer a variety of spaces for students, including quiet spaces for reflection, noisy spaces for collaboration and networking, and makerspaces for experimentation.</t>
  </si>
  <si>
    <t>[Bieraugel, Mark] Calif Polytech State Univ San Luis Obispo, Robert E Kennedy Lib, San Luis Obispo, CA USA; [Neill, Stern] Calif Polytech State Univ San Luis Obispo, Orfalea Coll Business, San Luis Obispo, CA USA</t>
  </si>
  <si>
    <t>California State University System; California Polytechnic State University San Luis Obispo; California State University System; California Polytechnic State University San Luis Obispo</t>
  </si>
  <si>
    <t>Bieraugel, M (corresponding author), Calif Polytech State Univ San Luis Obispo, Robert E Kennedy Lib, San Luis Obispo, CA USA.</t>
  </si>
  <si>
    <t>mbieraug@calpoly.edu; sneill@calpoly.edu</t>
  </si>
  <si>
    <t>Neill, Stern/A-3213-2008</t>
  </si>
  <si>
    <t>Neill, Stern/0000-0002-0853-191X</t>
  </si>
  <si>
    <t>ASSOC COLL RESEARCH LIBRARIES</t>
  </si>
  <si>
    <t>50 E HURON ST, CHICAGO, IL 60611 USA</t>
  </si>
  <si>
    <t>0010-0870</t>
  </si>
  <si>
    <t>2150-6701</t>
  </si>
  <si>
    <t>COLL RES LIBR</t>
  </si>
  <si>
    <t>Coll. Res. Libr.</t>
  </si>
  <si>
    <t>10.5860/crl.78.1.35</t>
  </si>
  <si>
    <t>EO0FB</t>
  </si>
  <si>
    <t>WOS:000396372600004</t>
  </si>
  <si>
    <t>Nisula, AM; Kianto, A</t>
  </si>
  <si>
    <t>Nisula, Anna-Maija; Kianto, Aino</t>
  </si>
  <si>
    <t>The Antecedents of Individual Innovative Behaviour in Temporary Group Innovation</t>
  </si>
  <si>
    <t>EMPLOYEE CREATIVITY; COORDINATION; MODEL</t>
  </si>
  <si>
    <t>This study examines the antecedents of individual innovative behaviour in short-term innovation camp conditions. Innovation is increasingly a joint activity conducted in various kinds of temporary settings that collect widely diverse people together for a brief time to work on a particular problem. As innovativeness of interplaying individuals is key for the success of collaborative innovation, it is important to study what factors enhance individual innovative behaviour in temporary settings. Data from 103 innovation camp participants were the basis of PLS-SEM analysis. Results show that individual creative self-efficacy, perceived task orientation and experimentation have significant effects on individual innovative behaviour. In contrast, participative safety, support for innovation, and vision are not associated with individual innovativeness. These findings suggest that the antecedents of individual innovativeness in temporary settings differ from those identified in conventional groups, pointing to a new field for future research.</t>
  </si>
  <si>
    <t>[Nisula, Anna-Maija] Lappeenranta Univ Technol, LUT Sch Business &amp; Management, Lappeenranta, Finland; [Kianto, Aino] Lappeenranta Univ Technol, LUT Sch Business &amp; Management, Knowledge Management, Lappeenranta, Finland; [Kianto, Aino] Lappeenranta Univ Technol, Masters Program Knowledge Management &amp; Leadership, Lappeenranta, Finland</t>
  </si>
  <si>
    <t>Lappeenranta University of Technology; Lappeenranta University of Technology; Lappeenranta University of Technology</t>
  </si>
  <si>
    <t>Nisula, AM (corresponding author), Lappeenranta Univ Technol, LUT Sch Business &amp; Management, Lappeenranta, Finland.</t>
  </si>
  <si>
    <t>anna-maija.nisula@lut.fi; aino.kianto@lut.fi</t>
  </si>
  <si>
    <t>Kianto, Aino/Y-6931-2019</t>
  </si>
  <si>
    <t>Kianto, Aino/0000-0001-7173-3525</t>
  </si>
  <si>
    <t>10.1111/caim.12163</t>
  </si>
  <si>
    <t>EB4JA</t>
  </si>
  <si>
    <t>WOS:000387336200002</t>
  </si>
  <si>
    <t>Behavioural operations in healthcare: a knowledge sharing perspective</t>
  </si>
  <si>
    <t>INTERNATIONAL JOURNAL OF OPERATIONS &amp; PRODUCTION MANAGEMENT</t>
  </si>
  <si>
    <t>Innovative work behaviour; Knowledge management; Knowledge sharing; Healthcare operations; Behavioural operations</t>
  </si>
  <si>
    <t>PARTIAL LEAST-SQUARES; INNOVATIVE BEHAVIOR; PSYCHOLOGICAL SAFETY; MANAGEMENT RESEARCH; VALUE CREATION; MEDIATING ROLE; WORK; ORGANIZATIONS; DETERMINANTS; PERFORMANCE</t>
  </si>
  <si>
    <t>Purpose - The purpose of this paper is to provide arguments and empirical evidence that different knowledge sharing behaviours - i.e. sharing best practices, sharing mistakes, seeking feedbacks -are promoted and enabled by different types of knowledge assets, and differently affect employees' innovative work behaviours. Design/methodology/approach - The research framework includes four sets of constructs: employees' innovative work behaviour, knowledge sharing, knowledge assets, psychological safety. The literature-grounded hypotheses were tested collecting data from healthcare professionals from three hospice and palliative care organisations in Italy. In all, 195 questionnaires were analysed using structural equations modelling technique. Findings - First, findings show that the linkage between knowledge assets and knowledge sharing is both direct and indirect with psychological safety as relevant mediating construct. The linkage between relational and structural social capital and seeking feedbacks and sharing mistakes is fully mediated by psychological safety. Second, findings show that each dimension of knowledge sharing affects the different dimensions of employees' innovative work behaviour - i.e. idea generation, idea promotion, idea implementation - in a distinct manner. While sharing of best practices influences all of them, seeking feedbacks affects idea promotion and sharing mistakes influences idea implementation. Practical implications - The results provide operations managers with a clearer picture of how to pursue improvements of current operations by leveraging on knowledge sharing among employees through the creation of numerous, high-quality interpersonal relationships among employees, based on rich and cohesive network ties. Originality/value - This study, by adopting a micro-level perspective, offers an original perspective on how knowledge assets and knowledge sharing initiatives may contribute to the engagement of innovative work behaviour by employees.</t>
  </si>
  <si>
    <t>[Mura, Matteo] Univ Bologna, Dept Management, Bologna, Italy; [Lettieri, Emanuele; Spiller, Nicola] Politecn Milan, Dept Management Econ &amp; Ind Engn, Milan, Italy; [Radaelli, Giovanni] Univ Warwick, Warwick Business Sch, Coventry, W Midlands, England</t>
  </si>
  <si>
    <t>University of Bologna; Polytechnic University of Milan; RLUK- Research Libraries UK; University of Warwick</t>
  </si>
  <si>
    <t>Swiss National Science Foundation - Fonds Nationale Suisse de la Recherche Scientifique: Sinergia Project [CRSII1_147666/1]</t>
  </si>
  <si>
    <t>Swiss National Science Foundation - Fonds Nationale Suisse de la Recherche Scientifique: Sinergia Project</t>
  </si>
  <si>
    <t>The authors appreciate the generous support of the Swiss National Science Foundation - Fonds Nationale Suisse de la Recherche Scientifique: Sinergia Project - Grant CRSII1_147666/1.</t>
  </si>
  <si>
    <t>0144-3577</t>
  </si>
  <si>
    <t>1758-6593</t>
  </si>
  <si>
    <t>INT J OPER PROD MAN</t>
  </si>
  <si>
    <t>Int. J. Oper. Prod. Manage.</t>
  </si>
  <si>
    <t>10.1108/IJOPM-04-2015-0234</t>
  </si>
  <si>
    <t>EB1CN</t>
  </si>
  <si>
    <t>WOS:000387084100006</t>
  </si>
  <si>
    <t>Cruz-Cazares, C; Bayona-Saez, C; Garcia-Marco, T</t>
  </si>
  <si>
    <t>Cruz-Cazares, Claudio; Bayona-Saez, Cristina; Garcia-Marco, Teresa</t>
  </si>
  <si>
    <t>Make, buy or both? R&amp;D strategy selection</t>
  </si>
  <si>
    <t>JOURNAL OF ENGINEERING AND TECHNOLOGY MANAGEMENT</t>
  </si>
  <si>
    <t>R&amp;D strategy; Internal firm resources; Industry characteristics; Absorptive capacity; Open innovation</t>
  </si>
  <si>
    <t>EMPIRICAL-ANALYSIS; ABSORPTIVE-CAPACITY; OPEN INNOVATION; FIRM SIZE; MARKET-STRUCTURE; INTERNAL FACTORS; IN-HOUSE; KNOWLEDGE; PRODUCT; PERFORMANCE</t>
  </si>
  <si>
    <t>The aim of this paper is to increase our knowledge of a firm's innovative behaviour by jointly analysing its internal resources, industry characteristics and appropriability conditions as drivers of its R&amp;D strategy selection: make, buy and make-buy. Based on panel data (1992-2005) covering 1539 Spanish manufacturing firms, results show that firms lacking organisational resources and competing in stable markets prefer the buy strategy. Firms with a high level of technological resources that are immersed in high-tech industries are prone to selecting the make-buy strategy. Internationalised firms with high levels of appropriability prefer the make strategy. (c) 2013 Elsevier B.V. All rights reserved.</t>
  </si>
  <si>
    <t>[Cruz-Cazares, Claudio] Univ Barcelona, Barcelona 08034, Spain; [Bayona-Saez, Cristina; Garcia-Marco, Teresa] Univ Publ Navarra, Edificio Dept Madronos, Pamplona 31006, Spain</t>
  </si>
  <si>
    <t>University of Barcelona; Universidad Publica de Navarra</t>
  </si>
  <si>
    <t>Garcia-Marco, T (corresponding author), Univ Publ Navarra, Edificio Dept Madronos, Pamplona 31006, Spain.</t>
  </si>
  <si>
    <t>claudio.cruz@ub.edu; bayona@unavarra.es; tgmarco@unavarra.es</t>
  </si>
  <si>
    <t>García-Marco, Teresa/K-3361-2017; Bayona-Saez, Cristina/H-2570-2019</t>
  </si>
  <si>
    <t>García-Marco, Teresa/0000-0002-1088-4706; Bayona-Saez, Cristina/0000-0003-2753-2739</t>
  </si>
  <si>
    <t>Spanish Ministry of Science and Technology [ECO2010-21393-C04-03, ECO2010-21242-C03-03]; University of Barcelona [200033266]</t>
  </si>
  <si>
    <t>Spanish Ministry of Science and Technology(Ministry of Science and Innovation, Spain (MICINN)Spanish Government); University of Barcelona</t>
  </si>
  <si>
    <t>Claudio Cruz-Cazares and Teresa Garcia-Marco thank the Spanish Ministry of Science and Technology for its financial support granted through the project ECO2010-21393-C04-03. Claudio Cruz-Cazares thanks the University of Barcelona for the financial support granted through the Research Project in Social Science, modality A (ref. 200033266). Cristina Bayona-Saez also thanks to the Spanish Ministry of Science and Technology for its financial support obtained through the project ECO2010-21242-C03-03. Authors also thank to Jeremy Hall, the editor, and to the reviewers for their valuable comments and suggestions that have improved the quality of the paper.</t>
  </si>
  <si>
    <t>0923-4748</t>
  </si>
  <si>
    <t>1879-1719</t>
  </si>
  <si>
    <t>J ENG TECHNOL MANAGE</t>
  </si>
  <si>
    <t>J. Eng. Technol. Manage.</t>
  </si>
  <si>
    <t>JUL-SEP</t>
  </si>
  <si>
    <t>10.1016/j.jengtecman.2013.05.001</t>
  </si>
  <si>
    <t>222FE</t>
  </si>
  <si>
    <t>WOS:000324715100003</t>
  </si>
  <si>
    <t>Slijkhuis, JM; Rietzschel, EF; Van Yperen, NW</t>
  </si>
  <si>
    <t>Slijkhuis, J. M.; Rietzschel, Eric F.; Van Yperen, Nico W.</t>
  </si>
  <si>
    <t>How evaluation and need for structure affect motivation and creativity</t>
  </si>
  <si>
    <t>Autonomy; Electronic performance monitoring; Feedback style; Innovative behaviour; Tolerance for ambiguity</t>
  </si>
  <si>
    <t>PERSONAL NEED; INTRINSIC MOTIVATION; INDIVIDUAL-DIFFERENCES; ARTISTIC CREATIVITY; IDEA GENERATION; PERFORMANCE; FEEDBACK; BEHAVIOR; CLOSURE; WORK</t>
  </si>
  <si>
    <t>Research has shown that evaluation can have negative effects when it is perceived as controlling rather than informational. We hypothesized that Personal Need for Structure (PNS) would moderate the effects of (perceptions of) evaluative situations. Specifically, we expected that informational evaluative situations would be associated with higher motivation and higher creative performance than controlling evaluative situations, but only when PNS is low. In a field study (N = 53) and an experiment (N = 72), we showed consistently across samples, methods, and outcomes that the positive effects ofinformational evaluation only existed for individuals who were low in PNS. These findings support the reasoning that high PNS individuals tend to welcome any type of feedback because of its disambiguating potential.</t>
  </si>
  <si>
    <t>[Slijkhuis, J. M.; Rietzschel, Eric F.; Van Yperen, Nico W.] Univ Groningen, Dept Psychol, NL-9712 TS Groningen, Netherlands</t>
  </si>
  <si>
    <t>Slijkhuis, JM (corresponding author), Univ Groningen, Dept Psychol, Grote Kruisstr 2-1, NL-9712 TS Groningen, Netherlands.</t>
  </si>
  <si>
    <t>j.m.slijkhuis@rug.nl</t>
  </si>
  <si>
    <t>PSYCHOLOGY PRESS</t>
  </si>
  <si>
    <t>HOVE</t>
  </si>
  <si>
    <t>27 CHURCH RD, HOVE BN3 2FA, EAST SUSSEX, ENGLAND</t>
  </si>
  <si>
    <t>10.1080/1359432X.2011.626244</t>
  </si>
  <si>
    <t>WOS:000313630400003</t>
  </si>
  <si>
    <t>Pundt, A; Martins, E; Nerdinger, FW</t>
  </si>
  <si>
    <t>Pundt, Alexander; Martins, Erko; Nerdinger, Friedemann W.</t>
  </si>
  <si>
    <t>Innovative Behavior and the Reciprocal Exchange between Employees and Organizations</t>
  </si>
  <si>
    <t>ZEITSCHRIFT FUR PERSONALFORSCHUNG</t>
  </si>
  <si>
    <t>social exchange; employee-organization relations; innovative behavior; voice behavior; perceived organizational support</t>
  </si>
  <si>
    <t>WORK-LIFE BENEFITS; PSYCHOLOGICAL CONTRACTS; CREATIVITY; SUPPORT; VALIDATION; COMMITMENT; LEADERSHIP; CONSTRUCT; SILENCE; ISSUES</t>
  </si>
  <si>
    <t>In this study, we investigated if employees' innovative behavior can be explained in terms of social exchange between employees and organizations. We developed a research model based on the Organizational Support Theory (Eisenberger et al. 1986). The model explains how innovative behavior among employees arises out of a feeling of being obligated, vis-a-vis the organization, to provide innovation-relevant contributions. It is presumed that this feeling of obligation is the result of perceived organizational support (POS), in so far as the organization provides resources relevant to innovation. Furthermore, we presume that the effect which these provided resources have on POS is moderated by the organization's obligation to provide them. The model was examined with the help of Structural Equation Models, by way of data from a questionnaire study (N = 461). The results confirm the proposed hypotheses to a large extent. Only the moderator effect remained unsubstantiated.</t>
  </si>
  <si>
    <t>[Pundt, Alexander; Martins, Erko; Nerdinger, Friedemann W.] Univ Rostock, Lehrstuhl Wirtschafts &amp; Org Psychol, D-18057 Rostock, Germany</t>
  </si>
  <si>
    <t>University of Rostock</t>
  </si>
  <si>
    <t>Pundt, A (corresponding author), Univ Rostock, Lehrstuhl Wirtschafts &amp; Org Psychol, Ulmenstr 69, D-18057 Rostock, Germany.</t>
  </si>
  <si>
    <t>alexander.pundt@uni-rostock.de</t>
  </si>
  <si>
    <t>RAINER HAMPP VERLAG</t>
  </si>
  <si>
    <t>MERING</t>
  </si>
  <si>
    <t>MERINGERZELLERSTR 10, MERING, D-86415, GERMANY</t>
  </si>
  <si>
    <t>0179-6437</t>
  </si>
  <si>
    <t>1862-0000</t>
  </si>
  <si>
    <t>Z PERSONALFORSCH</t>
  </si>
  <si>
    <t>Z. Personalforsch.</t>
  </si>
  <si>
    <t>10.1688/1862-0000_ZfP_2010_02_Pundt</t>
  </si>
  <si>
    <t>627KY</t>
  </si>
  <si>
    <t>WOS:000280039600005</t>
  </si>
  <si>
    <t>Vaz, MTD; Cesario, M; Fernandes, S</t>
  </si>
  <si>
    <t>Interaction between innovation in small firms and their environments: An exploratory study</t>
  </si>
  <si>
    <t>Small food firms make up an important sector in the European economy and are particularly significant in rural areas where they are potential sources of employment and growth. Despite this, their behaviour as regards innovation has been relatively little studied to date. This exploratory investigation finds different types of innovative behaviours among small agro-food firms in peripheral regions and identifies some of the factors with which they are associated. The research reported here is based on a sample of 323 small and very small food and drink (hereafter 'food) firms drawn from I I regions in six European countries. The food industry is generally regarded as a mature, low-technology industry, but this study identifies different clusters of small food firms according to innovative behaviours. It finds that, although a substantial number of firms may be defined as non-innovators, by far the largest cluster of food firms is involved in multiple forms of innovative activity. Recent studies have demonstrated the complexity of the determinants of technological progress. This may be modelled as a learning process in which small innovative firms tend to draw on internal and external sources of expertise and are both influenced by and influence the broader socio-economic environment in which they operate. This study uses cluster analyses to identify four types of innovative behaviours and examines the factors influencing these. It takes first steps to incorporate both measures of innovative capacity at the firm level as well as of the local development environment in order to explore links between the innovative capacity of small food firms and the characteristics of their regional contexts.</t>
  </si>
  <si>
    <t>Univ Algarve, Fac Econ, P-8000117 Faro, Portugal</t>
  </si>
  <si>
    <t>Universidade do Algarve</t>
  </si>
  <si>
    <t>Vaz, MTD (corresponding author), Univ Algarve, Fac Econ, Campus Gambelas, P-8000117 Faro, Portugal.</t>
  </si>
  <si>
    <t>mtvaz@ualg.pt</t>
  </si>
  <si>
    <t>Cesário, Marisa/E-9734-2019</t>
  </si>
  <si>
    <t>Cesário, Marisa/0000-0001-7832-6949; Fernandes, Silvia/0000-0002-1699-5415; de Noronha, Maria Teresa/0000-0003-1308-1252</t>
  </si>
  <si>
    <t>10.1080/09654310500339893</t>
  </si>
  <si>
    <t>005ED</t>
  </si>
  <si>
    <t>WOS:000234804500007</t>
  </si>
  <si>
    <t>Peters, J</t>
  </si>
  <si>
    <t>Buyer market power and innovative activities - Evidence for the German automobile industry</t>
  </si>
  <si>
    <t>REVIEW OF INDUSTRIAL ORGANIZATION</t>
  </si>
  <si>
    <t>appropriability; automobile industry; buyer market power; innovation</t>
  </si>
  <si>
    <t>VERTICAL INTEGRATION; OPPORTUNITY; NETWORKS; FIRMS</t>
  </si>
  <si>
    <t>This empirical paper deals with the effects of supplier and buyer market concentration on the innovative behavior of suppliers within the German automobile industry. The data set contains firms from all size classes and covers measures of innovation input as well as innovation output. It can be shown that (a) firms' innovation and R &amp; D-employment intensity will decline (increase) in buyer concentrations if supplier markets are low (high) concentrated; (b) buyers' pressure on input prices reduces suppliers' innovation expenditures and their incentive to develop new products; (c) a small number of competitors in suppliers markets and a large stock of customers stimulates innovative behavior; (d) small and medium sized suppliers invest more in their innovative activities but have less probability of realizing innovations than larger firms; and (e) higher technological capabilities lead to higher innovation input and output.</t>
  </si>
  <si>
    <t>Deutsch Bahn AG, Corp Dev Transport &amp; Econ, D-10179 Berlin, Germany</t>
  </si>
  <si>
    <t>Deutsche Bahn</t>
  </si>
  <si>
    <t>Peters, J (corresponding author), Deutsch Bahn AG, Corp Dev Transport &amp; Econ, Holzmarktstr 17, D-10179 Berlin, Germany.</t>
  </si>
  <si>
    <t>0889-938X</t>
  </si>
  <si>
    <t>REV IND ORGAN</t>
  </si>
  <si>
    <t>Rev. Ind. Organ.</t>
  </si>
  <si>
    <t>10.1023/A:1007731916317</t>
  </si>
  <si>
    <t>Economics; Management</t>
  </si>
  <si>
    <t>268KT</t>
  </si>
  <si>
    <t>WOS:000084413400002</t>
  </si>
  <si>
    <t>Leppaaho, T; Ritala, P</t>
  </si>
  <si>
    <t>Leppaaho, Tanja; Ritala, Paavo</t>
  </si>
  <si>
    <t>Surviving the coronavirus pandemic and beyond: Unlocking family firms' innovation potential across crises</t>
  </si>
  <si>
    <t>JOURNAL OF FAMILY BUSINESS STRATEGY</t>
  </si>
  <si>
    <t>Family firms; Family business; Crisis management; COVID-19; Coronavirus pandemic; Innovation</t>
  </si>
  <si>
    <t>SOCIOEMOTIONAL WEALTH; PUNCTUATED EQUILIBRIUM; PARADOX; EXPLORATION; MANAGEMENT; EXPLOITATION</t>
  </si>
  <si>
    <t>In this research note, we examine Finnboat, a traditional Finnish family firm, from the interrelated perspectives of crisis behavior and innovation. The firm under study has endured three major crises: the economic recession of the 1990s, the 2008-2009 financial crisis, and the coronavirus pandemic. Our study shows that Finnboat has undertaken only very modest, if any, innovations during stable periods but has conducted a series of radical business-model and technology innovations, triggered by the different crises. This finding implies that during crises, a risk-averse family firm can productively engage into risk-taking and innovative behavior, effectively engaging in a preference reversal. We also find evidence of a deliberate accumulation of slack resources during periods of calm, which are mobilized to back up innovation and renewal efforts when a crisis hits. Our findings highlight family firms' potential to endure crises by adopting a temporal separation logic to the risk-aversion vs. risk-taking paradox, and relatedly, by strategically managing the resource portfolio. Based on the case study, we suggest several research directions, approaches, and methodologies for studying family firm behavior and change during and in-between crises.</t>
  </si>
  <si>
    <t>[Leppaaho, Tanja; Ritala, Paavo] LUT Univ, Sch Business &amp; Management, POB 20, Lappeenranta 53851, Finland</t>
  </si>
  <si>
    <t>Leppaaho, T (corresponding author), LUT Univ, Sch Business &amp; Management, POB 20, Lappeenranta 53851, Finland.</t>
  </si>
  <si>
    <t>tanja.leppaaho@lut.fi; paavo.ritala@lut.fi</t>
  </si>
  <si>
    <t>Leppaaho, Tanja/0000-0001-5446-6269</t>
  </si>
  <si>
    <t>Academy of Finland [308667, 1.1.2017-31.7.2022]; Academy of Finland (AKA) [308667] Funding Source: Academy of Finland (AKA)</t>
  </si>
  <si>
    <t>Academy of Finland(Academy of Finland); Academy of Finland (AKA)(Academy of FinlandFinnish Funding Agency for Technology &amp; Innovation (TEKES))</t>
  </si>
  <si>
    <t>We want to cordially thank the financial assistance by the Foundation for Economic Education and the Academy of Finland (grant number 308667, 434 485 EUR, 1.1.2017-31.7.2022) .</t>
  </si>
  <si>
    <t>1877-8585</t>
  </si>
  <si>
    <t>1877-8593</t>
  </si>
  <si>
    <t>J FAM BUS STRATEG</t>
  </si>
  <si>
    <t>J. Fam. Bus. Strateg.</t>
  </si>
  <si>
    <t>10.1016/j.jfbs.2021.100440</t>
  </si>
  <si>
    <t>MAR 2022</t>
  </si>
  <si>
    <t>0A9TN</t>
  </si>
  <si>
    <t>WOS:000774288400007</t>
  </si>
  <si>
    <t>Ali, M; Li, Z; Khan, S; Shah, SJ; Ullah, R</t>
  </si>
  <si>
    <t>Ali, Mudassar; Li, Zhang; Khan, Salim; Shah, Syed Jamal; Ullah, Rizwan</t>
  </si>
  <si>
    <t>Linking humble leadership and project success: the moderating role of top management support with mediation of team-building</t>
  </si>
  <si>
    <t>Leadership behavior; Project success; Top management; Project team effectiveness</t>
  </si>
  <si>
    <t>TRANSFORMATIONAL LEADERSHIP; DEVELOPMENT INTERVENTIONS; INNOVATIVE BEHAVIOR; HUMILITY; CONSERVATION; RESOURCES; EMPOWERMENT; PERSPECTIVE; PERFORMANCE; MODEL</t>
  </si>
  <si>
    <t>Purpose This paper aims to examine the impact of humble leadership on project success. The authors propose that such an effect is mediated by team-building, and top management support moderates the direct relationship (humble leadership and project success) as well as an indirect relationship through team-building. Design/methodology/approach Data were collected from 337 individuals employed in the information technology sector of Pakistan. A two-step approach consisting confirmatory factor analysis and structural equation modeling was used for analysis. To examine conditional direct and indirect effects, the authors utilized model 8 in PROCESS. Findings The results showed that humble leadership is positively related to project success. Furthermore, team-building partially mediates the relationship between humble leadership and project success. Moreover, top management support was anticipated to have a moderating effect on the direct and indirect link (via team-building) between humble leadership and project success. Originality/value Drawing on the conservation of resources theory, this study found that how humble leadership is vital for project success, and thus, extends the utility of the concept of humble leadership to the project literature.</t>
  </si>
  <si>
    <t>[Ali, Mudassar; Li, Zhang; Khan, Salim; Ullah, Rizwan] Harbin Inst Technol, Sch Management, Harbin, Peoples R China; [Shah, Syed Jamal] Shanghai Jiao Tong Univ, Antai Coll Econ &amp; Management, Shanghai, Peoples R China</t>
  </si>
  <si>
    <t>Harbin Institute of Technology; Shanghai Jiao Tong University</t>
  </si>
  <si>
    <t>Li, Z (corresponding author), Harbin Inst Technol, Sch Management, Harbin, Peoples R China.</t>
  </si>
  <si>
    <t>zhanglihit@hit.edu.cn</t>
  </si>
  <si>
    <t>ali, Mudassar/AAP-8451-2021; Shah, Syed Jamal/AAA-1694-2021</t>
  </si>
  <si>
    <t>ali, Mudassar/0000-0002-8869-2421; Shah, Syed Jamal/0000-0001-8296-0790; Khan, Salim/0000-0003-4569-1346</t>
  </si>
  <si>
    <t>National Natural Science Foundation of China [71772052]</t>
  </si>
  <si>
    <t>This research is supported by the National Natural Science Foundation of China (71772052)</t>
  </si>
  <si>
    <t>APR 6</t>
  </si>
  <si>
    <t>10.1108/IJMPB-01-2020-0032</t>
  </si>
  <si>
    <t>RK2GN</t>
  </si>
  <si>
    <t>WOS:000562874800001</t>
  </si>
  <si>
    <t>Ding, H; Yu, EH</t>
  </si>
  <si>
    <t>Ding, He; Yu, Enhai</t>
  </si>
  <si>
    <t>Follower Strengths-based Leadership and Follower Innovative Behavior: The Roles of Core Self-evaluations and Psychological Well-being</t>
  </si>
  <si>
    <t>JOURNAL OF WORK AND ORGANIZATIONAL PSYCHOLOGY-REVISTA DE PSICOLOGIA DEL TRABAJO Y DE LAS ORGANIZACIONES</t>
  </si>
  <si>
    <t>Followers' strengths-based; leadership; Psychological well-being; Core self-evaluations; Innovative behavior</t>
  </si>
  <si>
    <t>TRANSFORMATIONAL LEADERSHIP; INDIVIDUAL INNOVATION; BENEVOLENT LEADERSHIP; LIFE SATISFACTION; JOB-PERFORMANCE; MODERATING ROLE; MEDIATING ROLE; WORK; MODEL; IMPACT</t>
  </si>
  <si>
    <t>This study investigated the relationship between followers' strengths-based leadership (FSBL) and innovative behavior and the mediating role of psychological well-being (PWB) and the moderating role of core self-evaluations (CSE) in the relationship. In order to test our hypotheses data from Chinese enterprises were used. Results of multiple linear regression and bootstrapping analyses showed that FSBL is positively related to follower innovative behavior and PWB significantly mediates the FSBL-innovative behavior relationship. In addition, CSE negatively moderates the direct effect of FSBL on PWB and the indirect effect of FSBL on innovative behavior via PWB such that the direct effect of FSBL on PWB and the indirect effect of FSBL on innovative behavior via PWB will be stronger for followers with a low level of CSE rather than for followers with a high level of CSE. Theoretical implications, practical implications and future research were also discussed.</t>
  </si>
  <si>
    <t>[Ding, He; Yu, Enhai] North China Elect Power Univ, Beijing, Peoples R China</t>
  </si>
  <si>
    <t>North China Electric Power University</t>
  </si>
  <si>
    <t>Yu, EH (corresponding author), North China Elect Power Univ, Beijing, Peoples R China.</t>
  </si>
  <si>
    <t>yenh@ncepu.edu.cn</t>
  </si>
  <si>
    <t>DING, HE/K-8983-2018</t>
  </si>
  <si>
    <t>COLEGIO OFICIAL PSICOLOGOS MADRID</t>
  </si>
  <si>
    <t>MADRID</t>
  </si>
  <si>
    <t>C/CUESTA SAN VICENTE, NO 4, 6 PLANTA, MADRID, 28008, SPAIN</t>
  </si>
  <si>
    <t>1576-5962</t>
  </si>
  <si>
    <t>2174-0534</t>
  </si>
  <si>
    <t>J WORK ORGAN PSYCHOL</t>
  </si>
  <si>
    <t>J. Work Organ. Psychol.</t>
  </si>
  <si>
    <t>10.5093/jwop2020a8</t>
  </si>
  <si>
    <t>MU2BC</t>
  </si>
  <si>
    <t>gold, Green Submitted</t>
  </si>
  <si>
    <t>WOS:000555476100003</t>
  </si>
  <si>
    <t>Zhu, CL; Zhang, FL</t>
  </si>
  <si>
    <t>Zhu, Chunling; Zhang, Fangliang</t>
  </si>
  <si>
    <t>How does servant leadership fuel employee innovative behavior? A moderated mediation framework</t>
  </si>
  <si>
    <t>innovative behavior; knowledge sharing; learning goal orientation; organizational identification; servant leadership</t>
  </si>
  <si>
    <t>ORGANIZATIONAL IDENTIFICATION; GOAL ORIENTATION; KNOWLEDGE; PERFORMANCE; CREATIVITY; ATTITUDES; INTEGRATION; EXCHANGE; CLIMATE</t>
  </si>
  <si>
    <t>This research seeks to contribute to leadership theory by proposing an integrative framework to reveal how servant leadership and employee cognitive factors foster the conditions that promote employee innovative behavior. Building on social cognitive theory, we hypothesize that servant leadership improves employee innovative behavior through inspiring employee knowledge-sharing. We predict that employee organizational identification strengthens the impact of servant leadership on knowledge-sharing, and that employee learning goal orientation amplifies the relationship between employee knowledge-sharing and innovative behavior. We also propose that the positive indirect effect of servant leadership on employee innovative behavior via knowledge-sharing is strongest when both moderators are at a high level. Using data collected from 215 supervisor-employee dyads from three private high-tech firms in China and a multisource and multiphase research design, we find support for our proposed model. Theoretical and managerial implications for leadership and management practices are also discussed.</t>
  </si>
  <si>
    <t>[Zhu, Chunling] Renmin Univ China, Dept Gen Management, Sch Business, Beijing, Peoples R China; [Zhang, Fangliang] Renmin Univ China, Sch Business, Beijing, Peoples R China</t>
  </si>
  <si>
    <t>Renmin University of China; Renmin University of China</t>
  </si>
  <si>
    <t>Zhu, CL (corresponding author), Renmin Univ China, Beijing 100872, Peoples R China.</t>
  </si>
  <si>
    <t>zhuchunling@rmbs.ruc.edu.cn</t>
  </si>
  <si>
    <t>Silva, Gleibson/AAA-8482-2021</t>
  </si>
  <si>
    <t>Silva, Gleibson/0000-0003-0945-2567</t>
  </si>
  <si>
    <t>10.1111/1744-7941.12227</t>
  </si>
  <si>
    <t>MG0KS</t>
  </si>
  <si>
    <t>WOS:000545724800003</t>
  </si>
  <si>
    <t>van der Wal, Z; Demircioglu, MA</t>
  </si>
  <si>
    <t>van Der Wal, Zeger; Demircioglu, Mehmet Akif</t>
  </si>
  <si>
    <t>Public sector innovation in the Asia-pacific trends, challenges, and opportunities</t>
  </si>
  <si>
    <t>Asia-Pacific; comparative public administration; public management; public sector innovation</t>
  </si>
  <si>
    <t>ORGANIZATIONAL PERFORMANCE; E-GOVERNMENT; MANAGEMENT; POLICY; GOVERNANCE; DELIVERY; SERVICES</t>
  </si>
  <si>
    <t>Public organizations face a multitude of challenges that force them to innovate existing processes, policies, programs, and products. Indeed, in recent years, innovation has become a core topic of study in public administration. However, the vast majority of the public sector innovation literature stems from the United States and Western Europe. The lack of Asia-Pacific studies is particularly striking given that countries like Australia, China, Japan, New Zealand, South Korea, Singapore, and Taiwan consistently rank high on public sector innovation. This special issue brings together state of the art empirical research on public sector innovation in the Asia-Pacific region that examines a range of drivers and outcomes of innovation, including studies comparing Asia-Pacific countries and countries in the East and the West. The findings show that public sector employees in the studied countries all seek opportunities to innovate, whereas cultural norms and values either constrain or enable innovative behaviour and affect the extent to which employees experience leadership support for displaying such behaviour.</t>
  </si>
  <si>
    <t>[van Der Wal, Zeger; Demircioglu, Mehmet Akif] Natl Univ Singapore, Lee Kuan Yew Sch Publ Policy, 469B Bukit Timah Rd,Level 2,Li Ka Shing Bldg, Singapore 259771, Singapore</t>
  </si>
  <si>
    <t>van der Wal, Z (corresponding author), Natl Univ Singapore, Lee Kuan Yew Sch Publ Policy, 469B Bukit Timah Rd,Level 2,Li Ka Shing Bldg, Singapore 259771, Singapore.</t>
  </si>
  <si>
    <t>sppzvdw@nus.edu.sg</t>
  </si>
  <si>
    <t>Demircioglu, Mehmet Akif/0000-0003-2137-1452; Van der Wal, Zeger/0000-0002-4872-3342</t>
  </si>
  <si>
    <t>10.1111/1467-8500.12435</t>
  </si>
  <si>
    <t>NH7PP</t>
  </si>
  <si>
    <t>WOS:000541041100001</t>
  </si>
  <si>
    <t>Wang, SL; Eva, N; Newman, A; Zhou, HH</t>
  </si>
  <si>
    <t>Wang, Shuanglong; Eva, Nathan; Newman, Alexander; Zhou, Haihua</t>
  </si>
  <si>
    <t>A double-edged sword: the effects of ambidextrous leadership on follower innovative behaviors</t>
  </si>
  <si>
    <t>Ambidextrous leadership; Leadership; Job stress; Role ambiguity; Innovative behavior</t>
  </si>
  <si>
    <t>COMMON METHOD VARIANCE; TRANSACTIONAL LEADERSHIP; ROLE-CONFLICT; TRANSFORMATIONAL LEADERSHIP; INTERRATER RELIABILITY; BALANCING EXPLORATION; ROLE AMBIGUITY; WORK STRESS; PERFORMANCE; EXPLOITATION</t>
  </si>
  <si>
    <t>Despite growing work on the positive outcomes resulting from ambidextrous leadership, limited research has examined whether ambidextrous leadership always has desirable consequences on followers. In order to achieve explorative and exploitative innovation, ambidextrous leaders are required to perform two styles of leadership behaviors, namely opening and closing leadership behaviors. The present study argues that as followers are reliant on their leaders to provide them with information and clarification about the tasks, by engaging in ambidextrous leadership behaviors to try and foster innovative behaviors amongst their followers, the leader may unintendedly increase the follower's job stress and role ambiguity. Drawing on a sample of 416 leader-follower dyads, we established that while ambidextrous leadership contributes to the innovative behaviors of followers, it also increases followers' job stress and role ambiguity, which subsequently reduces innovative behaviors. The results suggest that ambidextrous leadership has two faces, enabling and burdening, which can both enhance and stifle innovative behaviors.</t>
  </si>
  <si>
    <t>[Wang, Shuanglong] Southwest Univ, Sch Econ &amp; Management, Chongqing, Peoples R China; [Eva, Nathan] Monash Univ, Monash Business Sch, Caulfield, Australia; [Newman, Alexander] Deakin Univ, Deakin Business Sch, Burwood, Australia; [Zhou, Haihua] Southwest Univ, Law Sch, Chongqing, Peoples R China</t>
  </si>
  <si>
    <t>Southwest University - China; Monash University; Deakin University; Southwest University - China</t>
  </si>
  <si>
    <t>Wang, SL (corresponding author), Southwest Univ, Sch Econ &amp; Management, Chongqing, Peoples R China.</t>
  </si>
  <si>
    <t>wangshuanglong123@aliyun.com; nathan.eva@monash.edu; a.newman@deakin.edu; zhhwsl@swu.edu.cn</t>
  </si>
  <si>
    <t>Newman, Alexander/AAH-7376-2020; Eva, Nathan/AAJ-1940-2021</t>
  </si>
  <si>
    <t>Newman, Alexander/0000-0003-1170-8947; Eva, Nathan/0000-0003-2735-977X</t>
  </si>
  <si>
    <t>10.1007/s10490-020-09714-0</t>
  </si>
  <si>
    <t>WL0UK</t>
  </si>
  <si>
    <t>WOS:000521878800001</t>
  </si>
  <si>
    <t>Slatten, T; Lien, G; Horn, CMF; Pedersen, E</t>
  </si>
  <si>
    <t>Slatten, Terje; Lien, Gudbrand; Horn, Camilla Marie Fosse; Pedersen, Erik</t>
  </si>
  <si>
    <t>The links between psychological capital, social capital, and work-related performance - A study of service sales representatives</t>
  </si>
  <si>
    <t>TOTAL QUALITY MANAGEMENT &amp; BUSINESS EXCELLENCE</t>
  </si>
  <si>
    <t>Psychological capital; Social capital; Authentic leadership; Innovative behaviour; Organisational climate; Job engagement; Frontline employees</t>
  </si>
  <si>
    <t>AUTHENTIC LEADERSHIP; ORGANIZATIONAL-CLIMATE; INNOVATIVE BEHAVIOR; ENGAGEMENT; ORIENTATION; EMPLOYEES; DETERMINANTS</t>
  </si>
  <si>
    <t>This paper explores the linkages between psychological capital (PsyCap), social capital (SosCap), and work-related performance. Specifically, our aim is twofold. First, the study examines whether and how PsyCap relates to three types of work-related performance: innovative behaviour (IB), job engagement (JE), and sales performance (SP). Second, it examines the relationship between PsyCap and the structural dimension of SosCap, which is represented in this study by the concept of authentic leadership (AL), the relational dimension of SosCap, represented by the supportive organisational climate (SOC) variable, and work-related performance, reflected in the variables IB, JE, and SP. A conceptual model was developed and tested using a survey of frontline service sales representatives of car dealerships. The findings reveal that PsyCap is directly linked to IB, JE, and SP. AL, the structural dimension of SosCap, and SOC, the relational dimension of SosCap, were both directly linked to PsyCap. The findings also reveal that the relationships between AL, SOC, IB, JE, and SP are all mediated by PsyCap. AL is directly related to SOC. The relationship between AL and PsyCap is mediated by SOC. This study indicates that PsyCap and SosCap are symbiotic resources. Specifically, it contributes fresh knowledge regarding how organisations can capitalise on the resources of PsyCap and SosCap to improve work-related performance.</t>
  </si>
  <si>
    <t>[Slatten, Terje; Lien, Gudbrand; Horn, Camilla Marie Fosse; Pedersen, Erik] Inland Norway Univ Appl Sci, Elverum, Norway</t>
  </si>
  <si>
    <t>Slatten, T (corresponding author), Inland Norway Univ Appl Sci, Elverum, Norway.</t>
  </si>
  <si>
    <t>Terje.slatten@inn.no</t>
  </si>
  <si>
    <t>1478-3363</t>
  </si>
  <si>
    <t>1478-3371</t>
  </si>
  <si>
    <t>TOTAL QUAL MANAG BUS</t>
  </si>
  <si>
    <t>Total Qual. Manag. Bus. Excell.</t>
  </si>
  <si>
    <t>SEP 27</t>
  </si>
  <si>
    <t>S195</t>
  </si>
  <si>
    <t>S209</t>
  </si>
  <si>
    <t>10.1080/14783363.2019.1665845</t>
  </si>
  <si>
    <t>SEP 2019</t>
  </si>
  <si>
    <t>JD5PH</t>
  </si>
  <si>
    <t>WOS:000486220400001</t>
  </si>
  <si>
    <t>Strobel, M; Tumasjan, A; Sporrle, M; Welpe, IM</t>
  </si>
  <si>
    <t>Strobel, Maria; Tumasjan, Andranik; Spoerrle, Matthias; Welpe, Isabell M.</t>
  </si>
  <si>
    <t>Fostering employees' proactive strategic engagement: Individual and contextual antecedents</t>
  </si>
  <si>
    <t>strategic engagement; employee involvement in strategy; discretionary behaviour; proactive behaviour; innovation; innovative behaviour</t>
  </si>
  <si>
    <t>HUMAN-RESOURCE MANAGEMENT; PERFORMANCE WORK SYSTEMS; FUTURE TIME PERSPECTIVE; REGULATORY FOCUS; ORGANIZATIONAL RESEARCH; ENVIRONMENTAL DYNAMISM; COMPETITIVE ADVANTAGE; DECISION-MAKING; JOB-PERFORMANCE; SOCIAL SUPPORT</t>
  </si>
  <si>
    <t>Proactive strategic scanning is an important aspect of employee proactivity and contributes to engaging employees in the organisation-wide strategy process. It also contributes to strategic renewal and innovation by helping to identify potential strategic opportunities and threats. However, little is known about its antecedents and how HRM may support this valuable resource. To address this gap, we develop and test a model of individual and contextual antecedents of proactive strategic scanning. We hypothesise and find a positive effect of future-focused personality on strategic scanning which is mediated by promotion-focused self-regulation at work. Moreover, we investigate how work design functions as a contextual boundary condition of this mediated effect. The effect is strengthened under high social support but is not influenced by the level of decision-making autonomy. Our findings point to specific variables which can be targeted by HRM to enhance employees' strategic engagement and innovative behaviour.</t>
  </si>
  <si>
    <t>[Strobel, Maria; Tumasjan, Andranik; Welpe, Isabell M.] Tech Univ Munich, Munich, Germany; [Strobel, Maria; Welpe, Isabell M.] Bavarian State Inst Higher Educ Res &amp; Planning, Munich, Germany; [Spoerrle, Matthias] Privatuniv Schloss Seeburg, Seekirchen, Germany</t>
  </si>
  <si>
    <t>Technical University of Munich</t>
  </si>
  <si>
    <t>Strobel, M (corresponding author), Tech Univ Munich, TUM Sch Management, Munich, Germany.</t>
  </si>
  <si>
    <t>maria.strobel@tum.de</t>
  </si>
  <si>
    <t>10.1111/1748-8583.12134</t>
  </si>
  <si>
    <t>EL5CS</t>
  </si>
  <si>
    <t>WOS:000394639800007</t>
  </si>
  <si>
    <t>Nisula, AM</t>
  </si>
  <si>
    <t>Nisula, Anna-Maija</t>
  </si>
  <si>
    <t>The relationship between supervisor support and individual improvisation</t>
  </si>
  <si>
    <t>Self-efficacy; PLS; Psychological empowerment; Supervisor support; Improvisation</t>
  </si>
  <si>
    <t>CREATIVE SELF-EFFICACY; EMPLOYEE CREATIVITY; TRANSFORMATIONAL LEADERSHIP; PSYCHOLOGICAL EMPOWERMENT; INNOVATIVE BEHAVIOR; MEDIATING ROLE; CONTEXTUAL FACTORS; WORK-ENVIRONMENT; MODERATING ROLE; PERFORMANCE</t>
  </si>
  <si>
    <t>Purpose - The purpose of this paper is to examine the effect of perceived supervisor support on individual improvisation, and the mediating role of the psychological empowerment and improvisation-related self-efficacy in that relationship. Design/methodology/approach - The data were collected in 2011 from the large municipal organization. The total sample size was 593. The partial least square analysis conducted to estimate the mediation effects of empowerment and self-efficacy on the relationship between supervisor support and individual improvisation. Findings - The findings of the study show psychological empowerment and improvisation-related self-efficacy as mechanisms through which supervisor support affects individual improvisation. Research limitations/implications - Limitation of the study is that it concerns only one organization. The study extends understanding of the factors effecting on individual improvisation in organizations and invites management to pay attention to the mechanisms through which they can affect their subordinates. In a broader sense, the results of this study suggest organizations to develop their management system to better empower their subordinates to stimulate creativity, innovation, novel solutions to face the environmental turbulence. Practical implications - The practical implications of this study invite management to pay attention to the mechanisms through which they can affect their subordinates. In a broader sense, the results of this study suggest organizations to develop their management system to better empower their subordinates, which thereby could stimulate organizational creativity, innovation, and novel solutions to face the environmental turbulence. Originality/value - The study provides originality by examining the factors effecting on individual improvisation in organizations and by examining the effect of multiple factors, both individual level-and organizational-level factors on individual-level phenomenon (improvisation). The results of the study are valuable for organizations aiming to foster organizational creativity and innovation.</t>
  </si>
  <si>
    <t>Lappeenranta Univ Technol, Sch Business, Technol Business Res Ctr, Lappeenranta, Finland</t>
  </si>
  <si>
    <t>Lappeenranta University of Technology</t>
  </si>
  <si>
    <t>Nisula, AM (corresponding author), Lappeenranta Univ Technol, Sch Business, Technol Business Res Ctr, Lappeenranta, Finland.</t>
  </si>
  <si>
    <t>anna-maija.nisula@lut.fi</t>
  </si>
  <si>
    <t>10.1108/LODJ-07-2013-0098</t>
  </si>
  <si>
    <t>WOS:000357420600002</t>
  </si>
  <si>
    <t>Millot, S; Nilsson, J; Fosseidengen, JE; Begout, ML; Ferno, A; Braithwaite, VA; Kristiansen, TS</t>
  </si>
  <si>
    <t>Millot, Sandie; Nilsson, Jonatan; Fosseidengen, Jan Erik; Begout, Marie-Laure; Ferno, Anders; Braithwaite, Victoria A.; Kristiansen, Tore S.</t>
  </si>
  <si>
    <t>Innovative behaviour in fish: Atlantic cod can learn to use an external tag to manipulate a self-feeder</t>
  </si>
  <si>
    <t>ANIMAL COGNITION</t>
  </si>
  <si>
    <t>Innovation; Learning; Cognitive ability; Tool use; Atlantic cod; Food acquisition</t>
  </si>
  <si>
    <t>TOOL USE</t>
  </si>
  <si>
    <t>This study describes how three individual fish, Atlantic cod (Gadus morhua L.), developed a novel behaviour and learnt to use a dorsally attached external tag to activate a self-feeder. This behaviour was repeated up to several hundred times, and over time these fish fine-tuned the behaviour and made a series of goal-directed coordinated movements needed to attach the feeder's pull string to the tag and stretch the string until the feeder was activated. These observations demonstrate a capacity in cod to develop a novel behaviour utilizing an attached tag as a tool to achieve a goal. This may be seen as one of the very few observed examples of innovation and tool use in fish.</t>
  </si>
  <si>
    <t>[Millot, Sandie; Begout, Marie-Laure] IFREMER, F-17137 Lhoumeau, France; [Nilsson, Jonatan; Fosseidengen, Jan Erik; Kristiansen, Tore S.] Inst Marine Res, N-5817 Bergen, Norway; [Ferno, Anders] Univ Bergen, Dept Biol, N-5020 Bergen, Norway; [Braithwaite, Victoria A.] Penn State Univ, Dept Ecosyst Sci &amp; Management, University Pk, PA 16802 USA</t>
  </si>
  <si>
    <t>Ifremer; Institute of Marine Research - Norway; University of Bergen; Pennsylvania Commonwealth System of Higher Education (PCSHE); Pennsylvania State University; Pennsylvania State University - University Park</t>
  </si>
  <si>
    <t>Millot, S (corresponding author), IFREMER, Pl Gaby Coll BP 7, F-17137 Lhoumeau, France.</t>
  </si>
  <si>
    <t>sandiemillot@yahoo.fr</t>
  </si>
  <si>
    <t>Kristiansen, Tore/ABC-7142-2020; Begout, Marie-Laure/L-7730-2019</t>
  </si>
  <si>
    <t>Begout, Marie-Laure/0000-0003-1416-3479; Kristiansen, Tore S/0000-0001-5904-0224</t>
  </si>
  <si>
    <t>Institute of Marine Research, Norway; Research Council of Norway; Commission of the European Communities, through Cost Action [867]</t>
  </si>
  <si>
    <t>Institute of Marine Research, Norway; Research Council of Norway(Research Council of Norway); Commission of the European Communities, through Cost Action</t>
  </si>
  <si>
    <t>This study has been carried out with financial support from Institute of Marine Research, Norway, Research Council of Norway, and the Commission of the European Communities, through Cost Action 867, Short Term Scientific Mission allocated to S. M. We would like to thank Stein Mortensen for the drawings in Fig. 1. We are grateful to two anonymous referees and to editor for their valuable comments.</t>
  </si>
  <si>
    <t>1435-9448</t>
  </si>
  <si>
    <t>1435-9456</t>
  </si>
  <si>
    <t>ANIM COGN</t>
  </si>
  <si>
    <t>Anim. Cogn.</t>
  </si>
  <si>
    <t>10.1007/s10071-013-0710-3</t>
  </si>
  <si>
    <t>AF1UJ</t>
  </si>
  <si>
    <t>WOS:000334499100024</t>
  </si>
  <si>
    <t>Chang, LC; Liu, CH; Yen, EHW</t>
  </si>
  <si>
    <t>Chang, Li-Chun; Liu, Chieh-Hsing; Yen, Edwin Han-Wen</t>
  </si>
  <si>
    <t>Effects of an empowerment-based education program for public health nurses in Taiwan</t>
  </si>
  <si>
    <t>JOURNAL OF CLINICAL NURSING</t>
  </si>
  <si>
    <t>competence; empowerment-based education; innovative behaviour; job productivity; psychological empowerment; public health nurses</t>
  </si>
  <si>
    <t>PSYCHOLOGICAL EMPOWERMENT; EMPIRICAL-TEST; JOB; WORKPLACE; COMMUNITY; MODEL; PRODUCTIVITY; SATISFACTION</t>
  </si>
  <si>
    <t>Aim and objectives. The aim of this study was to examine the effects of an empowerment-based education program (EBEP) on employee empowerment, job satisfaction, job productivity and innovative behaviours for public health nurses (PHN) in Taiwan. Background. Empowerment is an important consideration among nurses trying to function in ever-changing health care and education settings. Several studies focused on the trend of public health nursing revealed that PHN have experienced a severe feeling of powerlessness. Developing empowerment strategies through organisations may be a means of helping employees recognise powerlessness in difficult situations and take appropriate action. Design. Quasi-experimental design. Methods. PHN in two health bureaus in Taiwan were assigned into an empowerment group (n = 29) and a control group (n = 32). Twenty-four hours of the EBEP lasted four weeks included four empowerment classes and four group workshops following each curriculum for PHN to apply principles of empowerment in their work environment. Data were collected at baseline and four weeks after the intervention. Analysis of covariance (ANCOVA) was used to examine the intervention effect. Results. The experimental group reported significantly higher psychological empowerment [F (1,47) = 5.09, MSE = 3.25, p = 0.001, eta(2) = 0.18] and competence [F (1,47) = 3.96, MSE = 28.78, p = 0.05, eta(2) = 0.22] and impact [F (1,47) = 4.98, MSE = 44.79, p = 0.002, eta(2) = 0.20] subscales, job productivity [F (1,47) = 4.88, MSE = 5.18, p = 0.002, eta(2) = 0.19] and innovative behaviours [F (1,47) = 5.09, MSE = 3.25, p = 0.001, eta(2) = 0.24] than the control group after the EBEP. Conclusion. The EBEP had significant effect on psychological empowerment and subscales of competence and impact, innovative behaviour and job productivity but no effect on organisational empowerment and job satisfaction for PHN. Relevance to clinical practice. Our findings suggest public health administration could design empowerment-based education to improve employee empowerment and job productivity for PHN. Furthermore, using multiple components to design empowerment education should be considered in further studies.</t>
  </si>
  <si>
    <t>[Chang, Li-Chun] Chang Gung Inst Technol, Dept Nursing, Tao Yuan 33303, Taiwan; [Liu, Chieh-Hsing; Yen, Edwin Han-Wen] Natl Taiwan Normal Univ, Dept Hlth Educ, Taipei, Taiwan</t>
  </si>
  <si>
    <t>Chang Gung University of Science &amp; Technology; National Taiwan Normal University</t>
  </si>
  <si>
    <t>0962-1067</t>
  </si>
  <si>
    <t>1365-2702</t>
  </si>
  <si>
    <t>J CLIN NURS</t>
  </si>
  <si>
    <t>J. Clin. Nurs.</t>
  </si>
  <si>
    <t>10.1111/j.1365-2702.2008.02387.x</t>
  </si>
  <si>
    <t>349UW</t>
  </si>
  <si>
    <t>WOS:000259309800013</t>
  </si>
  <si>
    <t>Coombs, R; Tomlinson, M</t>
  </si>
  <si>
    <t>Patterns in UK company innovation styles: New evidence from the CBI innovation trends survey</t>
  </si>
  <si>
    <t>This paler reports on the results of an analysis at Centre for Research on Innovation and Competition (CRIC) of the data from the 1996 and 1997 Survey of Innovation Trends conducted by the Confederation of British Industry (CBI) in conjunction with the NatWest Bank in the UK: This is one of the few direct surveys of innovation activity, as opposed to R&amp;D and patenting activity, which; conducted in the UK: It is characterized by the fact that it asks responding firms to report on trends in a wide variety of aspects of their innovative behaviour. The central feature of the analysis in this paper ir a factor analysis of the answers to a set of 15 questions on different aspects of innovative behaviour. This results in a three-factor solution which reveals three distinct 'styles' of innovation in the behaviour of respondents. These three styles are shown to be broadly applicable to both manufacturing industry firms and service industry firms In the sample, thus revealing a dimension of innovation in the service sector which is not so readily disclosed by analysis of R&amp;D or patent statistics. Statistical modelling of the constraints and incentives influencing innovation shows that while constraints do not appear to be very significant, competitive pressure and the utilization of collaborative linkages are strongly positively associated with innovation, and especially with a more radical style of innovation. The paper concludes that the CBI survey provides data about innovation in the UK which are not easily provided through other means. Its format allows certain aspects of innovation-particularly the similarities and differences between manufacturing and services-to be examined in an interesting way.</t>
  </si>
  <si>
    <t>Univ Manchester, Inst Sci &amp; Technol, Manchester Sch Management, Manchester M60 1QD, Lancs, England</t>
  </si>
  <si>
    <t>N8 Research Partnership; RLUK- Research Libraries UK; University of Manchester</t>
  </si>
  <si>
    <t>Coombs, R (corresponding author), Univ Manchester, Inst Sci &amp; Technol, Manchester Sch Management, POB 88, Manchester M60 1QD, Lancs, England.</t>
  </si>
  <si>
    <t>10.1080/09537329808524318</t>
  </si>
  <si>
    <t>127FH</t>
  </si>
  <si>
    <t>WOS:000076339600002</t>
  </si>
  <si>
    <t>ANDERSON, JR; FORNASIERI, I; LUDES, E; ROEDER, JJ</t>
  </si>
  <si>
    <t>SOCIAL PROCESSES AND INNOVATIVE BEHAVIOR IN CHANGING GROUPS OF LEMUR-FULVUS</t>
  </si>
  <si>
    <t>BEHAVIOURAL PROCESSES</t>
  </si>
  <si>
    <t>SOCIAL LEARNING; LEMUR-FULVUS; DOMINANCE; INDIVIDUAL DIFFERENCES</t>
  </si>
  <si>
    <t>RESPONSES; CATTA</t>
  </si>
  <si>
    <t>A group of brown lemurs was presented with one or two baited food-boxes requiring a specific type of motor response in order to be opened. Subsequently, four groups containing different combinations of experienced individuals from the original group and naive individuals were tested. Solutions to the problem and access to the food were recorded and considered in relation to social factors. In the original group, two adult males learned to open the boxes, with one male increasingly preventing the other from approaching. In the second group, with the subordinate male and certain females removed, the dominant male tolerated successful performances by a juvenile female. Group 3 consisted of three passive female participants from the original group and a naive female; one of the three original females now became the sole box-opener. The introduction of the subordinate male from the original group into the all-female group led to a sharing of box-opening by this subject and the skilled female. In the final group, intense aggression toward the skilled female by a new, naive adult male resulted in two previously passive females succeeding on some occasions. In lemurs, at least some 'scroungers' appear able to learn to perform a new act when the social context permits.</t>
  </si>
  <si>
    <t>ANDERSON, JR (corresponding author), UNIV STRASBOURG 1,PSYCHOPHYSIOL LAB,CNRS,URA 1295,7 RUE UNIV,F-67070 STRASBOURG,FRANCE.</t>
  </si>
  <si>
    <t>0376-6357</t>
  </si>
  <si>
    <t>BEHAV PROCESS</t>
  </si>
  <si>
    <t>Behav. Processes</t>
  </si>
  <si>
    <t>10.1016/0376-6357(92)90020-E</t>
  </si>
  <si>
    <t>Psychology, Biological; Behavioral Sciences; Zoology</t>
  </si>
  <si>
    <t>Psychology; Behavioral Sciences; Zoology</t>
  </si>
  <si>
    <t>JM252</t>
  </si>
  <si>
    <t>WOS:A1992JM25200004</t>
  </si>
  <si>
    <t>Kracht, CL; Katzmarzyk, PT; Staiano, AE</t>
  </si>
  <si>
    <t>Kracht, Chelsea L.; Katzmarzyk, Peter T.; Staiano, Amanda E.</t>
  </si>
  <si>
    <t>Household chaos, family routines, and young child movement behaviors in the US during the COVID-19 outbreak: a cross-sectional study</t>
  </si>
  <si>
    <t>BMC PUBLIC HEALTH</t>
  </si>
  <si>
    <t>Exercise; Television; Parent; Coronavirus; Pandemic</t>
  </si>
  <si>
    <t>PHYSICAL-ACTIVITY; SEDENTARY BEHAVIOR; BEDTIME ROUTINE; SLEEP PROBLEMS; AGED CHILDREN; GUIDELINES; OBESITY; ASSOCIATIONS; PREVALENCE; HABITS</t>
  </si>
  <si>
    <t>Background The home environment is an important facilitator of young child movement behaviors, including physical activity (PA), sleep, and screen-time. Household chaos, characterized by crowding, noise, and disorder in the home, may hinder efforts to obtain adequate amounts of movement behaviors. The COVID-19 outbreak impacted many families, and social distancing during this time may create conditions for more household chaos. Family routines can help establish order in the home and encourage an appropriate balance of movement behaviors, such as less screen-time and more sleep. The purpose of this study was to evaluate the association between household chaos and young child movement behaviors during the COVID-19 outbreak in the United States, and the role of family routines in this relationship. Methods A national online survey including 1836 mothers of preschoolers (3.0-5.9 years) was conducted during May 2020. Mothers reported demographic characteristics, household chaos, family routines, and the preschooler's movement behaviors during the outbreak. Mothers completed a household chaos questionnaire and were grouped into chaos categories (low, moderate/low, moderate/high, and high) for analysis. Linear regression was used to assess the association between chaos category, family routines, and movement behaviors with adjustment for covariates. Results Mothers were 35.9 +/- 4.1 years of age, middle income (47.8%), and preschoolers were 3.8 +/- 0.8 years of age. Most mothers reported their preschooler was less physically active (38.9%), slept the same amount of time (52.1%), and increased their screen-time (74.0%) after the COVID-19 outbreak. Preschoolers in the high chaos households performed less total PA (beta = - 0.36 days/week, 95% CI:-0.62 to - 0.09, p = 0.008), slept less (beta = - 0.42 h, 95% CI:-0.59 to - 0.25, p = 0.001) and had more screen-time (beta = 0.69 h, 95% CI:0.45 to 0.92, p = 0.001) compared to those in low chaos households. In most chaos categories, having a bed-time ritual was related to more child sleep, and mothers who viewed routines as less/not important reported more preschooler screen-time compared to mothers who viewed routines as very important. Conclusion Promoting bed-time rituals and prioritizing routines, even somewhat, may be related to an improved balance of child movement behaviors. Innovative measures are needed to support families during periods of disruption such as that experienced in the COVID-19 pandemic.</t>
  </si>
  <si>
    <t>[Kracht, Chelsea L.; Katzmarzyk, Peter T.; Staiano, Amanda E.] Pennington Biomed Res Ctr, 6400 Perkins Rd, Baton Rouge, LA 70808 USA</t>
  </si>
  <si>
    <t>Louisiana State University System; Louisiana State University; Pennington Biomedical Research Center</t>
  </si>
  <si>
    <t>Staiano, AE (corresponding author), Pennington Biomed Res Ctr, 6400 Perkins Rd, Baton Rouge, LA 70808 USA.</t>
  </si>
  <si>
    <t>Amanda.Staiano@pbrc.edu</t>
  </si>
  <si>
    <t>Staiano, Amanda E/H-3956-2017</t>
  </si>
  <si>
    <t>Staiano, Amanda E/0000-0001-7846-046X</t>
  </si>
  <si>
    <t>National Institute of Diabetes and Digestive and Kidney Diseases of the NIH [T32DK064584]; Marie Edana Corcoran Chair in Pediatric Obesity and Diabetes; NIH - Nutrition Obesity Research Center [2P30 DK072476]; NIH - Louisiana Clinical and Translational Science Center [U54 GM104940]</t>
  </si>
  <si>
    <t>National Institute of Diabetes and Digestive and Kidney Diseases of the NIH(United States Department of Health &amp; Human ServicesNational Institutes of Health (NIH) - USANIH National Institute of Diabetes &amp; Digestive &amp; Kidney Diseases (NIDDK)); Marie Edana Corcoran Chair in Pediatric Obesity and Diabetes; NIH - Nutrition Obesity Research Center; NIH - Louisiana Clinical and Translational Science Center</t>
  </si>
  <si>
    <t>CLK was supported by T32DK064584 from the National Institute of Diabetes and Digestive and Kidney Diseases of the NIH. PTK was funded, in part, by the Marie Edana Corcoran Chair in Pediatric Obesity and Diabetes. This research was funded, in part, by NIH grants #2P30 DK072476 which funds the Nutrition Obesity Research Center, and #U54 GM104940 which funds the Louisiana Clinical and Translational Science Center. The content is solely the responsibility of the authors and does not necessarily represent the official views of the NIH. The funders played no role in design of the study and collection, analysis, and interpretation of data and in writing the manuscript.</t>
  </si>
  <si>
    <t>1471-2458</t>
  </si>
  <si>
    <t>BMC Public Health</t>
  </si>
  <si>
    <t>10.1186/s12889-021-10909-3</t>
  </si>
  <si>
    <t>Public, Environmental &amp; Occupational Health</t>
  </si>
  <si>
    <t>SK4AB</t>
  </si>
  <si>
    <t>WOS:000656159300002</t>
  </si>
  <si>
    <t>Ye, PH; Liu, LQ; Tan, JS</t>
  </si>
  <si>
    <t>Ye, Pinghao; Liu, Liqiong; Tan, Joseph</t>
  </si>
  <si>
    <t>Creative leadership, innovation climate and innovation behaviour: the moderating role of knowledge sharing in management</t>
  </si>
  <si>
    <t>Knowledge sharing; Innovation climate; Creative leadership ability; Risk-taking climate; Emotional reaction to imposed change</t>
  </si>
  <si>
    <t>PERCEIVED ORGANIZATIONAL SUPPORT; TRANSFORMATIONAL LEADERSHIP; MEMBER EXCHANGE; JOB-PERFORMANCE; TRANSACTIONAL LEADERSHIP; INDIVIDUAL INNOVATION; EMPLOYEE CREATIVITY; ETHICAL LEADERSHIP; GOAL ORIENTATIONS; WORK</t>
  </si>
  <si>
    <t>Purpose Innovation, in most enterprises, originates from employees. In this study, how organizational climate, creative leadership ability and emotional reaction to imposed change impact on innovative behaviour of employees vis-a-vis knowledge sharing within the workplace is explored. Design/methodology/approach Adopting a social cognitive perspective, a model is constructed to explain factors influencing the innovation behaviour of employees along two key aspects, that is, organizational climate (innovation vs risk-taking climate) and creative leadership ability (leadership skills, vision incentive) vis-a-vis other moderating factors. A survey questionnaire, administered to a total of 311 manufacturing employees in China, was used to verify the proposed research model via Smart PLS. Findings Results unveil several key factors impacting positively on creative leadership in organizations. Specifically, creative leadership ability, emotional reaction to imposed change, innovation climate and knowledge sharing are found to impact positively on innovation behaviour while supportive versus risk-taking climate as well as emotional reaction are found to impact positively on innovation climate. Additionally, knowledge sharing is found to regulate the relationship between innovation climate and innovation behaviour. Research limitations/implications While offering insights into the antecedent factors of innovation behaviour, the study extends research on the intermediary role of innovation climate and employees' innovation behaviour. Additionally, it improves one's understanding on the moderating role between knowledge sharing and innovation behaviour. Practical implications The study findings will assist enterprises in diagnosing the implementation environment of innovation strategy, thereby providing a reference for training enterprise leadership while improving the employees' understanding of innovation and reform in the workplace. Originality/value The study contributes both theoretical and managerial thinking on the extent in which organizational climate and creative leadership ability may and/or should be evolved appropriately to support, encourage and nurture employees' innovation behaviour in the workplace.</t>
  </si>
  <si>
    <t>[Ye, Pinghao; Liu, Liqiong] Wuhan Business Univ, Wuhan, Peoples R China; [Tan, Joseph] McMaster Univ, Hamilton, ON, Canada</t>
  </si>
  <si>
    <t>Wuhan Business University; McMaster University</t>
  </si>
  <si>
    <t>Ye, PH (corresponding author), Wuhan Business Univ, Wuhan, Peoples R China.</t>
  </si>
  <si>
    <t>yezigege1977@163.com; quandian7373@163.com; tanjosep@mcmaster.ca</t>
  </si>
  <si>
    <t>ye, pinghao/0000-0002-0822-7950</t>
  </si>
  <si>
    <t>Hubei province technical innovation project (Soft Science Research) [2019ADD160]</t>
  </si>
  <si>
    <t>Hubei province technical innovation project (Soft Science Research)</t>
  </si>
  <si>
    <t>This work was supported by the Hubei province technical innovation project (Soft Science Research) [2019ADD160].</t>
  </si>
  <si>
    <t>JUN 23</t>
  </si>
  <si>
    <t>10.1108/EJIM-05-2020-0199</t>
  </si>
  <si>
    <t>2G6FA</t>
  </si>
  <si>
    <t>WOS:000632767600001</t>
  </si>
  <si>
    <t>Woo, H; Kim, SJ; Wang, HZ</t>
  </si>
  <si>
    <t>Woo, Heeseok; Kim, Sang Jin; Wang, Huanzhang</t>
  </si>
  <si>
    <t>Understanding the role of service innovation behavior on business customer performance and loyalty</t>
  </si>
  <si>
    <t>Business customer performance; Business customer loyalty; Co-creation-oriented; Customer-oriented; Technology-oriented</t>
  </si>
  <si>
    <t>VALUE CO-CREATION; MODERATING ROLE; DOMINANT LOGIC; REPURCHASE INTENTION; SATISFACTION; INVOLVEMENT; PRODUCT; ORIENTATION; SAFETY; MANAGEMENT</t>
  </si>
  <si>
    <t>Providing new services to customers gives firms a competitive advantage in the market. Consequently, firms strive to develop innovative service that delivers new value propositions to customers and leads to customer satisfaction and the acquisition of new customers. The authors investigate the relationship between the innovative behavior of service providers, business customer performance, and business customer loyalty in the safety industry. The study?s results show that technology-oriented and co-creation-oriented innovative behavior leads to business customer performance. Business customer performance is closely related to recommendations and recontracts. Moreover, the degree of safety involvement has a moderate effect between service innovation and business customer performance. The findings have important theoretical and managerial implications for service innovation for researchers as well as service providers.</t>
  </si>
  <si>
    <t>[Woo, Heeseok; Kim, Sang Jin] Changwon Natl Univ, Dept Business Adm, Changwon Si, Gyeongsangnam D, South Korea; [Wang, Huanzhang] Jiangnan Univ, Sch Business, Wuxi, Jiangsu, Peoples R China</t>
  </si>
  <si>
    <t>Changwon National University; Jiangnan University</t>
  </si>
  <si>
    <t>Kim, SJ (corresponding author), Changwon Natl Univ, Dept Business Adm, Changwon Si, Gyeongsangnam D, South Korea.</t>
  </si>
  <si>
    <t>sangjin_kams@naver.com</t>
  </si>
  <si>
    <t>10.1016/j.indmarman.2020.12.011</t>
  </si>
  <si>
    <t>RC3OH</t>
  </si>
  <si>
    <t>WOS:000632713100005</t>
  </si>
  <si>
    <t>Wang, ZN; Sun, CW; Cai, SH</t>
  </si>
  <si>
    <t>Wang, Zhining; Sun, Chuanwei; Cai, Shaohan</t>
  </si>
  <si>
    <t>How exploitative leadership influences employee innovative behavior: the mediating role of relational attachment and moderating role of high-performance work systems</t>
  </si>
  <si>
    <t>Exploitative leadership; Relational attachment; Ego depletion theory; High-performance work systems; Employee innovative behavior</t>
  </si>
  <si>
    <t>Purpose The purpose of this research is to examine the relationship between exploitative leadership and employee innovative behavior and explore the mediating role of relational attachment and the moderating role of high-performance work systems (HPWSs). Design/methodology/approach This research collected data from 374 employees and their direct supervisors in 75 teams and tested a cross-level moderated mediation model using multilevel path analysis. Findings The results suggest that (1) exploitative leadership has a negative impact on employee innovative behavior; (2) relational attachment mediates the relationship between exploitative leadership and employee innovative behavior; (3) HPWS positively moderates the relationship between exploitative leadership and relational attachment and (4) HPWS moderates the mediating mechanism from exploitative leadership to employee innovative behavior. Practical implications The empirical findings suggest that organizations should make efforts to prevent exploitative leadership. Moreover, managers should pay attention to the important role of relational attachment in promoting employee innovative behavior and realize the role of HPWSs in facilitating the negative effects of exploitative leadership. Originality/value This research identifies relational attachment as a key mediator that links exploitative leadership to innovative behavior and reveals the role of HPWSs in strengthening the negative effects of exploitative leadership on employee innovative behavior.</t>
  </si>
  <si>
    <t>[Wang, Zhining] China Univ Min &amp; Technol, Sch Econ &amp; Management, Xuzhou, Jiangsu, Peoples R China; [Sun, Chuanwei] China Univ Min &amp; Technol, Human Resource Management, Xuzhou, Jiangsu, Peoples R China; [Cai, Shaohan] Carleton Univ, Sprott Sch Business, Ottawa, ON, Canada</t>
  </si>
  <si>
    <t>China University of Mining &amp; Technology; China University of Mining &amp; Technology; Carleton University</t>
  </si>
  <si>
    <t>wzncumt@126.com; 1350092923@qq.com; acai@sprott.carleton.ca</t>
  </si>
  <si>
    <t>This research is partly supported by the Fundamental Research Funds for Central Universities in China (Grant No. 2017XKQY087).</t>
  </si>
  <si>
    <t>MAR 19</t>
  </si>
  <si>
    <t>10.1108/LODJ-05-2020-0203</t>
  </si>
  <si>
    <t>DEC 2020</t>
  </si>
  <si>
    <t>RA6ZK</t>
  </si>
  <si>
    <t>WOS:000603698500001</t>
  </si>
  <si>
    <t>Bibi, S; Khan, A; Qian, HD; Garavelli, AC; Natalicchio, A; Capolupo, P</t>
  </si>
  <si>
    <t>Bibi, Sughra; Khan, Asif; Qian, Hongdao; Garavelli, Achille Claudio; Natalicchio, Angelo; Capolupo, Paolo</t>
  </si>
  <si>
    <t>Innovative Climate, a Determinant of Competitiveness and Business Performance in Chinese Law Firms: The Role of Firm Size and Age</t>
  </si>
  <si>
    <t>innovative climate; organizational learning; innovative behavior; Chinese law firms; competitiveness and business performance; firm size and age</t>
  </si>
  <si>
    <t>TRANSFORMATIONAL LEADERSHIP; ORGANIZATIONAL-CLIMATE; ABSORPTIVE-CAPACITY; EMPLOYEE CREATIVITY; MARKET ORIENTATION; METHOD VARIANCE; WORK; BEHAVIOR; CAPABILITY; IMPACT</t>
  </si>
  <si>
    <t>In the past few decades, a firm's innovative climate has received much attention in the context of innovative behavior, competitiveness, and business performance. The existing literature has relied to a great extent on innovative climate as an interacting factor and overlooked its role as an antecedent of various organizational phenomena. Furthermore, the interaction effects of the firm's size and age on the relationships between innovative climate and other organizational variables have gone unnoticed. This study adds to the literature by empirically assessing the effects of the firm's innovative climate on organizational learning and employees' innovative behavior as well as its consequences on the firm's competitiveness and business performance. Additionally, it addresses the interaction impacts of firm size and age on the relationships between the abovementioned variables. This research achieves its goal by developing an integrative research design that analyzes complex relations using covariance-based structural equation modeling (SEM) and regression techniques on a dataset of 408 Chinese law firms. The results indicate that the firm's innovative climate has a significant positive relationship with organizational learning and employees' innovative behavior. It is also found that organizational learning has a significant positive influence on employees' innovative behavior. Meanwhile, organizational learning and employees' innovative behavior have a significant positive influence on firm competitiveness and business performance. Another important finding is that contextual factors, i.e., firm size and age, strengthen these relations. Theoretical and managerial implications, including links to firm size and age, are provided.</t>
  </si>
  <si>
    <t>[Bibi, Sughra; Qian, Hongdao] Zhejiang Univ, Guanghua Law Sch, Hangzhou 310058, Peoples R China; [Khan, Asif] Zhejiang Univ, Sch Management, Dept Tourism &amp; Hotel Management, Hangzhou 310058, Peoples R China; [Khan, Asif] Hazara Univ, Dept Tourism &amp; Hospitality, Khyber Pakhtunkhwa 21120, Pakistan; [Garavelli, Achille Claudio; Natalicchio, Angelo; Capolupo, Paolo] Polytech Univ Bari, Dept Mech Math &amp; Management, I-70125 Bari, Italy</t>
  </si>
  <si>
    <t>Zhejiang University; Zhejiang University; Politecnico di Bari</t>
  </si>
  <si>
    <t>Qian, HD (corresponding author), Zhejiang Univ, Guanghua Law Sch, Hangzhou 310058, Peoples R China.;Khan, A (corresponding author), Zhejiang Univ, Sch Management, Dept Tourism &amp; Hotel Management, Hangzhou 310058, Peoples R China.;Khan, A (corresponding author), Hazara Univ, Dept Tourism &amp; Hospitality, Khyber Pakhtunkhwa 21120, Pakistan.</t>
  </si>
  <si>
    <t>sughra.fareed@yahoo.com; asifkhanth@yahoo.com; hongdaoqian@163.com; claudio.garavelli@poliba.it; angelo.natalicchio@poliba.it; p.capolupo@studenti.poliba.it</t>
  </si>
  <si>
    <t>Khan, Asif/AAI-3115-2020; Bibi, Sughra/V-8493-2019</t>
  </si>
  <si>
    <t>Khan, Asif/0000-0001-7618-3059; Capolupo, Paolo/0000-0003-1128-7396; Bibi, Sughra/0000-0001-7032-9651</t>
  </si>
  <si>
    <t>10.3390/su12124948</t>
  </si>
  <si>
    <t>MM6ZW</t>
  </si>
  <si>
    <t>WOS:000550304200001</t>
  </si>
  <si>
    <t>Wang, Q; Zhou, XH; Bao, JN; Zhang, XY; Ju, W</t>
  </si>
  <si>
    <t>Wang, Qiao; Zhou, Xiaohu; Bao, Jiani; Zhang, Xueyan; Ju, Wei</t>
  </si>
  <si>
    <t>How Is Ethical Leadership Linked to Subordinate Taking Charge? A Moderated Mediation Model of Social Exchange and Power Distance</t>
  </si>
  <si>
    <t>ethical leadership; social exchange; power distance; subordinate taking charge; moderated mediation model</t>
  </si>
  <si>
    <t>PERCEIVED ORGANIZATIONAL SUPPORT; CULTURAL-VALUES; MEMBER EXCHANGE; CONSTRUCT DEVELOPMENT; CITIZENSHIP BEHAVIOR; SUPERVISORY SUPPORT; INNOVATIVE BEHAVIOR; ECONOMIC EXCHANGE; ROLE-BREADTH; WORK</t>
  </si>
  <si>
    <t>Extant literature has suggested that leadership styles have a significant impact on subordinate taking charge. However, the effect of ethical leadership on subordinate taking charge is still insufficiently explored. Drawing on social exchange theory, we developed a moderated mediation model in which social exchange was theorized as a mediating mechanism underlining why subordinates feel motivated to take charge with the supervision of ethical leadership. Moreover, power distance was supposed to be a relevant boundary condition to moderate such a relationship. Two hundred thirty-nine independent leader-subordinate dyads in China were used to test the model. Results showed that subordinates' social exchange mediates the relationship between ethical leadership and subordinate taking charge, and such a relationship was found to be stronger among subordinates who had lower levels of power distance rather than higher levels. Theoretical and practical implications concerning enhancement of subordinate taking charge in organizations where ethical leaderships exist are discussed.</t>
  </si>
  <si>
    <t>[Wang, Qiao; Zhou, Xiaohu; Zhang, Xueyan; Ju, Wei] Nanjing Univ Sci &amp; Technol, Sch Econ &amp; Management, Nanjing, Peoples R China; [Bao, Jiani] Nanjing Univ Finance &amp; Econ, Sch Business &amp; Adm, Nanjing, Peoples R China</t>
  </si>
  <si>
    <t>Nanjing University of Science &amp; Technology; Nanjing University of Finance &amp; Economics</t>
  </si>
  <si>
    <t>Zhou, XH (corresponding author), Nanjing Univ Sci &amp; Technol, Sch Econ &amp; Management, Nanjing, Peoples R China.;Bao, JN (corresponding author), Nanjing Univ Finance &amp; Econ, Sch Business &amp; Adm, Nanjing, Peoples R China.</t>
  </si>
  <si>
    <t>njustzxh@njust.edu.cn; enic11227@hotmail.com</t>
  </si>
  <si>
    <t>National Natural Science Foundation of China [71672084]; Postgraduate Research and Practice Innovation Program of Jiangsu Province [KYCX19_0222]</t>
  </si>
  <si>
    <t>National Natural Science Foundation of China(National Natural Science Foundation of China (NSFC)); Postgraduate Research and Practice Innovation Program of Jiangsu Province</t>
  </si>
  <si>
    <t>This research was funded by the National Natural Science Foundation of China (No. 71672084) and Postgraduate Research and Practice Innovation Program of Jiangsu Province (No. KYCX19_0222).</t>
  </si>
  <si>
    <t>MAR 20</t>
  </si>
  <si>
    <t>10.3389/fpsyg.2020.00315</t>
  </si>
  <si>
    <t>LA0GF</t>
  </si>
  <si>
    <t>WOS:000523634800001</t>
  </si>
  <si>
    <t>Ul Haq, I; De Clercq, D; Azeem, MU</t>
  </si>
  <si>
    <t>Ul Haq, Inam; De Clercq, Dirk; Azeem, Muhammad Umer</t>
  </si>
  <si>
    <t>Can employees perform well if they fear for their lives? Yes - if they have a passion for work</t>
  </si>
  <si>
    <t>Quantitative; Passion for work; Conservation of resources theory; Job performance; Championing behaviour; Fear of terror</t>
  </si>
  <si>
    <t>JOB-PERFORMANCE; MODERATING ROLE; TRANSFORMATIONAL LEADERSHIP; ORGANIZATIONAL CITIZENSHIP; INNOVATIVE BEHAVIOR; PERCEIVED POLITICS; CHAMPION BEHAVIOR; TERROR MANAGEMENT; SELF; MODEL</t>
  </si>
  <si>
    <t>Purpose With a basis in conservation of resources theory, the purpose of this paper is to investigate the mediating role of championing behaviour in the relationship between employees' fear of terror and their job performance, as well as the buffering role of their passion for work, as a personal resource, in this process. Design/methodology/approach The tests of the hypotheses rely on three-wave, time-lagged data collected from employees and their supervisors in Pakistan. Findings An important reason that concerns about terrorist attacks diminish performance is that employees refrain from championing their own entrepreneurial ideas. This mediating role of idea championing is less salient, however, to the extent that employees feel a strong passion for their work. Originality/value This study adds to burgeoning research on the interplay between terrorism and organizational life by specifying how and when employees' ruminations about terrorism threats might escalate into diminished performance outcomes at work.</t>
  </si>
  <si>
    <t>[Ul Haq, Inam] Monash Univ, Sch Business, Bandar Sunway, Malaysia; [De Clercq, Dirk] Brock Univ, Goodman Sch Business, St Catharines, ON, Canada; [Azeem, Muhammad Umer] Univ Management &amp; Technol, Sch Business &amp; Econ, Lahore, Pakistan</t>
  </si>
  <si>
    <t>Monash University; Monash University Sunway; Brock University; University of Management &amp; Technology (UMT)</t>
  </si>
  <si>
    <t>inamulhaq27@gmail.com; ddeclercq@brocku.ca; umer.azeem@umt.edu.pk</t>
  </si>
  <si>
    <t>Azeem, Muhammad Umer/Y-3510-2019</t>
  </si>
  <si>
    <t>Azeem, Muhammad Umer/0000-0002-1649-8099</t>
  </si>
  <si>
    <t>10.1108/PR-01-2019-0030</t>
  </si>
  <si>
    <t>KI3DO</t>
  </si>
  <si>
    <t>WOS:000511229600007</t>
  </si>
  <si>
    <t>Abbasiharofteh, M</t>
  </si>
  <si>
    <t>Abbasiharofteh, Milad</t>
  </si>
  <si>
    <t>Endogenous effects and cluster transition: a conceptual framework for cluster policy</t>
  </si>
  <si>
    <t>Cluster lifecycle; endogenous effects; cluster actors; knowledge sourcing network</t>
  </si>
  <si>
    <t>OLD INDUSTRIAL-AREAS; KNOWLEDGE NETWORKS; INTERORGANIZATIONAL COLLABORATION; ECONOMIC-DEVELOPMENT; LIFE-CYCLES; INNOVATION; DYNAMICS; EVOLUTION; PROXIMITY; TECHNOLOGY</t>
  </si>
  <si>
    <t>The clustering of firms in related fields has a positive impact on economic performance and innovative behaviour. The cluster lifecycle model provides a framework in order to add a temporal dimension to this ongoing debate. This model conjectures that clusters undergo various phases, in each of which they exhibit distinct characteristics in terms of size, economic performance and knowledge sourcing pattern. While there is strong evidence of a dynamic interplay between knowledge networks and clusters, we know little about how the structural configurations of a knowledge network engender cluster transition, and how these dynamics can be captured and integrated into policies. First, this paper contributes to this debate by providing a conceptual framework that accounts for cluster evolution based on endogenous micro-forces that are immanent in a knowledge sourcing structure. Secondly, this article underlines the failures of recent network-related cluster policies and discusses how the developed framework alleviates these issues.</t>
  </si>
  <si>
    <t>[Abbasiharofteh, Milad] Leibniz Inst Agr Dev Transit Econ IAMO, Dept Struct Change, Halle, Saale, Germany</t>
  </si>
  <si>
    <t>Leibniz Institut fur Agrarentwicklung in Transformationsokonomien (IAMO)</t>
  </si>
  <si>
    <t>Abbasiharofteh, M (corresponding author), Leibniz Inst Agr Dev Transit Econ IAMO, Theodor Lieser Str 2, D-06120 Halle, Saale, Germany.</t>
  </si>
  <si>
    <t>abbasiharofteh@iamo.de</t>
  </si>
  <si>
    <t>, IAMO/G-2328-2012; Change, Structural/W-8306-2019</t>
  </si>
  <si>
    <t>, IAMO/0000-0001-7922-9665; Change, Structural/0000-0002-2459-4646; Abbasiharofteh, Milad/0000-0001-9694-4193</t>
  </si>
  <si>
    <t>junior research group TRAFOBIT (The role and functions of bioclusters in the transition to a bioeconomy)</t>
  </si>
  <si>
    <t>Special thanks go to Ron Boschma, Tom Broekel and Andrea Morrison for helpful comments on an earlier version of this paper. I also would like to thank two anonymous reviewers for their constructive feedback. The support of the junior research group TRAFOBIT (The role and functions of bioclusters in the transition to a bioeconomy) is acknowledged.</t>
  </si>
  <si>
    <t>10.1080/09654313.2020.1724266</t>
  </si>
  <si>
    <t>OK5HC</t>
  </si>
  <si>
    <t>WOS:000513974700001</t>
  </si>
  <si>
    <t>Ashton, BJ; Thornton, A; Ridley, AR</t>
  </si>
  <si>
    <t>Ashton, Benjamin J.; Thornton, Alex; Ridley, Amanda R.</t>
  </si>
  <si>
    <t>Larger group sizes facilitate the emergence and spread of innovations in a group-living bird</t>
  </si>
  <si>
    <t>ANIMAL BEHAVIOUR</t>
  </si>
  <si>
    <t>animal innovation; group size; pool of competence hypothesis</t>
  </si>
  <si>
    <t>AUSTRALIAN MAGPIES; TIBICEN</t>
  </si>
  <si>
    <t>The benefits of group living have traditionally been attributed to risk dilution or the efficient exploitation of resources; individuals in social groups may therefore benefit from access to valuable information. If sociality facilitates access to information, then individuals in larger groups may be predicted to solve novel problems faster than individuals in smaller groups. Additionally, larger group sizes may facilitate the subsequent spread of innovations within animal groups, as has been proposed for human societies. We presented a novel foraging task (where a food reward could be accessed by pushing a self-shutting sliding door) to 16 groups of wild, cooperatively breeding Australian magpies, Cracticus tibicen dorsalis, ranging in size from two to 11 individuals. We found a nonlinear decline in the time taken for the innovative behaviour to emerge with increasing group size, and social information use facilitated the transmission of novel behaviour, with it spreading more quickly in larger than smaller groups. This study provides important evidence for a nonlinear relationship between group size and the emergence of innovation (and its subsequent transmission) in a wild population of animals. Further work investigating the scope and strength of group size-innovation relationships, and the mechanisms underpinning them, will help us understand the potential advantages of living in larger social groups. (C) 2019 The Authors. Published by Elsevier Ltd on behalf of The Association for the Study of Animal Behaviour.</t>
  </si>
  <si>
    <t>[Ashton, Benjamin J.; Ridley, Amanda R.] Univ Western Australia, Ctr Evolutionary Biol, Perth, WA, Australia; [Ashton, Benjamin J.] Univ Bristol, Sch Biol Sci, Life Sci Bldg,24 Tyndall Ave, Bristol BS8 1TQ, Avon, England; [Thornton, Alex] Univ Exeter, Ctr Ecol &amp; Conservat, Penryn Campus, Penryn, England</t>
  </si>
  <si>
    <t>University of Western Australia; RLUK- Research Libraries UK; University of Bristol; RLUK- Research Libraries UK; University of Exeter</t>
  </si>
  <si>
    <t>Ashton, BJ (corresponding author), Univ Bristol, Sch Biol Sci, Life Sci Bldg,24 Tyndall Ave, Bristol BS8 1TQ, Avon, England.</t>
  </si>
  <si>
    <t>benjamin.j.ashton@hotmail.co.uk</t>
  </si>
  <si>
    <t>Ridley, Amanda/D-2636-2011</t>
  </si>
  <si>
    <t>Ridley, Amanda/0000-0001-5886-0992; Ashton, Benjamin/0000-0003-3357-0395</t>
  </si>
  <si>
    <t>Australian Research Council (ARC) [DP140101921]; International Postgraduate Research Scholarship through the University of Western Australia; BBSRC David Phillips Fellowship [BB/H021817/2]; BBSRC [BB/H021817/2] Funding Source: UKRI</t>
  </si>
  <si>
    <t>Australian Research Council (ARC)(Australian Research Council); International Postgraduate Research Scholarship through the University of Western Australia; BBSRC David Phillips Fellowship(UK Research &amp; Innovation (UKRI)Biotechnology and Biological Sciences Research Council (BBSRC)); BBSRC(UK Research &amp; Innovation (UKRI)Biotechnology and Biological Sciences Research Council (BBSRC))</t>
  </si>
  <si>
    <t>We thank Eleanor Russell and the late Ian Rowley for giving us access to their life history records of the Guildford magpie population, and for allowing us to continue their work on the population. We thank Emily Edwards and Margot Oorebeek for help with various aspects of the fieldwork. We thank Ines Braga Goncalves, Lucy Aplin and Damien Farine for helpful discussion and comments. This work was funded by an Australian Research Council (ARC) Discovery grant awarded to A.R.R. and A.T. (DP140101921). B.J.A. was supported by an International Postgraduate Research Scholarship through the University of Western Australia. A.T. received additional support from a BBSRC David Phillips Fellowship (BB/H021817/2).</t>
  </si>
  <si>
    <t>0003-3472</t>
  </si>
  <si>
    <t>1095-8282</t>
  </si>
  <si>
    <t>ANIM BEHAV</t>
  </si>
  <si>
    <t>Anim. Behav.</t>
  </si>
  <si>
    <t>10.1016/j.anbehav.2019.10.004</t>
  </si>
  <si>
    <t>JY4XJ</t>
  </si>
  <si>
    <t>Green Published, hybrid, Green Submitted</t>
  </si>
  <si>
    <t>WOS:000504419700002</t>
  </si>
  <si>
    <t>Liu, YB; Wang, W; Chen, DS</t>
  </si>
  <si>
    <t>Liu, Yanbin; Wang, Wei; Chen, Dusheng</t>
  </si>
  <si>
    <t>Linking Ambidextrous Organizational Culture to Innovative Behavior: A Moderated Mediation Model of Psychological Empowerment and Transformational Leadership</t>
  </si>
  <si>
    <t>ambidextrous organizational culture; innovative behavior; psychological empowerment; transformational leadership; self-determination theory</t>
  </si>
  <si>
    <t>SELF-DETERMINATION; MEMBER EXCHANGE; PROBING INTERACTIONS; AMBIDEXTERITY; ANTECEDENTS; PERFORMANCE; EXPLORATION; DIMENSIONS; SIMILARITY; STYLE</t>
  </si>
  <si>
    <t>Research into innovative behavior is not new, but its importance for organizational effectiveness has become even more evident in recent years. However, the psychological processes and underlying mechanism concerning how and why innovative behavior occurs within an organization still invite more investigation. The present study considers ambidextrous organizational culture as a pro-innovation culture and proposes that it can be perceived by employees, which leads to their innovative behavior. This study adds clarity by exploring the impact of perceived ambidextrous organizational culture on employees' reactions related to innovation via the intermediate mechanism of psychological empowerment and the moderating condition of transformational leadership. Hypotheses are derived from a motivational perspective based on self-determination theory. Results are based on data collected from 647 Chinese employee-supervisor dyads. This study finds that employees' perceptions of ambidextrous organizational culture have an indirect effect on innovative behavior through psychological empowerment. Specifically, the positive indirect relationship is amplified when transformational leadership is at a higher level. Our findings show how the mediating mechanism of psychological empowerment and the moderating condition of transformational leadership work together to improve innovation by individuals. The findings reveal several ways in which organizations can strategically focus on their cultural and supervisory training, such as applying this model to improve employees' outcome related to innovation.</t>
  </si>
  <si>
    <t>[Liu, Yanbin] Zhejiang Univ, Ningbo Inst Technol, Sch Business, Ningbo, Zhejiang, Peoples R China; [Wang, Wei] Ningbo Univ, Sch Business, Ningbo, Zhejiang, Peoples R China; [Chen, Dusheng] Hikvis Digital Technol Co Ltd, Hangzhou, Zhejiang, Peoples R China</t>
  </si>
  <si>
    <t>Zhejiang University; Ningbo University</t>
  </si>
  <si>
    <t>Wang, W (corresponding author), Ningbo Univ, Sch Business, Ningbo, Zhejiang, Peoples R China.</t>
  </si>
  <si>
    <t>ww_psy@outlook.com</t>
  </si>
  <si>
    <t>Zhejiang Province Social Science Foundation [19NDJC188YB]; Ministry of Education of Huamanities and Social Science Project [17YJC630063]; Ministry of Education of Huamanities and Social Science Project</t>
  </si>
  <si>
    <t>Zhejiang Province Social Science Foundation; Ministry of Education of Huamanities and Social Science Project; Ministry of Education of Huamanities and Social Science Project</t>
  </si>
  <si>
    <t>This work was supported in part by grants from Zhejiang Province Social Science Foundation (#19NDJC188YB), which provided fund for data-collection, and Ministry of Education of Huamanities and Social Science Project (#17YJC630063), which provided fund for copyright and publishing. Open access publication fees will be covered by the latter fund (Ministry of Education of Huamanities and Social Science Project).</t>
  </si>
  <si>
    <t>10.3389/fpsyg.2019.02192</t>
  </si>
  <si>
    <t>JN6CF</t>
  </si>
  <si>
    <t>WOS:000496983300001</t>
  </si>
  <si>
    <t>Sun, YP; Huang, JT</t>
  </si>
  <si>
    <t>Sun, Yuping; Huang, Jiatao</t>
  </si>
  <si>
    <t>Psychological capital and innovative behavior: Mediating effect of psychological safety</t>
  </si>
  <si>
    <t>psychological capital; psychological safety; innovative behavior; employee innovation; creativity; knowledge sharing</t>
  </si>
  <si>
    <t>POSITIVE MOOD; PERFORMANCE; FLEXIBILITY; WORKPLACE</t>
  </si>
  <si>
    <t>We examined psychological safety as a mediator of the relationship between psychological capital and innovative behavior. Survey data from 136 university teachers in China were analyzed using structural equation modeling. Results indicated that psychological safety partially mediated the relationship between psychological capital and innovative behavior. These findings suggest not only that it is important to consider psychological capital in understanding innovative behavior, but also that psychological safety plays an important role in the relationship. Limitations are discussed and directions for future research are suggested.</t>
  </si>
  <si>
    <t>[Sun, Yuping] Univ Elect Sci &amp; Technol China, Sch Management &amp; Econ, 2006 Xiyuan Rd, Chengdu 611731, Sichuan, Peoples R China</t>
  </si>
  <si>
    <t>University of Electronic Science &amp; Technology of China</t>
  </si>
  <si>
    <t>Sun, YP (corresponding author), Univ Elect Sci &amp; Technol China, Sch Management &amp; Econ, 2006 Xiyuan Rd, Chengdu 611731, Sichuan, Peoples R China.</t>
  </si>
  <si>
    <t>sunsysunsy@163.com</t>
  </si>
  <si>
    <t>e8204</t>
  </si>
  <si>
    <t>10.2224/sbp.8204</t>
  </si>
  <si>
    <t>IX4MK</t>
  </si>
  <si>
    <t>WOS:000485660100005</t>
  </si>
  <si>
    <t>He, HW; Li, CX; Lin, ZB; Liang, S</t>
  </si>
  <si>
    <t>He, Huiwen (Kevin); Li, Chunxiao (Spring); Lin, Zhibin; Liang, Sai</t>
  </si>
  <si>
    <t>Creating a high-performance exhibitor team: A temporary-organization perspective</t>
  </si>
  <si>
    <t>Business event; Temporary organization; Servant leadership; Swift trust; Exhibitor team performance</t>
  </si>
  <si>
    <t>SERVANT LEADERSHIP; SWIFT TRUST; INNOVATIVE BEHAVIOR; SOCIAL-EXCHANGE; EVENT TOURISM; IMPACT; SERVICE; PERCEPTIONS; MANAGEMENT; QUALITY</t>
  </si>
  <si>
    <t>Participation in business events such as meetings, conventions and exhibitions is costly, and building a high-performance team is vital. This study examines the key influential factors of team performance from the perspective of the temporary organization. Using a sample of 516 individuals employed by exhibitors attending trade shows, we demonstrate that servant leadership and swift trust are the two crucial factors in improving an exhibitor team's performance. Specifically, two dimensions of servant leadership, namely conceptual skills and commitment to the growth of people, contribute directly to team performance. Swift trust not only has a positive direct influence on team performance but is also a partial mediator between servant leadership and team performance. The results have implications for managers seeking to create a high-performance temporary team.</t>
  </si>
  <si>
    <t>[He, Huiwen (Kevin); Li, Chunxiao (Spring); Liang, Sai] Nankai Univ, Coll Tourism &amp; Serv Management, Tianjin, Peoples R China; [Lin, Zhibin] Univ Durham, Business Sch, Durham, England</t>
  </si>
  <si>
    <t>Nankai University; N8 Research Partnership; RLUK- Research Libraries UK; Durham University</t>
  </si>
  <si>
    <t>Li, CX (corresponding author), Nankai Univ, Coll Tourism &amp; Serv Management, Tianjin, Peoples R China.</t>
  </si>
  <si>
    <t>hehuiwen@nankai.edu.cn; xiaoxiao1985214@hotmail.com</t>
  </si>
  <si>
    <t>Lin, Zhibin/ACD-8628-2022; Silva, Gleibson/AAA-8482-2021; Lin, Zhibin/R-7541-2018</t>
  </si>
  <si>
    <t>Lin, Zhibin/0000-0001-5575-2216; Silva, Gleibson/0000-0003-0945-2567; Lin, Zhibin/0000-0001-5575-2216</t>
  </si>
  <si>
    <t>Chinese National Natural Science Foundation [71702081]; Science Foundation of Ministry of Education of China [17YJC630054]; Tianjin Philosophy and Social Science Fund [TJGL 16-004]</t>
  </si>
  <si>
    <t>Chinese National Natural Science Foundation(National Natural Science Foundation of China (NSFC)); Science Foundation of Ministry of Education of China(Ministry of Education, China); Tianjin Philosophy and Social Science Fund</t>
  </si>
  <si>
    <t>This work was supported by the Chinese National Natural Science Foundation under Grant [number 71702081], Science Foundation of Ministry of Education of China under Grant [number 17YJC630054] and Tianjin Philosophy and Social Science Fund under Grant [number TJGL 16-004]</t>
  </si>
  <si>
    <t>10.1016/j.ijhm.2019.02.009</t>
  </si>
  <si>
    <t>IN5JT</t>
  </si>
  <si>
    <t>WOS:000478712400004</t>
  </si>
  <si>
    <t>Prasher, S; Evans, JC; Thompson, MJ; Morand-Ferron, J</t>
  </si>
  <si>
    <t>Prasher, Sanjay; Evans, Julian C.; Thompson, Megan J.; Morand-Ferron, Julie</t>
  </si>
  <si>
    <t>Characterizing innovators: Ecological and individual predictors of problem-solving performance</t>
  </si>
  <si>
    <t>BEHAVIORAL FLEXIBILITY; REPRODUCTIVE SUCCESS; BIRDS; PERSONALITY; POPULATION; DOMINANCE; SELECTION; SURVIVAL; ABILITY; URBAN</t>
  </si>
  <si>
    <t>Behavioural innovation, the use of new behaviours or existing ones in novel contexts, can have important ecological and evolutionary consequences for animals. An understanding of these consequences would be incomplete without considering the traits that predispose certain individuals to exhibit innovative behaviour. Several individual and ecological variables are hypothesized to affect innovativeness, but empirical studies show mixed results. We examined the effects of dominance rank, exploratory personality, and urbanisation on the innovativeness of wild-caught black-capped chickadees using a survival analysis of their performance in two problem-solving tasks. Additionally, we provide one of the first investigations of the predictors of persistence in a problem-solving context. For lever pulling, we found a trend for dominants to outperform subordinates, particularly in rural birds, which did not align with predictions from the necessity drives innovation hypothesis. When examining possible explanations for this trend we found that older chickadees outperformed younger birds. This follow-up analysis also revealed a positive effect of exploratory personality on the lever-pulling performance of chickadees. Our results suggest that experience may foster innovation in certain circumstances, for instance via the application of previously-acquired information or skills to a novel problem. As we found different predictors for both tasks, this suggests that task characteristics influence the innovative propensity of individuals, and that their effects should be investigated experimentally.</t>
  </si>
  <si>
    <t>[Prasher, Sanjay; Evans, Julian C.; Thompson, Megan J.; Morand-Ferron, Julie] Univ Ottawa, Dept Biol, Ottawa, ON, Canada</t>
  </si>
  <si>
    <t>University of Ottawa</t>
  </si>
  <si>
    <t>Morand-Ferron, J (corresponding author), Univ Ottawa, Dept Biol, Ottawa, ON, Canada.</t>
  </si>
  <si>
    <t>jmf@uottawa.ca</t>
  </si>
  <si>
    <t>Prasher, Sanjay/AAS-6696-2020; Morand-Ferron, Julie/AAW-7022-2021; Thompson, Megan J/P-9688-2018</t>
  </si>
  <si>
    <t>Prasher, Sanjay/0000-0001-6175-5747; Morand-Ferron, Julie/0000-0001-5186-7710; Thompson, Megan J/0000-0002-0279-5340</t>
  </si>
  <si>
    <t>Natural Sciences and Engineering Research Council of Canada Discovery Grant [4355962013]; Human Frontiers Science Program Young Investigator Grant [RGP0006/2015]; Early Career Researcher Award of Ontario, Canada [ER15-11-217]</t>
  </si>
  <si>
    <t>Natural Sciences and Engineering Research Council of Canada Discovery Grant(Natural Sciences and Engineering Research Council of Canada (NSERC)); Human Frontiers Science Program Young Investigator Grant(Human Frontier Science Program); Early Career Researcher Award of Ontario, Canada</t>
  </si>
  <si>
    <t>This work was supported by a Natural Sciences and Engineering Research Council of Canada Discovery Grant (grant number 4355962013 to JMF); a Human Frontiers Science Program Young Investigator Grant (grant number RGP0006/2015 to JMF). SP was supported by an Early Career Researcher Award of Ontario, Canada to JMF (ER15-11-217). The funders had no role in study design, data collection and analysis, decision to publish, or preparation of the manuscript.</t>
  </si>
  <si>
    <t>JUN 12</t>
  </si>
  <si>
    <t>e0217464</t>
  </si>
  <si>
    <t>10.1371/journal.pone.0217464</t>
  </si>
  <si>
    <t>IC8MD</t>
  </si>
  <si>
    <t>gold, Green Submitted, Green Accepted, Green Published</t>
  </si>
  <si>
    <t>WOS:000471234500027</t>
  </si>
  <si>
    <t>Zhu, JQ; Zhang, BN</t>
  </si>
  <si>
    <t>Zhu, Jinqiang; Zhang, Bainan</t>
  </si>
  <si>
    <t>The Double-Edged Sword Effect of Abusive Supervision on Subordinates' Innovative Behavior</t>
  </si>
  <si>
    <t>abusive supervision; psychological safety; challenge-related stress; innovative behavior; structural equation model - SEM</t>
  </si>
  <si>
    <t>WORK STRESS; FIT INDEXES; CREATIVITY; MODEL; EXPERIENCE; LEADERSHIP; EMPLOYEES; WORKPLACE</t>
  </si>
  <si>
    <t>Existing studies on the relationship between abusive supervision and innovative behavior do not present a united picture. Drawing up the antecedent-benefit-cost framework and social cognitive theory, we tried to explain the contradictory relationships between them based on the mediating mechanism. Results showed that abusive supervision discouraged subordinates' innovative behavior through reducing subordinates' psychological safety but promoted subordinates' innovative behavior through enhancing challenge-related stress.</t>
  </si>
  <si>
    <t>[Zhu, Jinqiang] Minzu Univ China, Sch Management, Beijing, Peoples R China; [Zhang, Bainan] Renmin Univ China, Sch Labor &amp; Human Resources, Beijing, Peoples R China</t>
  </si>
  <si>
    <t>Minzu University of China; Renmin University of China</t>
  </si>
  <si>
    <t>Zhu, JQ (corresponding author), Minzu Univ China, Sch Management, Beijing, Peoples R China.</t>
  </si>
  <si>
    <t>zhujinqiang@muc.edu.cn</t>
  </si>
  <si>
    <t>Beijing Social Science Foundation [16GLA002]; Fundamental Research Funds for the Central Universities [317201916]</t>
  </si>
  <si>
    <t>Beijing Social Science Foundation; Fundamental Research Funds for the Central Universities(Fundamental Research Funds for the Central Universities)</t>
  </si>
  <si>
    <t>This study was funded by the Beijing Social Science Foundation (16GLA002) and the Fundamental Research Funds for the Central Universities (317201916).</t>
  </si>
  <si>
    <t>JAN 25</t>
  </si>
  <si>
    <t>10.3389/fpsyg.2019.00066</t>
  </si>
  <si>
    <t>HJ0SG</t>
  </si>
  <si>
    <t>WOS:000456872100001</t>
  </si>
  <si>
    <t>Song, DR; Liu, HF; Gu, JB; He, CQ</t>
  </si>
  <si>
    <t>Song, Derun; Liu, Hefu; Gu, Jibao; He, Changqing</t>
  </si>
  <si>
    <t>Collectivism and employees' innovative behavior: The mediating role of team identification and the moderating role of leader-member exchange</t>
  </si>
  <si>
    <t>SOCIAL IDENTITY THEORY; INDIVIDUALISM-COLLECTIVISM; SELF-EFFICACY; PSYCHOLOGICAL COLLECTIVISM; CREATIVITY; PERFORMANCE; PERSPECTIVE; MODEL; WORK; PERSONALITY</t>
  </si>
  <si>
    <t>Based on the social identity theory and leader-member exchange (LMX) literature, the present study examined the underlying relationship between employees' collectivism and their innovative behavior. Specifically, we explored the mediating role of team identification and the moderating role of LMX in the above relationship. Results from a survey of 457 employees in 30 organizations indicate that employees' team identification partially mediates the relationship between their collectivism and innovative behavior, and that this mediating relationship has conditional effects on the moderator variable LMX. The findings contribute to the literature by clarifying how (through team identification) and when (based on LMX) employees' collectivism is related positively to their innovative behavior.</t>
  </si>
  <si>
    <t>[Song, Derun] Univ Sci &amp; Technol China, Sch Publ Affairs, Hefei, Anhui, Peoples R China; [Liu, Hefu; Gu, Jibao; He, Changqing] Univ Sci &amp; Technol China, Sch Management, 96 Jinzhai Rd, Hefei 230026, Anhui, Peoples R China; [He, Changqing] Natl Univ Singapore, Singapore, Singapore</t>
  </si>
  <si>
    <t>Chinese Academy of Sciences; University of Science &amp; Technology of China, CAS; Chinese Academy of Sciences; University of Science &amp; Technology of China, CAS; National University of Singapore</t>
  </si>
  <si>
    <t>He, CQ (corresponding author), Univ Sci &amp; Technol China, Sch Management, 96 Jinzhai Rd, Hefei 230026, Anhui, Peoples R China.</t>
  </si>
  <si>
    <t>jibao@ustc.edu.cn</t>
  </si>
  <si>
    <t>Liu, Hefu/Q-1463-2017</t>
  </si>
  <si>
    <t>Liu, Hefu/0000-0003-3854-7821; He, Changqing/0000-0002-3849-2544</t>
  </si>
  <si>
    <t>Anhui Provincial Natural Science Foundation [1708085MG174]; National Natural Science Foundation of China [71371177]</t>
  </si>
  <si>
    <t>Anhui Provincial Natural Science Foundation(Natural Science Foundation of Anhui Province); National Natural Science Foundation of China(National Natural Science Foundation of China (NSFC))</t>
  </si>
  <si>
    <t>Anhui Provincial Natural Science Foundation, Grant/Award Number: 1708085MG174; National Natural Science Foundation of China, Grant/Award Number: 71371177</t>
  </si>
  <si>
    <t>10.1111/caim.12253</t>
  </si>
  <si>
    <t>GF0OE</t>
  </si>
  <si>
    <t>WOS:000431629800010</t>
  </si>
  <si>
    <t>Eldor, L</t>
  </si>
  <si>
    <t>Eldor, Liat</t>
  </si>
  <si>
    <t>The relationship between perceptions of learning climate and employee innovative behavior and proficiency</t>
  </si>
  <si>
    <t>Innovation; Work engagement; Quantitative; Learning; Performance management; Advanced statistical; Organizational climate</t>
  </si>
  <si>
    <t>DEMANDS-RESOURCES MODEL; JOB DEMANDS; WORK ENGAGEMENT; ORGANIZATIONAL COMMITMENT; PSYCHOLOGICAL CONDITIONS; MODERATED MEDIATION; ROLE PERFORMANCE; PRIVATE-SECTOR; SATISFACTION; BURNOUT</t>
  </si>
  <si>
    <t>Purpose - The purpose of this paper is to examine the relationship between perceptions of learning climate and employee innovative behavior and proficiency. Design/methodology/approach - Using robust analysis techniques on data from a sample of 419 employees and their supervisors from four different business and public sector organizations, the author tested the proposed relationships, as mediated by job engagement. Moreover, this mediation effect was examined in the light of sector of employment differences (business vs public). Findings - The results were generally consistent with the hypothesized conceptual scheme, in that the indirect relationship between perceptions of learning climate and employees' innovative behavior and proficiency was mediated by job engagement. However, with regard to sector employment differences, this mediation process was demonstrated among business sector employees only to the relationship between perceptions of learning climate and innovative behavior. When proficiency was included in the mediation model, this mediation effect was evident among public sector employees. Originality/value - The research on perceptions of learning climate lacks empirical evidence on its implications for employees' innovative behavior and proficiency. Although scholars contend that employees' perceptions of learning climate should enhance their in-role and extra-role performance behaviors, these arguments are mainly non-empirical. Understanding whether perceptions of learning have an impact on employee intra-and extra-role performance behaviors is important, considering that the majority of workplace learning occurs through daily ongoing means that are part of the working environment and previous research results show that structured learning and formal training are less effective in improving employees' performance at work.</t>
  </si>
  <si>
    <t>[Eldor, Liat] Univ Penn, Wharton Sch, Dept Management, Philadelphia, PA 19104 USA</t>
  </si>
  <si>
    <t>Eldor, L (corresponding author), Univ Penn, Wharton Sch, Dept Management, Philadelphia, PA 19104 USA.</t>
  </si>
  <si>
    <t>leldor@wharton.upenn.edu</t>
  </si>
  <si>
    <t>10.1108/PR-08-2016-0202</t>
  </si>
  <si>
    <t>FN4PW</t>
  </si>
  <si>
    <t>WOS:000415990200001</t>
  </si>
  <si>
    <t>Wang, HL; Feng, JM; Prevellie, P; Wu, KJ</t>
  </si>
  <si>
    <t>Wang, Hongli; Feng, Jingming; Prevellie, Peter; Wu, Kunjin</t>
  </si>
  <si>
    <t>Why do I contribute when I am an insider? A moderated mediation approach to perceived insider status and employee's innovative behavior</t>
  </si>
  <si>
    <t>Moderated mediation; Job stress; Employee's innovative behaviour; Perceived insider status; Felt obligation</t>
  </si>
  <si>
    <t>CITIZENSHIP BEHAVIOR; WORK BEHAVIOR; CREATIVITY; PERFORMANCE; OWNERSHIP; WORKPLACE; CHINA; MODEL</t>
  </si>
  <si>
    <t>Purpose - The relationship between perceived insider status (PIS) and innovative behavior may be mediated by felt obligation. Then the relationship between felt obligation and innovative behavior may be moderated by job stress. At last, felt obligation may conditional mediate the relationship between PIS and innovative behavior when job stress at different level. The purpose of this paper is to test these hypotheses. Design/methodology/approach - The authors tested the moderated mediation model with data from a sample of 529 supervisor-subordinate dyads from the People's Republic of China. Employees were asked to evaluate their PIS, felt obligation, and job stress when in the workplace. Their innovative behavior was evaluated by their immediate supervisors. Findings - Results suggest that PIS is positively related to employee's innovative behavior, and felt obligation mediates this relationship. In addition, job stress moderates two stage relationships: one is to moderate the relationship between felt obligation and innovative behavior; the other is to moderate the whole mediation model. Practical implications - In China, managers can treat some employees as family members and support them when they are in trouble so that the employees will perceive insider status. Let employees get the feeling of PIS maybe a good way to motivate them to contribute to the organization. In addition, managers should reduce the work load of some employees who are expected to be innovative. Then those employees will have much more spare time to engage in innovative behavior. Originality/value - This research sheds light on the relationship between PIS and innovative behavior in a non-western context by testing the mediating mechanism guided by role identity and appropriateness framework, which is a way different from social exchange process.</t>
  </si>
  <si>
    <t>[Wang, Hongli; Feng, Jingming] South China Univ Technol, Fac Business Management, Guangzhou, Guangdong, Peoples R China; [Prevellie, Peter] Vrije Univ Amsterdam, Fac Business Management, Amsterdam, Netherlands; [Wu, Kunjin] Guangdong Univ Finance, Fac Business Management, Guangzhou, Guangdong, Peoples R China</t>
  </si>
  <si>
    <t>South China University of Technology; Vrije Universiteit Amsterdam; Guangdong University of Finance</t>
  </si>
  <si>
    <t>Feng, JM (corresponding author), South China Univ Technol, Fac Business Management, Guangzhou, Guangdong, Peoples R China.</t>
  </si>
  <si>
    <t>michael.jmfung@yahoo.com</t>
  </si>
  <si>
    <t>Feng, Jingming/GQB-3604-2022</t>
  </si>
  <si>
    <t>National China Natural Science Foundation [71402057]; Guangdong Province Natural Science Found [2014A030313255]; Guangdong Soft Science Found [2016A070705017]; Central University Key Project of Basic Scientific Research Business Expenses [2015ZDXM03]</t>
  </si>
  <si>
    <t>National China Natural Science Foundation; Guangdong Province Natural Science Found; Guangdong Soft Science Found; Central University Key Project of Basic Scientific Research Business Expenses</t>
  </si>
  <si>
    <t>Jingming Feng has equal contribution to the first author. This research has been supported by National China Natural Science Foundation (71402057); Guangdong Province Natural Science Found (2014A030313255); Guangdong Soft Science Found (2016A070705017); and The Central University Key Project of Basic Scientific Research Business Expenses (2015ZDXM03).</t>
  </si>
  <si>
    <t>10.1108/JOCM-06-2016-0109</t>
  </si>
  <si>
    <t>FM4HT</t>
  </si>
  <si>
    <t>WOS:000414976400012</t>
  </si>
  <si>
    <t>Donati, S; Zappala, S; Gonzalez-Roma, V</t>
  </si>
  <si>
    <t>Donati, Simone; Zappala, Salvatore; Gonzalez-Roma, Vicente</t>
  </si>
  <si>
    <t>The influence of friendship and communication network density on individual innovative behaviours: a multilevel study</t>
  </si>
  <si>
    <t>individual innovative behaviours (IIBs); friendship network density; communication network density; innovation; creativity</t>
  </si>
  <si>
    <t>LEADER-MEMBER EXCHANGE; SOCIAL NETWORKS; TRANSFORMATIONAL LEADERSHIP; WORK GROUPS; WEAK-TIES; CREATIVITY; TEAM; IMPLEMENTATION; PERFORMANCE; KNOWLEDGE</t>
  </si>
  <si>
    <t>The present study examines whether teams' friendship and communication network density are related to individual innovative behaviours (IIBs: idea generation, suggestion making, idea promotion and idea implementation). The study sample was composed of 28 teams comprising 101 members. The results obtained by means of multilevel structural equations modelling showed that friendship network density had an indirect positive relationship with the four IIBs through the density of team communication networks.</t>
  </si>
  <si>
    <t>[Donati, Simone; Zappala, Salvatore] Univ Bologna, Dept Psychol, Piazza A Moro 90, Cesena, Italy; [Gonzalez-Roma, Vicente] Univ Valencia, Idocal, Ave Blasco Ibanez 21, Valencia, Spain</t>
  </si>
  <si>
    <t>University of Bologna; University of Valencia</t>
  </si>
  <si>
    <t>Donati, S (corresponding author), Univ Bologna, Dept Psychol, Piazza A Moro 90, Cesena, Italy.</t>
  </si>
  <si>
    <t>simone.donati@unibo.it</t>
  </si>
  <si>
    <t>Zappala, Salvatore/AAK-4850-2020; GONZALEZ-ROMA, VICENTE/AAB-8907-2022; GONZALEZ-ROMA, VICENTE/L-8963-2014</t>
  </si>
  <si>
    <t>GONZALEZ-ROMA, VICENTE/0000-0002-0657-7375; GONZALEZ-ROMA, VICENTE/0000-0002-0657-7375; Zappala', Salvatore/0000-0002-8679-1063</t>
  </si>
  <si>
    <t>10.1080/1359432X.2016.1179285</t>
  </si>
  <si>
    <t>WOS:000378743900009</t>
  </si>
  <si>
    <t>Verschuere, B; Beddeleem, E; Verlet, D</t>
  </si>
  <si>
    <t>Verschuere, Bram; Beddeleem, Eline; Verlet, Dries</t>
  </si>
  <si>
    <t>DETERMINANTS OF INNOVATIVE BEHAVIOUR IN FLEMISH NONPROFIT ORGANIZATIONS</t>
  </si>
  <si>
    <t>Innovative behaviour; result-oriented behaviour; non-profit organizations; Flanders</t>
  </si>
  <si>
    <t>Faced with an increasingly challenging environment, nonprofit organizations (NPOs) must behave innovatively and act in a result- or performance-oriented manner. In this article, we explore the extent to which NPOs behave innovatively (in their management and service delivery), and the factors that determine this innovative behaviour. We conducted our research in the main subsectors of the Flemish nonprofit sector (education, welfare, health and the socio-cultural sector). The results presented here are based on a survey of 170 NPO managers. We found that the organizations within our sample claim that innovations occur to a fairly large extent. We have, however, discovered differences in innovative behaviour between subsectors. In addition, we found that there are many forces at work when trying to explain innovative behaviour in NPOs and different forms of innovative behaviour also seem to have different explanations.</t>
  </si>
  <si>
    <t>[Verschuere, Bram] Univ Ghent, Fac Econ &amp; Business Adm, B-9000 Ghent, Belgium; [Verschuere, Bram] Univ Coll Ghent, Ghent, Belgium; [Beddeleem, Eline; Verlet, Dries] Ghent Univ Coll, Fac Business Adm &amp; Publ Adm, Ghent, Belgium; [Beddeleem, Eline] Univ Ghent, Dept Business &amp; Publ Adm, B-9000 Ghent, Belgium; [Verlet, Dries] Univ Ghent, B-9000 Ghent, Belgium</t>
  </si>
  <si>
    <t>Ghent University; HOGENT University College of Applied Sciences &amp; Arts; Ghent University; HOGENT University College of Applied Sciences &amp; Arts; Ghent University; Ghent University</t>
  </si>
  <si>
    <t>Verschuere, B (corresponding author), Univ Ghent, Fac Econ &amp; Business Adm, B-9000 Ghent, Belgium.</t>
  </si>
  <si>
    <t>bram.verschuere@ugent.be; eline.beddeleem@gmail.com; dries.verlet@hogent.be</t>
  </si>
  <si>
    <t>FEB 17</t>
  </si>
  <si>
    <t>10.1080/14719037.2012.757347</t>
  </si>
  <si>
    <t>AC0PS</t>
  </si>
  <si>
    <t>WOS:000332197800002</t>
  </si>
  <si>
    <t>Kyei-Poku, I</t>
  </si>
  <si>
    <t>Kyei-Poku, Ivy</t>
  </si>
  <si>
    <t>The benefits of belongingness and interactional fairness to interpersonal citizenship behavior</t>
  </si>
  <si>
    <t>Belongingness; Interactional fairness; Interpersonal citizenship behaviour; Partial least squares</t>
  </si>
  <si>
    <t>PERCEIVED ORGANIZATIONAL SUPPORT; PROCEDURAL JUSTICE; JOB-SATISFACTION; MEDIATING ROLE; AFFECTIVE COMMITMENT; ABUSIVE SUPERVISION; WORKPLACE DEVIANCE; TASK-PERFORMANCE; SOCIAL IDENTITY; SELF-REGULATION</t>
  </si>
  <si>
    <t>Purpose - The purpose of this paper is to examine the main and indirect effects of belongingness and interactional fairness on interpersonal citizenship behavior. Design/methodology/approach - Field data were obtained from 141 subordinate-supervisor dyads from diverse occupations and organizations within Canada. The study was cross-sectional in nature. Findings - Consistent with expectations the findings demonstrates that interactional fairness positively predicts employee sense of belongingness, and employees show more helping behavior (supervisor rated) when they have a stronger sense of belongingness at work. Belongingness partially mediates the relationship between interactional fairness and interpersonal behavior. Research limitations/implications - Future research could involve investigating a broader range of mediating mechanisms that might promote interpersonal citizenship behavior; for example, trust. As previously indicated, belongingness partially mediates the relationship between interactional fairness and interpersonal citizenship behavior, implying other possible mechanisms through which interactional fairness influences follower behaviors. Moreover, this research can be extended to include to other forms of prosocial behaviors (e. g. innovative behavior). Practical implications - Satisfying employees' need for belonging is an important aspect of organizational life and useful in promoting helping behaviors among coworkers, it is essential for organizations to, therefore, create a work culture of inclusiveness. It is prudent for organizations to also expend greater effort to maximize interactional fairness by introducing programs intended for training organizational leaders how to be fair. Originality/value - Interpersonal citizenship behavior is important for group and organizational functioning; however, current psychological models are insufficient for understanding these behaviors. To advance the understanding, this study attempts to directly test individuals' sense of belongingness as the psychological mechanism through which interactional justice can influence interpersonal citizenship behavior.</t>
  </si>
  <si>
    <t>Univ Winnipeg, Dept Business &amp; Adm, Winnipeg, MB R3B 2E9, Canada</t>
  </si>
  <si>
    <t>University of Winnipeg</t>
  </si>
  <si>
    <t>Kyei-Poku, I (corresponding author), Univ Winnipeg, Dept Business &amp; Adm, Winnipeg, MB R3B 2E9, Canada.</t>
  </si>
  <si>
    <t>i.kyei-poku@uwinnipeg.ca</t>
  </si>
  <si>
    <t>10.1108/LODJ-09-2012-0117</t>
  </si>
  <si>
    <t>AR2AE</t>
  </si>
  <si>
    <t>WOS:000343384900002</t>
  </si>
  <si>
    <t>Zenko, Z; Sardi, V</t>
  </si>
  <si>
    <t>Zenko, Zdenka; Sardi, Valentina</t>
  </si>
  <si>
    <t>Systemic thinking for socially responsible innovations in social tourism for people with disabilities</t>
  </si>
  <si>
    <t>Management; Tourism; Social responsibility; Systems theory; Social change; Dialectical systems theory; People with disabilities; Innovation management</t>
  </si>
  <si>
    <t>ETHICS; ACCESS</t>
  </si>
  <si>
    <t>Purpose - Socially responsible innovative behaviour should reduce the incidence of one-sidedness in the behaviour of persons. employed or active in tourism organizations. People with disabilities are often poorly integrated, even in the advanced societies. The paper aims to discuss these issues. Design/methodology/approach - With a requisitely holistic approach in dialectical systems theory and an overview of relevant literature, the common characteristics of tourists with disabilities are briefly described. A dialectical systemic analysis was used to determine whether people with disabilities want to travel and what their requirements are. A questionnaire was used to identify their recent travelling experiences; tourism organizations were interviewed about their experiences, too. A model of a travel agency, specialized for people with disabilities, is presented. Findings - The usual approach to people with special needs is too one-sided. A more requisitely holistic approach to understanding their needs in tourism, based on existing literature and an empirical analysis, is presented. A more innovative management of tourism organizations is proposed, increasing social responsibility (SR). Research limitations/implications - The authors contribute to the integration of people with disabilities in society, focusing on innovation in the management of tourism organizations. Practical implications This new, more systemic and socially responsible innovative management in tourism is widely applicable. Tourists with disabilities, their family members, and their travelling companions could become more included in tourist activities and represent a potentially significant share of the market. A requisitely holistic approach can provide advantages for tourists with disabilities and tourism organizations. Originality/value - The concepts were not found in available literature neither is the selection of viewpoints of dialectical systems thinking and SR in tourism. They support understanding, designing and managing activities in tourism for people with various limitations or specific needs.</t>
  </si>
  <si>
    <t>[Zenko, Zdenka; Sardi, Valentina] Univ Maribor, Fac Econ &amp; Business, SLO-2000 Maribor, Slovenia</t>
  </si>
  <si>
    <t>Zenko, Z (corresponding author), Univ Maribor, Fac Econ &amp; Business, Razlagova 14, SLO-2000 Maribor, Slovenia.</t>
  </si>
  <si>
    <t>10.1108/K-09-2013-0211</t>
  </si>
  <si>
    <t>AE6ZQ</t>
  </si>
  <si>
    <t>WOS:000334146900021</t>
  </si>
  <si>
    <t>Lopez-Bonilla, JM; Lopez-Bonilla, LM</t>
  </si>
  <si>
    <t>Manuel Lopez-Bonilla, Jesus; Lopez-Bonilla, Luis-Miguel</t>
  </si>
  <si>
    <t>Sensation-Seeking Profiles and Personal Innovativeness in Information Technology</t>
  </si>
  <si>
    <t>SOCIAL SCIENCE COMPUTER REVIEW</t>
  </si>
  <si>
    <t>sensation seeking; profile; innovativeness; information technology</t>
  </si>
  <si>
    <t>CONSUMER INNOVATIVENESS; STIMULATION LEVEL; INTERNET USE; RISK-TAKING; SCALE; PREFERENCES; ATTITUDES; ADOPTION; SEGMENTATION; CONSTRUCTION</t>
  </si>
  <si>
    <t>Sensation seeking has been studied extensively. However, the study of sensation-seeking profiles is still very limited in the literature and even more so in the area of information and communication technology (ICT). The present study analyzes sensation seeking and the innovative behavior of individuals in the use of information technologies. This work explores the connection between two individual personality traits: sensation seeking (from a social psychology perspective) and personal innovativeness in ICT (from marketing and information systems perspectives). An empirical study was carried out on a sample of 819 university students. The authors have analyzed 12 profiles, which were obtained from the combination of the four traits of the Sensation-Seeking scale. The results confirmed the relationship between both constructs in three sensation-seeking profiles.</t>
  </si>
  <si>
    <t>[Manuel Lopez-Bonilla, Jesus; Lopez-Bonilla, Luis-Miguel] Univ Seville, Dept Business Adm &amp; Mkt, Seville 41018, Spain</t>
  </si>
  <si>
    <t>Lopez-Bonilla, JM (corresponding author), Univ Seville, Dept Business Adm &amp; Mkt, Seville 41018, Spain.</t>
  </si>
  <si>
    <t>lopezbon@us.es</t>
  </si>
  <si>
    <t>Lopez-Bonilla, Luis Miguel/I-9284-2017; Lopez-Bonilla, Jesus Manuel/K-5657-2017</t>
  </si>
  <si>
    <t>Lopez-Bonilla, Luis Miguel/0000-0002-5324-7715; Lopez-Bonilla, Jesus Manuel/0000-0003-0623-1048</t>
  </si>
  <si>
    <t>0894-4393</t>
  </si>
  <si>
    <t>1552-8286</t>
  </si>
  <si>
    <t>SOC SCI COMPUT REV</t>
  </si>
  <si>
    <t>Soc. Sci. Comput. Rev.</t>
  </si>
  <si>
    <t>10.1177/0894439311427246</t>
  </si>
  <si>
    <t>Computer Science, Interdisciplinary Applications; Information Science &amp; Library Science; Social Sciences, Interdisciplinary</t>
  </si>
  <si>
    <t>Computer Science; Information Science &amp; Library Science; Social Sciences - Other Topics</t>
  </si>
  <si>
    <t>015WW</t>
  </si>
  <si>
    <t>WOS:000309478100003</t>
  </si>
  <si>
    <t>Ihrke, D; Proctor, R; Gabris, J</t>
  </si>
  <si>
    <t>Understanding innovation in municipal government: City council member perspectives</t>
  </si>
  <si>
    <t>JOURNAL OF URBAN AFFAIRS</t>
  </si>
  <si>
    <t>Municipal governments have been elevated to a new status in the American federal system due to devolution of federal and state responsibilities to the local level and the widespread recognition that they are the governments most capable of innovative behavior. While we know that local governments are likely to engage in innovation, we do not know what contributes to the perceived success or failure of those innovations. The central focus of this article is to explore the factors that contribute to managerial innovation in municipal governments in Wisconsin, as perceived by council members in their respective communities. Using multiple regression procedures we determine that managerial leadership and policy board-adininistrative relations explain a significant amount of variation for innovations dealing with privatization, customer service, and strategic planning. We demonstrate that the credibility of executives and board-staff relationships is an important determinant of innovative behavior in local government.</t>
  </si>
  <si>
    <t>Siena Coll, Sch Business, Loudonville, NY 12211 USA; Univ Wisconsin, Milwaukee, WI 53201 USA; No Illinois Univ, De Kalb, IL 60115 USA</t>
  </si>
  <si>
    <t>University of Wisconsin System; University of Wisconsin Milwaukee; Northern Illinois University</t>
  </si>
  <si>
    <t>Proctor, R (corresponding author), Siena Coll, Sch Business, 515 Loudon Rd, Loudonville, NY 12211 USA.</t>
  </si>
  <si>
    <t>proctor@siena.edu</t>
  </si>
  <si>
    <t>0735-2166</t>
  </si>
  <si>
    <t>J URBAN AFF</t>
  </si>
  <si>
    <t>J. Urban Aff.</t>
  </si>
  <si>
    <t>10.1111/1467-9906.t01-1-00006</t>
  </si>
  <si>
    <t>Urban Studies</t>
  </si>
  <si>
    <t>655MP</t>
  </si>
  <si>
    <t>WOS:000181556700006</t>
  </si>
  <si>
    <t>RAMEY, JW</t>
  </si>
  <si>
    <t>EMERGING PATTERNS OF INNOVATIVE BEHAVIOR IN MARRIAGE</t>
  </si>
  <si>
    <t>FAMILY COORDINATOR</t>
  </si>
  <si>
    <t>CTR STUDY INNOVAT LIFE STYLES,NEW YORK,NY 10956</t>
  </si>
  <si>
    <t>NATL COUNCIL FAMILY RELATIONS</t>
  </si>
  <si>
    <t>3989 CENTRAL AVE NE #550, MINNEAPOLIS, MN 55421</t>
  </si>
  <si>
    <t>0014-7214</t>
  </si>
  <si>
    <t>FAM COORD</t>
  </si>
  <si>
    <t>10.2307/582687</t>
  </si>
  <si>
    <t>Family Studies; Social Issues; Social Work</t>
  </si>
  <si>
    <t>N7072</t>
  </si>
  <si>
    <t>WOS:A1972N707200008</t>
  </si>
  <si>
    <t>Tuan, LT</t>
  </si>
  <si>
    <t>Luu Trong Tuan</t>
  </si>
  <si>
    <t>Disentangling green service innovative behavior among hospitality employees: The role of customer green involvement</t>
  </si>
  <si>
    <t>Green service innovation; Customer green involvement; Internal green marketing; Information management motivations; Vietnam</t>
  </si>
  <si>
    <t>PERSONAL INFORMATION-MANAGEMENT; ORGANIZATIONAL CITIZENSHIP BEHAVIOR; COMMON METHOD BIAS; TIME-TO-MARKET; MEDIATING ROLE; SUSTAINABLE TOURISM; HOTEL EMPLOYEES; MODERATING ROLE; CREATIVITY; KNOWLEDGE</t>
  </si>
  <si>
    <t>Regardless of the role of customers in co-creating value with organizations, how customer involvement drives employees, particularly in the hospitality industry, to engage in green service innovative endeavors has been scarcely examined. This study seeks to uncover how and when customer green involvement nurtures green service innovative behavior among hotel employees. The dataset was formed from the responses from 519 employees and 84 managers working in Vietnam-based hotels and analyzed via multilevel structural equation modeling. The results demonstrated the role of hotel employees' green information management motivations (i. e., green information proactiveness, transparency, and formality) in mediating the positive relationship between customer green involvement and employee green service innovative behavior. Internal green marketing orientation functioned as an enhancer for the effects of customer green involvement on green information management motivations. This research contributes to the stream of green behavior research by bringing together customer green involvement and green service innovative behavior in the hospitality literature and unraveling the mechanisms behind their relationship.</t>
  </si>
  <si>
    <t>[Luu Trong Tuan] Swinburne Univ Technol, Swinburne Business Sch, Hawthorn, Vic, Australia</t>
  </si>
  <si>
    <t>Tuan, LT (corresponding author), Swinburne Univ Technol, Swinburne Business Sch, Hawthorn, Vic, Australia.</t>
  </si>
  <si>
    <t>ttluu@swin.edu.au</t>
  </si>
  <si>
    <t>10.1016/j.ijhm.2021.103045</t>
  </si>
  <si>
    <t>WD1WE</t>
  </si>
  <si>
    <t>WOS:000704739000005</t>
  </si>
  <si>
    <t>Yang, MJ; Luu, TT; Qian, D</t>
  </si>
  <si>
    <t>Yang, Mingjun; Luu, Tuan Trong; Qian, David</t>
  </si>
  <si>
    <t>Dual-focused transformational leadership and service innovation in hospitality organisations: A multilevel investigation</t>
  </si>
  <si>
    <t>Dual-focused transformational leadership; Service innovation; Developmental culture; Creative self-efficacy; Group diversity</t>
  </si>
  <si>
    <t>CREATIVE SELF-EFFICACY; SOCIAL-EXCHANGE THEORY; MEDIATING ROLE; EMPLOYEE CREATIVITY; MODERATING ROLE; DEVELOPMENTAL CULTURE; CITIZENSHIP BEHAVIORS; CUSTOMER SATISFACTION; DIVERSITY MANAGEMENT; HOTEL SERVICES</t>
  </si>
  <si>
    <t>Service innovation from hospitality employees can contribute to improving service quality and further facilitating hospitality organisations to gain competitive advantage and maintain prosperity. Drawing upon social exchange theory and social cognitive theory, we developed a multilevel model of the relationships between dualfocused transformational leadership (TFL) and service innovation at the team and individual levels, as well as mediating and moderating mechanisms behind the relationships. Data were collected from team leaders and their employees from hospitality organisations in Henan Province, China. Multilevel structural equation modelling (MSEM) was employed to validate the model. The results showed that team-focused TFL promoted team service innovation via developmental culture while individual-focused TFL promoted employee service innovative behaviour via creative self-efficacy. Group openness diversity concurrently moderated the relationship between developmental culture and team service innovation, and the relationship between individualfocused TFL and creative self-efficacy. Enlightened by the research findings, theoretical and practical implications are drawn.</t>
  </si>
  <si>
    <t>[Yang, Mingjun; Luu, Tuan Trong; Qian, David] Swinburne Univ Technol, Swinburne Business Sch, 27 John St, Hawthorn, Vic 3122, Australia</t>
  </si>
  <si>
    <t>Yang, MJ (corresponding author), Swinburne Univ Technol, Swinburne Business Sch, 27 John St, Hawthorn, Vic 3122, Australia.</t>
  </si>
  <si>
    <t>mingjunyang17@gmail.com; ttluu@swin.edu.au; dqian@swin.edu.au</t>
  </si>
  <si>
    <t>Yang, Mingjun/ABE-7713-2021</t>
  </si>
  <si>
    <t>Yang, Mingjun/0000-0002-2407-6582</t>
  </si>
  <si>
    <t>10.1016/j.ijhm.2021.103035</t>
  </si>
  <si>
    <t>JUL 2021</t>
  </si>
  <si>
    <t>UJ7ZZ</t>
  </si>
  <si>
    <t>WOS:000691500700013</t>
  </si>
  <si>
    <t>Shen, YJ; Xie, WX; Wang, XY; Qu, JL; Zhou, T; Li, YN; Mao, XE; Hou, P; Liu, YB</t>
  </si>
  <si>
    <t>Shen, Yijing; Xie, Wenxin; Wang, Xiangyu; Qu, Jiling; Zhou, Ting; Li, Yongnan; Mao, Xin'e; Hou, Ping; Liu, Yongbing</t>
  </si>
  <si>
    <t>Impact of innovative education on the professionalism of undergraduate nursing students in China</t>
  </si>
  <si>
    <t>NURSE EDUCATION TODAY</t>
  </si>
  <si>
    <t>Innovative atmosphere; Innovative behavior; Professional self-efficacy; Professional identity; Professionalism; Nursing students</t>
  </si>
  <si>
    <t>SELF-EFFICACY; WORK-ENVIRONMENT; BEHAVIOR; CREATIVITY; QUALITY; CLIMATE; ROLES; MODEL</t>
  </si>
  <si>
    <t>Aim: To explore the relationships among innovative atmosphere, innovative behavior, professional self-efficacy, professional identity, and professionalism of undergraduate nursing students in China. Background: In lieu of the global shortage of nurses and low professional willingness of nursing students, innovative qualities are closely related to the professionalism of nurses. Methods: The participants of this cross-sectional study consisted of 320 nursing students recruited from the Nursing College of a comprehensive university in Jiangsu Province, China who voluntarily completed an anonymous questionnaire from May to October 2019. Structural equation modeling analyses were performed. Results: There was a positive correlation between all hypothetical pairwise variables (r = 0.496-0.795, p &lt; 0.01). The final research model fits well. The results revealed that innovation atmosphere had a positive effect on innovative behavior and innovative behavior could affect nursing professionalism through self-efficacy and identity. Conclusion: Innovative education plays a very important role in the professionalism of undergraduate nursing students. Nursing educators can promote the development of professionalism in future nurses by fostering innovative behaviors.</t>
  </si>
  <si>
    <t>[Shen, Yijing; Xie, Wenxin; Wang, Xiangyu; Qu, Jiling; Zhou, Ting; Li, Yongnan; Mao, Xin'e; Hou, Ping; Liu, Yongbing] Yangzhou Univ, Sch Nursing, Yangzhou, Jiangsu, Peoples R China</t>
  </si>
  <si>
    <t>Yangzhou University</t>
  </si>
  <si>
    <t>Liu, YB (corresponding author), Yangzhou Univ, Sch Nursing, Yangzhou, Jiangsu, Peoples R China.</t>
  </si>
  <si>
    <t>bingbing19950806@163.com</t>
  </si>
  <si>
    <t>Yangzhou University [201911117088Y, YZUJX2018-6A]</t>
  </si>
  <si>
    <t>This work was supported by Yangzhou University (Project No. 201911117088Y; Project No. YZUJX2018-6A).</t>
  </si>
  <si>
    <t>CHURCHILL LIVINGSTONE</t>
  </si>
  <si>
    <t>EDINBURGH</t>
  </si>
  <si>
    <t>JOURNAL PRODUCTION DEPT, ROBERT STEVENSON HOUSE, 1-3 BAXTERS PLACE, LEITH WALK, EDINBURGH EH1 3AF, MIDLOTHIAN, SCOTLAND</t>
  </si>
  <si>
    <t>0260-6917</t>
  </si>
  <si>
    <t>1532-2793</t>
  </si>
  <si>
    <t>NURS EDUC TODAY</t>
  </si>
  <si>
    <t>Nurse Educ. Today</t>
  </si>
  <si>
    <t>10.1016/j.nedt.2020.104647</t>
  </si>
  <si>
    <t>Education, Scientific Disciplines; Nursing</t>
  </si>
  <si>
    <t>Education &amp; Educational Research; Nursing</t>
  </si>
  <si>
    <t>QZ1UU</t>
  </si>
  <si>
    <t>WOS:000630520700001</t>
  </si>
  <si>
    <t>Imam, H; Naqvi, MB; Naqvi, SA; Chambel, MJ</t>
  </si>
  <si>
    <t>Imam, Hassan; Naqvi, Muhammad Baqar; Naqvi, Sajid Ali; Chambel, Maria Jose</t>
  </si>
  <si>
    <t>Authentic leadership: unleashing employee creativity through empowerment and commitment to the supervisor</t>
  </si>
  <si>
    <t>Authentic leadership; Creativity; Empowerment; Commitment to supervisor; Social exchange theory</t>
  </si>
  <si>
    <t>PSYCHOLOGICAL EMPOWERMENT; ORGANIZATIONAL COMMITMENT; INDIVIDUAL CREATIVITY; JOB-PERFORMANCE; INNOVATION; BEHAVIOR; IMPACT; MODEL; SATISFACTION; VALIDATION</t>
  </si>
  <si>
    <t>Purpose The increasing interest of organizations to innovate and survive in the market, combined with a decreasing level of trust in their leaders, has now led thinkers and researchers to begin exploring beyond traditional leadership theories. The literature indicates that, due to the lack of a strong and explicit moral dimension, positive leadership may be incomplete. The purpose of this study is to understand the creativity mechanism that is fostered by authentic leadership through empowerment and commitment to the supervisor. Design/methodology/approach The data of 214 employees were collected from the strategic units (product generation, customer services, marketing and sales) of all five telecoms which are currently operating in Pakistan. The parallel mediation model was used to analyze the hypothesized model. Findings Results confirmed that authentic leadership leverages creativity. Mediation results further confirmed that creativity increases when employees feel empowered and are committed to an authentic leader. However, contrast analysis indicated that empowerment has a stronger role in increasing creativity. Research limitations/implications Not limited to theoretical debate, the present study emphasized that organizations improve creativity by adopting a management model which delivers moral values along with an efficient, transparent system and empowered culture. Managers should be trained to develop authentic traits so that they can then identify and address critical areas which will serve to nurture creative and innovative behavior in their followers. Originality/value Authentic leadership is an emerging concept, yet debate on authentic leadership and creativity is in the establishment phase. The present study highlights that authentic leadership is not simply a consequence of success or the development of a pool of loyal subordinates; rather, empowered leadership at all levels is at the heart of a successful organization.</t>
  </si>
  <si>
    <t>[Imam, Hassan] Riphah Int Univ, Riphah Sch Business &amp; Management, Lahore Campus, Lahore, Pakistan; [Naqvi, Muhammad Baqar] Quaid E Azam Acad Educ Dev, Lahore, Pakistan; [Naqvi, Sajid Ali] COMSATS Inst Informat Technol, Islamabad, Pakistan; [Chambel, Maria Jose] Univ Lisbon, Fac Psicol, Lisbon, Portugal</t>
  </si>
  <si>
    <t>COMSATS University Islamabad (CUI); Universidade de Lisboa</t>
  </si>
  <si>
    <t>Imam, H (corresponding author), Riphah Int Univ, Riphah Sch Business &amp; Management, Lahore Campus, Lahore, Pakistan.</t>
  </si>
  <si>
    <t>hassan.imam@unive.it; smbn514@gmail.com; sajidalishaw@gmail.com; mjchambel@psicologia.ulisboa.pt</t>
  </si>
  <si>
    <t>Imam, Hassan/AFP-8846-2022</t>
  </si>
  <si>
    <t>Imam, Hassan/0000-0002-0740-0897; Chambel, Maria Jose/0000-0001-6588-7034</t>
  </si>
  <si>
    <t>10.1108/LODJ-05-2019-0203</t>
  </si>
  <si>
    <t>WOS:000552772500001</t>
  </si>
  <si>
    <t>Park, KO</t>
  </si>
  <si>
    <t>Park, Kwang O.</t>
  </si>
  <si>
    <t>How CSV and CSR Affect Organizational Performance: A Productive Behavior Perspective</t>
  </si>
  <si>
    <t>CSR; CSV; work engagement; productive behavior; OCB; innovative behavior; job performance</t>
  </si>
  <si>
    <t>CORPORATE SOCIAL-RESPONSIBILITY; CITIZENSHIP BEHAVIORS; JOB DEMANDS; ENGAGEMENT</t>
  </si>
  <si>
    <t>Background: This study aims to shed light on the mutually beneficial causal relationship between creating shared value (CSV) and corporate social responsibility (CSR) activities and how they affect productive behavior through work engagement. Many preceding studies showed that work engagement and organizational citizenship behaviors (OCB) play a major role in the relationship between CSV and CSR activities and the organization's internal performance. This study classified product behavior into OCB, innovative behavior, and job performance, based on the literature review. Methods: The subjects of this study were companies listed in KOSPI, which is Korea's representative securities market. The companies listed on KOSPI are Korea's leading companies as designated by the Korean government and financial authorities based on industry representation, market representation, and liquidity. Results: This study supported many preceding studies that analyzed the causal relationship between CSV and CSR activities, as well as OCB. In addition, this study has significant implications for businesses since it presents the possibility of studying the relationships between various organizational performance factors such as innovative behavior and job performance. Conclusions: It is expected that this study will help companies find more effective ways to strengthen their competitive advantage from a theoretical and practical perspective.</t>
  </si>
  <si>
    <t>[Park, Kwang O.] Yeungnam Univ Coll, Div Business, 170 Hyeonchung Ro, Daegu 42415, South Korea</t>
  </si>
  <si>
    <t>Park, KO (corresponding author), Yeungnam Univ Coll, Div Business, 170 Hyeonchung Ro, Daegu 42415, South Korea.</t>
  </si>
  <si>
    <t>kopark1021@ync.ac.kr</t>
  </si>
  <si>
    <t>10.3390/ijerph17072556</t>
  </si>
  <si>
    <t>LK3LI</t>
  </si>
  <si>
    <t>WOS:000530763300388</t>
  </si>
  <si>
    <t>High-involvement HRM practices and innovative work behavior among production-line workers: mediating role of employee's functional flexibility</t>
  </si>
  <si>
    <t>High involvement HRM practices; Functional flexibility; Innovative work behavior</t>
  </si>
  <si>
    <t>HUMAN-RESOURCE MANAGEMENT; INTERNAL LABOR FLEXIBILITY; KNOWLEDGE-MANAGEMENT; ORGANIZATIONAL PERFORMANCE; MANUFACTURING PERFORMANCE; INDIVIDUAL INNOVATION; MODERATING ROLE; PERCEPTIONS; CREATIVITY; SYSTEMS</t>
  </si>
  <si>
    <t>Purpose Following AMO framework and resource-based theory (RBT), the current study empirically examines the relationships between high-involvement human resource management (HI HRM) practices, employee functional flexibility (FF) and innovative work behavior (IWB). Furthermore, the mediating effect of FF has also been tested. Design/methodology/approach Descriptive statistics, correlation, hierarchical regression analysis, baron and Kenny, PROCESS Macro and Sobel Test approach were used on a sample of 894 employees of manufacturing concerns. Findings Findings revealed a direct effect of HI HRM practices on FF and IWB. In addition, the results confirm that FF positively mediates between HI HRM practices and IWB. Furthermore, three dimensions of HI HRM practices, i.e. ability-enhancing (AE), motivation-enhancing (ME) and opportunity-enhancing (OE) HRM practices also predicted FF and IWB. Originality/value Although the empirical evidence is well established that HI HRM practices have a substantial contribution for organizational performance, however, there is lack of studies that empirically examine the associations among HI HRM practices, employee's competencies and behaviors, as well as the mechanism through which HI HRM practices affect work related innovative behavior. Finally, in distinguishing from the past studies, this study explores HI HRM practices as an important predictor of FF in addressing the IWB.</t>
  </si>
  <si>
    <t>Majid, A (corresponding author), Hazara Univ, Dept Management Sci, Mansehra, Pakistan.</t>
  </si>
  <si>
    <t>gccm81@gmail.com; abdulmajid@hu.edu.pk</t>
  </si>
  <si>
    <t>JUN 1</t>
  </si>
  <si>
    <t>10.1108/ER-02-2018-0061</t>
  </si>
  <si>
    <t>LP8DR</t>
  </si>
  <si>
    <t>WOS:000522237800001</t>
  </si>
  <si>
    <t>Zhou, Z; Verburg, R</t>
  </si>
  <si>
    <t>Zhou, Zhao; Verburg, Robert</t>
  </si>
  <si>
    <t>Open for business: The impact of creative team environment and innovative behaviour in technology-based start-ups</t>
  </si>
  <si>
    <t>INTERNATIONAL SMALL BUSINESS JOURNAL-RESEARCHING ENTREPRENEURSHIP</t>
  </si>
  <si>
    <t>creative team environment; entrepreneurship; innovative work behaviour; openness to experience; technology-based start-ups</t>
  </si>
  <si>
    <t>GOODNESS-OF-FIT; PATENT STATISTICS; PERFORMANCE; KNOWLEDGE; ENTREPRENEURSHIP; ORIENTATION; INFORMATION; CAPABILITY; DIVERSITY; ATTENTION</t>
  </si>
  <si>
    <t>Rather than the view of the entrepreneur as a 'lone ranger', recent work has focused on the importance of teams in bringing a start-up to growth and success. Here, we aim to bridge the gap between the individual characteristics of entrepreneurs and the characteristics of their teams by examining openness of founders in relation to creative team environment (CTE), innovative work behaviour (IWB) and performance. On the basis of upper echelon theory and integrating other complementary theories such as the attention-based view, we develop a theoretical framework and test this using a survey of 322 high-tech entrepreneurs. Our findings suggest a mediating role of CTE and IWB in the relation between openness of entrepreneurs and performance. The implications of the results for managerial practices and future research directions are discussed.</t>
  </si>
  <si>
    <t>[Zhou, Zhao] Shanghai Univ Finance &amp; Econ, Shanghai, Peoples R China; [Verburg, Robert] Delft Univ Technol, Delft, Netherlands</t>
  </si>
  <si>
    <t>Shanghai University of Finance &amp; Economics; Delft University of Technology</t>
  </si>
  <si>
    <t>Zhou, Z (corresponding author), Shanghai Univ Finance &amp; Econ, Coll Business, Guoding Rd 777, Shanghai 200433, Peoples R China.</t>
  </si>
  <si>
    <t>zhao.zhou1121@gmail.com</t>
  </si>
  <si>
    <t>Verburg, Robert/0000-0002-5805-8737</t>
  </si>
  <si>
    <t>0266-2426</t>
  </si>
  <si>
    <t>1741-2870</t>
  </si>
  <si>
    <t>INT SMALL BUS J</t>
  </si>
  <si>
    <t>Int. Small Bus. J.-Res. Entrep.</t>
  </si>
  <si>
    <t>10.1177/0266242619892793</t>
  </si>
  <si>
    <t>LV5CF</t>
  </si>
  <si>
    <t>WOS:000507027000001</t>
  </si>
  <si>
    <t>Rastrollo-Horrillo, MA; Diaz, MR</t>
  </si>
  <si>
    <t>Rastrollo-Horrillo, Maria-Angeles; Rivero Diaz, Mayra</t>
  </si>
  <si>
    <t>Destination social capital and innovation in SMEs tourism firms: an empirical analysis in an adverse socio-economic context</t>
  </si>
  <si>
    <t>Innovation; social capital; intellectual capital; tourism SMEs; tourism destination; adverse context</t>
  </si>
  <si>
    <t>RESOURCES; PERFORMANCE; COMMUNITY; IMPACT</t>
  </si>
  <si>
    <t>This study examines the structural relationships between internal and external resources that explain the innovation of small tourism firms in adverse socio-economic contexts. Specifically, it analyzes two internal resources, human and organizational-technological capital, and the valuable intangible resources derived from social interactions between the agents in the destination (other companies, institutions, and community). The research hypotheses are tested by means of structural equation analysis applied to an empirical study of 180 tourism firms located in Isla Margarita (Venezuela). The findings confirm the importance of external resources derived from relationships with destination agents in the innovation behavior of tourism small and medium-sized enterprises (SMEs). While business social capital affects innovative behavior directly, other types of internal intellectual capital mediate the relationship between innovative behavior and institutional and community social capital. It is the first to address the local community's role in the innovation of tourism SMEs. The importance of integrating firm and destination resources should inform SMEs' innovation policies in adverse contexts where the scarcity of resources make vulnerable the economic, social and environmental sustainability.</t>
  </si>
  <si>
    <t>[Rastrollo-Horrillo, Maria-Angeles] Univ Malaga, Univ Res Inst Tourist Intelligence &amp; Innovat I3t, Dept Econ &amp; Business Management, Campus Ejido S-N, Malaga 29071, Spain; [Rivero Diaz, Mayra] Univ Oriente, Hospitality &amp; Tourism Sch, Isla Margarita, Venezuela</t>
  </si>
  <si>
    <t>Universidad de Malaga</t>
  </si>
  <si>
    <t>Rastrollo-Horrillo, MA (corresponding author), Univ Malaga, Univ Res Inst Tourist Intelligence &amp; Innovat I3t, Dept Econ &amp; Business Management, Campus Ejido S-N, Malaga 29071, Spain.</t>
  </si>
  <si>
    <t>rastrollo@uma.es</t>
  </si>
  <si>
    <t>Rastrollo, Maria Angeles/AGX-2138-2022; Rastrollo-Horrillo, Maria-Angeles/R-6370-2016</t>
  </si>
  <si>
    <t>Rastrollo-Horrillo, Maria-Angeles/0000-0003-2754-9186</t>
  </si>
  <si>
    <t>10.1080/09669582.2019.1648481</t>
  </si>
  <si>
    <t>AUG 2019</t>
  </si>
  <si>
    <t>VJ7DK</t>
  </si>
  <si>
    <t>WOS:000480971800001</t>
  </si>
  <si>
    <t>Zhou, AQ; Liu, Y; Su, X; Xu, HY</t>
  </si>
  <si>
    <t>Zhou, Aiqin; Liu, Yi; Su, Xin; Xu, Haoying</t>
  </si>
  <si>
    <t>Gossip fiercer than a tiger: Effect of workplace negative gossip on targeted employees' innovative behavior</t>
  </si>
  <si>
    <t>negative workplace gossip; employees' innovative behavior; organization-based self-esteem; creative self-efficacy</t>
  </si>
  <si>
    <t>CREATIVE SELF-EFFICACY; PSYCHOLOGICAL SAFETY; MEDIATING ROLE; JOB DEMANDS; WORK; ENHANCEMENT; MODEL; CONSEQUENCES; DETERMINANTS; PERCEPTIONS</t>
  </si>
  <si>
    <t>From a self-evaluation perspective, we explored the influence of negative workplace gossip on targeted employees' innovative behavior. We surveyed 296 employees of 19 enterprises. The results of regression analysis showed that negative workplace gossip was negatively related to employees' innovative behavior, that organization-based self-esteem mediated the relationship between negative workplace gossip and employees' innovative behavior, and that employees' creative self-efficacy moderated the relationship between organization-based self-esteem and employees' innovative behavior, such that the positive relationship was stronger when employees' creative self-efficacy was higher. Our findings offer insight into the potential harm of gossip in the workplace and contribute to delineating the underlying mechanism and boundary condition of the link between negative workplace gossip and employees' innovative behavior. Theoretical and practical implications are discussed.</t>
  </si>
  <si>
    <t>[Zhou, Aiqin] Tsinghua Univ, Sch Econ &amp; Management, Beijing, Peoples R China; [Liu, Yi] Zhengzhou Ethn Affairs Comm, Zhengzhou, Henan, Peoples R China; [Su, Xin] Beijing Univ Posts &amp; Telecommun, Sch Econ &amp; Management, Beijing, Peoples R China; [Xu, Haoying] Cent Univ Finance &amp; Econ, Sch Business, Beijing, Peoples R China</t>
  </si>
  <si>
    <t>Tsinghua University; Beijing University of Posts &amp; Telecommunications; Central University of Finance &amp; Economics</t>
  </si>
  <si>
    <t>Su, X (corresponding author), Jingguan Bldg,Room 113,10 Xitucheng Rd, Beijing 100876, Peoples R China.</t>
  </si>
  <si>
    <t>xin.su@bupt.edu.cn</t>
  </si>
  <si>
    <t>Su, Xin/HMP-0471-2023; Su, Xin/GMX-2317-2022</t>
  </si>
  <si>
    <t>Su, Xin/0000-0003-3425-9734; Su, Xin/0000-0003-3425-9734</t>
  </si>
  <si>
    <t>Fundamental Research Funds for the Central Universities [2017RC09]</t>
  </si>
  <si>
    <t>Fundamental Research Funds for the Central Universities(Fundamental Research Funds for the Central Universities)</t>
  </si>
  <si>
    <t>This research was funded by the Fundamental Research Funds for the Central Universities (2017RC09). Aiqin Zhou and Yi Liu contributed equally to this research as co-first authors.</t>
  </si>
  <si>
    <t>e5727</t>
  </si>
  <si>
    <t>10.2224/sbp.5727</t>
  </si>
  <si>
    <t>HY0ZB</t>
  </si>
  <si>
    <t>WOS:000467841900002</t>
  </si>
  <si>
    <t>Zhong, ZQ; Hu, DH; Zheng, F; Ding, SQ; Luo, AJ</t>
  </si>
  <si>
    <t>Zhong, Zhuqing; Hu, Dehua; Zheng, Feng; Ding, Siqing; Luo, Aijing</t>
  </si>
  <si>
    <t>Relationship between information-seeking behavior and innovative behavior in Chinese nursing students</t>
  </si>
  <si>
    <t>Information-seeking behavior; Innovative behavior; Correlation analysis; Nursing students; Information literacy</t>
  </si>
  <si>
    <t>STRATEGIES; UNIVERSITY</t>
  </si>
  <si>
    <t>Background In the information-based economy, information literacy has become the foundation of scientific literacy, and provides the basis for innovative growth. Exploring the relationship between information-seeking behaviors and innovative behaviors of nursing students could help guide the development of information literacy education and training for nursing students. The relationship between information-seeking behavior and innovative behavior in nursing students has received little attention, however. Objective: This study aims to explore the relationship between information-seeking behavior and innovative behavior of nursing students. Methods: Nursing students in Xiangya Medical School, Central South University and Medical School of Hunan Normal University in the Chinese Province of Hunan were surveyed with an information-seeking behavior scale and an innovative behavior scale. Results: A total of 1247 nursing students were included in the final analysis. The results showed that both information-seeking behavior and innovative behavior were significantly better in undergraduates than in Junior college nursing students (P&lt;.01), and in postgraduates than in undergraduates (P&lt;.01). The overall level of nursing students' information-seeking behavior was positively related to innovative behavior (r=0.63, P&lt;.01), and the 7 dimensions of information-seeking behavior were also correlated with innovative behavior in varying degrees. Furthermore, information utilization was proved to be the strongest predictor of innovative behavior. Conclusion: Information-seeking behavior is positively associated with innovative behavior among nursing students. There is a need to integrate information literacy education with information retrieval courses, especially in the aspects of information utilization, retrieval, and assessment.</t>
  </si>
  <si>
    <t>[Zhong, Zhuqing; Ding, Siqing] Cent S Univ, Xiangya Hosp 3, Dept Nursing, Changsha, Hunan, Peoples R China; [Hu, Dehua] Cent S Univ, Xiangya Med Sch, Dept Med Informat, Changsha, Hunan, Peoples R China; [Zheng, Feng] Cent S Univ, Xiangya Hosp 3, Dept Coronary Care Unit, Changsha, Hunan, Peoples R China; [Zhong, Zhuqing; Luo, Aijing] Cent S Univ, Coll Hunan Prov, Key Lab Med Informat Res, Changsha, Hunan, Peoples R China</t>
  </si>
  <si>
    <t>Central South University; Central South University; Central South University; Central South University</t>
  </si>
  <si>
    <t>Luo, AJ (corresponding author), Cent S Univ, Coll Hunan Prov, Key Lab Med Informat Res, Changsha, Hunan, Peoples R China.</t>
  </si>
  <si>
    <t>qyh89903811@163.com</t>
  </si>
  <si>
    <t>funds of the Scientific Research Project of the Hunan Province Education Department [16K100]</t>
  </si>
  <si>
    <t>funds of the Scientific Research Project of the Hunan Province Education Department</t>
  </si>
  <si>
    <t>This research was financed by funds of the Scientific Research Project of the Hunan Province Education Department (Grant number: 16K100). We thank students of Xiangya Medical School, Central South University and the Medical School of Hunan Normal University for their support to this study. Shi Wu Wen of the University of Ottawa provided advice on statistical analysis and results interpretation.</t>
  </si>
  <si>
    <t>10.1016/j.nedt.2018.01.004</t>
  </si>
  <si>
    <t>FZ5XO</t>
  </si>
  <si>
    <t>WOS:000427669800001</t>
  </si>
  <si>
    <t>Nguyen, TPT; McMurray, AJ; Muenjohn, N; Muchiri, M</t>
  </si>
  <si>
    <t>Nguyen, T. Pham-Thai; McMurray, Adela J.; Muenjohn, Nuttawuth; Muchiri, Michael</t>
  </si>
  <si>
    <t>Job engagement in higher education</t>
  </si>
  <si>
    <t>Quantitative; Job engagement; Transformational leadership; Climate for innovation; Contextual performance; University academics; High-performance human resource practices</t>
  </si>
  <si>
    <t>HUMAN-RESOURCE PRACTICES; TRANSFORMATIONAL LEADERSHIP; WORK ENGAGEMENT; EMPLOYEE ENGAGEMENT; MODERATING ROLE; ORGANIZATIONAL CITIZENSHIP; INNOVATIVE BEHAVIOR; HEALTH-CARE; PERFORMANCE; CLIMATE</t>
  </si>
  <si>
    <t>Purpose Employees' job engagement is a key driver for organizational success and competitive advantage. Based on Kahn's engagement theory and social exchange theory, the purpose of this paper is to examine the relationships between job engagement, transformational leadership, high-performance human resource (HR) practices, climate for innovation, and contextual performance. Design/methodology/approach A questionnaire survey, conducted at two different points in time, was employed to collect data from 394 pairs of Vietnamese university academics and their leaders. Data were analyzed by structural equation modeling (SEM) and multilevel SEM using the Statistical Package for Social Science Version 24 and Mplus Version 7.4. Findings The findings indicated that transformational leadership and high-performance HR practices were key drivers of employees' job engagement. A climate for innovation contributed effectively to mediate the effect of transformational leadership on employees' job engagement. Further, employees' job engagement was positively and significantly related to contextual performance. Research limitations/implications The short time lag between the two data collection phases might limit the ability to reach definite causal conclusions. Future research using a longitudinal design is needed to provide stronger validation for the underlying model. Originality/value This study is a rare attempt that investigates the process from which employees' job engagement is generated and contributes to improve contextual performance in the higher education sector.</t>
  </si>
  <si>
    <t>[Nguyen, T. Pham-Thai; McMurray, Adela J.; Muenjohn, Nuttawuth; Muchiri, Michael] RMIT Univ, Coll Business, Sch Management, Melbourne, Vic, Australia</t>
  </si>
  <si>
    <t>Royal Melbourne Institute of Technology (RMIT)</t>
  </si>
  <si>
    <t>Nguyen, TPT (corresponding author), RMIT Univ, Coll Business, Sch Management, Melbourne, Vic, Australia.</t>
  </si>
  <si>
    <t>nguyen.pham2@rmit.edu.au</t>
  </si>
  <si>
    <t>Muenjohn, Nuttawuth/ABF-5111-2020; McMurray, Adela J/M-7179-2015; Muenjohn, Nuttawuth/GQO-8902-2022</t>
  </si>
  <si>
    <t>McMurray, Adela J/0000-0001-7686-6474; Muenjohn, Nuttawuth/0000-0001-7271-8335</t>
  </si>
  <si>
    <t>10.1108/PR-07-2017-0221</t>
  </si>
  <si>
    <t>GH0FI</t>
  </si>
  <si>
    <t>WOS:000433077300009</t>
  </si>
  <si>
    <t>Mussner, T; Strobl, A; Veider, V; Matzler, K</t>
  </si>
  <si>
    <t>Mussner, Tobias; Strobl, Andreas; Veider, Viktoria; Matzler, Kurt</t>
  </si>
  <si>
    <t>The effect of work ethic on employees' individual innovation behavior</t>
  </si>
  <si>
    <t>ORGANIZATIONAL CITIZENSHIP BEHAVIOR; GENERATIONAL-DIFFERENCES; MEASUREMENT EQUIVALENCE; FAIRNESS PERCEPTIONS; MANAGEMENT RESEARCH; INTEGRATIVE MODEL; SELF-LEADERSHIP; METHOD VARIANCE; CREATIVITY; PERFORMANCE</t>
  </si>
  <si>
    <t>The present study examines the previously untested effect of work ethic on individual innovation behavior. These entrenched personal values that may remain unaffected by organizational constitution are suggested to shape a person's inclination to engage in innovative action. Deploying partial least squares (PLS) structural equation modeling (SEM), we show that being self-reliant and time-efficient positively influences employees' innovation behavior, while an attitude toward hard work and leisure has a negative impact. Moreover, self-reliance, leisure orientation, and centrality of work are positively moderated by fair salary, a specific form of relational reward that previously has been identified as an antecedent of motivation. The work at hand thus contributes to extant research by enhancing knowledge about the antecedents of innovative behavior, showing that inherent work-related values matter. As such, the study demonstrates the importance of considering the linkage of personal differences and motivational factors when examining the complex processes of individual innovation behavior.</t>
  </si>
  <si>
    <t>[Mussner, Tobias; Strobl, Andreas; Veider, Viktoria; Matzler, Kurt] Univ Innsbruck, Dept Strateg Management Mkt &amp; Tourism, Sch Management, Univ Str 15, A-6020 Innsbruck, Austria</t>
  </si>
  <si>
    <t>University of Innsbruck</t>
  </si>
  <si>
    <t>Mussner, T (corresponding author), Univ Innsbruck, Dept Strateg Management Mkt &amp; Tourism, Sch Management, Univ Str 15, A-6020 Innsbruck, Austria.</t>
  </si>
  <si>
    <t>tobias.mussner@uibk.ac.at</t>
  </si>
  <si>
    <t>Matzler, Kurt/M-5994-2013</t>
  </si>
  <si>
    <t>Strobl, Andreas/0000-0002-3257-8611; matzler, Kurt/0000-0002-3132-4388</t>
  </si>
  <si>
    <t>10.1111/caim.12243</t>
  </si>
  <si>
    <t>WOS:000416146800007</t>
  </si>
  <si>
    <t>Zandberg, L; Quinn, JL; Naguib, M; van Oers, K</t>
  </si>
  <si>
    <t>Zandberg, Lies; Quinn, John L.; Naguib, Marc; van Oers, Kees</t>
  </si>
  <si>
    <t>Personality-dependent differences in problem-solving performance in a social context reflect foraging strategies</t>
  </si>
  <si>
    <t>Problem solving; Exploratory behaviour; Great tit; Innovation; Scrounging</t>
  </si>
  <si>
    <t>INDIVIDUAL-DIFFERENCES; EXPLORATORY-BEHAVIOR; LARGER GROUPS; INNOVATION; DOMINANCE; TACTICS; HERITABILITY; INFORMATION; INHIBITION; PREDICTS</t>
  </si>
  <si>
    <t>Individuals develop innovative behaviours to solve foraging challenges in the face of changing environmental conditions. Little is known about how individuals differ in their tendency to solve problems and in their subsequent use of this solving behaviour in social contexts. Here we investigated whether individual variation in problem-solving performance could be explained by differences in the likelihood of solving the task, or if they reflect differences in foraging strategy. We tested this by studying the use of a novel foraging skill in groups of great tits (Pares major), consisting of three naive individuals with different personality, and one knowledgeable tutor. We presented them with multiple, identical foraging devices over eight trials. Though birds of different personality type did not differ in solving latency; fast and slow explorers showed a steeper increase over time in their solving rate, compared to intermediate explorers. Despite equal solving potential, personality influenced the subsequent use of the skill, as well as the pay-off received from solving. Thus, variation in the tendency to solve the task reflected differences in foraging strategy among individuals linked to their personality. These results emphasize the importance of Considering the social context to fully understand the implications of learning novel skills. (C) 2016 Elsevier B.V. All rights reserved.</t>
  </si>
  <si>
    <t>[Zandberg, Lies; van Oers, Kees] Netherlands Inst Ecol NIOO KNAW, Dept Anim Ecol, Droevendaalsesteeg 10, NL-6708 PB Wageningen, Netherlands; [Zandberg, Lies; Naguib, Marc] Wageningen Univ, Behav Ecol Grp, Dept Anim Sci, Elst 1, NL-6708 WD Wageningen, Netherlands; [Quinn, John L.] Univ Coll Cork, Sch Biol Earth &amp; Environm Sci BEES, Distillery Fields, Cork, Ireland</t>
  </si>
  <si>
    <t>Royal Netherlands Academy of Arts &amp; Sciences; Netherlands Institute of Ecology (NIOO-KNAW); Wageningen University &amp; Research; University College Cork</t>
  </si>
  <si>
    <t>Zandberg, L; van Oers, K (corresponding author), Netherlands Inst Ecol NIOO KNAW, Dept Anim Ecol, Droevendaalsesteeg 10, NL-6708 PB Wageningen, Netherlands.;Zandberg, L (corresponding author), Wageningen Univ, Behav Ecol Grp, Dept Anim Sci, Elst 1, NL-6708 WD Wageningen, Netherlands.</t>
  </si>
  <si>
    <t>lies.zandberg@wur.nl; k.vanoers@nioo.knaw.nl</t>
  </si>
  <si>
    <t>van Oers, Kees/B-2562-2009; Naguib, Marc/C-2650-2009; KNAW, NIOO-KNAW/A-4320-2012</t>
  </si>
  <si>
    <t>van Oers, Kees/0000-0001-6984-906X; Naguib, Marc/0000-0003-0494-4888; KNAW, NIOO-KNAW/0000-0002-3835-159X</t>
  </si>
  <si>
    <t>Netherlands Institute of Ecology NIOO-KNAW</t>
  </si>
  <si>
    <t>We thank Marylou Aaldering and Franca Kropman for animal care, and Piet de Goede for his assistance with bird handling. We also thank E. Cole for providing a design template for the problem solving devices. This work was funded by the Netherlands Institute of Ecology (NIOO-KNAW).</t>
  </si>
  <si>
    <t>1872-8308</t>
  </si>
  <si>
    <t>10.1016/j.beproc.2016.09.007</t>
  </si>
  <si>
    <t>EJ0JD</t>
  </si>
  <si>
    <t>WOS:000392893600013</t>
  </si>
  <si>
    <t>Li-Ying, J; Paunova, M; Egerod, I</t>
  </si>
  <si>
    <t>Li-Ying, Jason; Paunova, Minna; Egerod, Ingrid</t>
  </si>
  <si>
    <t>Knowledge sharing behaviour and intensive care nurse innovation: the moderating role of control of care quality</t>
  </si>
  <si>
    <t>care of quality; ICU nurse; innovation; knowledge sharing</t>
  </si>
  <si>
    <t>COMMON METHOD VARIANCE; HEALTH-CARE; PERFORMANCE; UNIT; INCENTIVES; INDICATORS; MANAGEMENT; CREATION; IMPACT; FUTURE</t>
  </si>
  <si>
    <t>Aims This study investigates the influence of intensive care unit nurses' knowledge sharing behaviour on nurse innovation, given different conditions of care quality control. Background Health-care organisations face an increasing pressure to innovate while controlling care quality. We have little insight on how the control of care quality interacts with the knowledge sharing behaviour of intensive care nurses to affect their innovative behaviours. Methods We developed a multi-source survey study of more than 200 intensive care nurses at 22 intensive care units of 17 Danish hospitals. Two versions of the questionnaire were used - one designed for nurse employees and the other for the managing nurse(s). An ordinary least squares regression analysis was used to test the hypotheses. Results Different aspects of knowledge sharing affect innovation differently, depending on the strength of the control of care quality within the unit. Conclusions The increasing pressures to implement the control of care quality and innovate may be conflicting, unless handled properly. Implications for nursing management Process control at intensive care units should be loosened, when personal interaction between intensive care nurses is encouraged to stimulate nurse innovations. Alternatively, managers may develop a climate where helping others, especially with younger colleagues, offsets the negative effects of strong process control.</t>
  </si>
  <si>
    <t>[Li-Ying, Jason] Tech Univ Denmark, Dept DTU Management Engn, DK-2800 Lyngby, Denmark; [Paunova, Minna] Copenhagen Business Sch, Dept Int Business Commun, Copenhagen, Denmark; [Egerod, Ingrid] Univ Copenhagen, Rigshosp, Ctr Trauma, Hlth &amp; Med Sci, Copenhagen, Denmark</t>
  </si>
  <si>
    <t>Technical University of Denmark; Copenhagen Business School; Rigshospitalet; University of Copenhagen</t>
  </si>
  <si>
    <t>Li-Ying, J (corresponding author), Tech Univ Denmark, Dept DTU Management Engn, DK-2800 Lyngby, Denmark.</t>
  </si>
  <si>
    <t>yinli@dtu.dk</t>
  </si>
  <si>
    <t>Paunova, Minna/0000-0002-0682-8939; Egerod, Ingrid/0000-0002-9576-4390; Li-Ying, Jason/0000-0002-6923-5583</t>
  </si>
  <si>
    <t>Danish Council for Strategic Research (DSF) [0603-00297B]</t>
  </si>
  <si>
    <t>Danish Council for Strategic Research (DSF)(Danske Strategiske Forskningsrad (DSF))</t>
  </si>
  <si>
    <t>This research was supported by the Danish Council for Strategic Research (DSF), grant number 0603-00297B.</t>
  </si>
  <si>
    <t>10.1111/jonm.12404</t>
  </si>
  <si>
    <t>EB2UA</t>
  </si>
  <si>
    <t>gold, Green Accepted, Green Submitted</t>
  </si>
  <si>
    <t>WOS:000387216900011</t>
  </si>
  <si>
    <t>Segarra-Ona, MD; Peiro-Signes, A; Cervello-Royo, R</t>
  </si>
  <si>
    <t>Segarra-Ona, Maria-del-Val; Peiro-Signes, Angel; Cervello-Royo, Roberto</t>
  </si>
  <si>
    <t>A Framework to Move Forward on the Path to Eco-innovation in the Construction Industry: Implications to Improve Firms' Sustainable Orientation</t>
  </si>
  <si>
    <t>SCIENCE AND ENGINEERING ETHICS</t>
  </si>
  <si>
    <t>Eco-innovation; Environmental orientation; Sustainability; Construction industry; Structural equation modelling</t>
  </si>
  <si>
    <t>ENVIRONMENTAL-MANAGEMENT; STRATEGIES; IMPACT; ETHICS; MODEL</t>
  </si>
  <si>
    <t>This paper examines key aspects in the innovative behavior of the construction firms that determine their environmental orientation while innovating. Structural equation modeling was used and data of 222 firms retrieved from the Spanish Technological Innovation Panel (PITEC) for 2010 to analyse the drivers of environmental orientation of the construction firms during the innovation process. The results show that the environmental orientation is positively affected by the product and process orientation of construction firms during the innovation process. Furthermore, the positive relation between the importance of market information sources and environmental orientation, mediated by process and product orientation, is discussed. Finally, a model that explains these relations is proposed and validated. Results have important managerial implications for those companies worried about their eco-innovative focus as the types of actions and relations within firms most suitable for improving their eco-innovative orientation are highlighted.</t>
  </si>
  <si>
    <t>[Segarra-Ona, Maria-del-Val; Peiro-Signes, Angel] Univ Politecn Valencia, Dept Management, E-46022 Valencia, Spain; [Cervello-Royo, Roberto] Univ Politecn Valencia, Sch Business, Dept Social Sci, E-46022 Valencia, Spain</t>
  </si>
  <si>
    <t>Universitat Politecnica de Valencia; Universitat Politecnica de Valencia</t>
  </si>
  <si>
    <t>Segarra-Ona, MD (corresponding author), Univ Politecn Valencia, Dept Management, 7D Bldg,Camino Vera S-N, E-46022 Valencia, Spain.</t>
  </si>
  <si>
    <t>maseo@omp.upv.es; anpeisig@omp.upv.es; rocerro@esp.upv.es</t>
  </si>
  <si>
    <t>Cervelló-Royo, Roberto/AAB-4206-2019; cervelló-royo, roberto/K-5032-2014; Peiro-Signes, Angel/K-8328-2014; Segarra-Ona, Marival/K-8235-2014</t>
  </si>
  <si>
    <t>Cervelló-Royo, Roberto/0000-0002-8304-4177; cervelló-royo, roberto/0000-0002-8304-4177; Peiro-Signes, Angel/0000-0002-1549-6972; Segarra-Ona, Marival/0000-0001-9674-9056</t>
  </si>
  <si>
    <t>Spanish Economy and Competitiveness Ministry [EC02011-27369]</t>
  </si>
  <si>
    <t>Spanish Economy and Competitiveness Ministry(Spanish Government)</t>
  </si>
  <si>
    <t>The authors would like to thank the Spanish Economy and Competitiveness Ministry for its support through the research project (EC02011-27369) and also the Universitat Politecnica de Valencia (SP20140647).</t>
  </si>
  <si>
    <t>1353-3452</t>
  </si>
  <si>
    <t>1471-5546</t>
  </si>
  <si>
    <t>SCI ENG ETHICS</t>
  </si>
  <si>
    <t>Sci. Eng. Ethics</t>
  </si>
  <si>
    <t>10.1007/s11948-014-9620-2</t>
  </si>
  <si>
    <t>Ethics; Engineering, Multidisciplinary; History &amp; Philosophy Of Science; Multidisciplinary Sciences; Philosophy</t>
  </si>
  <si>
    <t>Social Sciences - Other Topics; Engineering; History &amp; Philosophy of Science; Science &amp; Technology - Other Topics; Philosophy</t>
  </si>
  <si>
    <t>CX1QV</t>
  </si>
  <si>
    <t>WOS:000365471600005</t>
  </si>
  <si>
    <t>Robinson-Morral, EJ; Reiter-Palmon, R; Kaufman, JC</t>
  </si>
  <si>
    <t>Robinson-Morral, Erika J.; Reiter-Palmon, Roni; Kaufman, James C.</t>
  </si>
  <si>
    <t>The Interactive Effects of Self-Perceptions and Job Requirements on Creative Problem Solving</t>
  </si>
  <si>
    <t>creativity; creative problem solving; interacting effects; individual factors; organizational factors</t>
  </si>
  <si>
    <t>EMPLOYEE CREATIVITY; TRANSFORMATIONAL LEADERSHIP; INNOVATIVE BEHAVIOR; EFFICACY; WORK; PERFORMANCE; WORKPLACE; EXPECTATIONS; EXPERIENCE; TEAMS</t>
  </si>
  <si>
    <t>Over the years, researchers have focused on ways to facilitate creativity in the workplace by looking at individual factors and organizational factors that affect employee creativity (Woodman, Sawyer, &amp; Griffin, ). In many cases, the factors that affect creativity are examined independently. In other words, it is uncommon for researchers to look at the interaction among individual and organizational factors. In this study, it is argued that to get a true understanding of how to maximize creativity in the workplace, organizational researchers must look at the interaction between organizational factors and individual factors that affect employee creativity. More specifically, the current study looked at an individual's perceptions about his or her ability to be creative (i.e., individual factor) and perceptions of requirements for creativity in the workplace (i.e., an organizational factor). The results indicated that individuals who have a high belief about their ability to be creative (an individual factor) were most creative when they also perceived requirements for creativity in the workplace (an organizational factor). Furthermore, individuals who had low perceptions of creative ability were still able to perform creatively when they had high perceptions of requirements for creativity. This suggests that, to maximize creativity, organizations should focus on both individual and organizational factors that affect employee creativity.</t>
  </si>
  <si>
    <t>[Robinson-Morral, Erika J.; Reiter-Palmon, Roni] Univ Nebraska, Omaha, NE 68182 USA; [Kaufman, James C.] Calif State Univ Sacramento, Sacramento, CA 95819 USA</t>
  </si>
  <si>
    <t>University of Nebraska System; California State University System; California State University Sacramento</t>
  </si>
  <si>
    <t>Robinson-Morral, EJ (corresponding author), Univ Nebraska, Dept Psychol, 6001 Dodge St, Omaha, NE 68182 USA.</t>
  </si>
  <si>
    <t>ejrobinson@unomaha.edu</t>
  </si>
  <si>
    <t>Reiter-Palmon, Roni/A-8188-2009</t>
  </si>
  <si>
    <t>Reiter-Palmon, Roni/0000-0001-8259-4516</t>
  </si>
  <si>
    <t>10.1002/jocb.31</t>
  </si>
  <si>
    <t>WOS:000325865300002</t>
  </si>
  <si>
    <t>Brouhle, K; Graham, B; Harrington, DR</t>
  </si>
  <si>
    <t>Brouhle, Keith; Graham, Brad; Harrington, Donna Ramirez</t>
  </si>
  <si>
    <t>Innovation under the Climate Wise program</t>
  </si>
  <si>
    <t>RESOURCE AND ENERGY ECONOMICS</t>
  </si>
  <si>
    <t>Environmental innovation; Patents; Voluntary program</t>
  </si>
  <si>
    <t>RESEARCH-AND-DEVELOPMENT; ENVIRONMENTAL-MANAGEMENT; VOLUNTARY AGREEMENTS; TECHNOLOGICAL-CHANGE; PERFORMANCE; POLICY; PANEL; ADOPTION; PARTICIPATION; PERSPECTIVE</t>
  </si>
  <si>
    <t>This paper examines the impact of participation in the Climate Wise program, one of the largest voluntary programs enacted in the US, on innovative activity by firms. In operation from 1993 to 2000, the Climate Wise program was designed to reduce greenhouse gas emissions by promoting innovation in energy efficiency and energy related activities. We begin by examining what types of firms were most likely to participate in this voluntary initiative. We find that the Climate Wise program was attractive to large firms, more R&amp;D intensive firms, and firms with more financial resources. To consider the impact of Climate Wise participation on the innovative behavior of firms, we investigate whether participants and non-participants differed in the number of successful environmental and non-environmental patent applications between 1993 and 2003. We find some evidence that participation in the Climate Wise leads to a change in environmental patenting but only among less R&amp;D intensive firms. (C) 2013 Elsevier B.V. All rights reserved.</t>
  </si>
  <si>
    <t>[Brouhle, Keith; Graham, Brad] Grinnell Coll, Grinnell, IA 50112 USA; [Harrington, Donna Ramirez] Univ Vermont, Burlington, VT 05405 USA</t>
  </si>
  <si>
    <t>University of Vermont</t>
  </si>
  <si>
    <t>Brouhle, K (corresponding author), Grinnell Coll, 1210 Pk St, Grinnell, IA 50112 USA.</t>
  </si>
  <si>
    <t>brouhlek@grinnell.edu; grahambj@grinnell.edu; djramire@uvm.edu</t>
  </si>
  <si>
    <t>0928-7655</t>
  </si>
  <si>
    <t>1873-0221</t>
  </si>
  <si>
    <t>RESOUR ENERGY ECON</t>
  </si>
  <si>
    <t>Resour. Energy Econ.</t>
  </si>
  <si>
    <t>10.1016/j.reseneeco.2012.12.002</t>
  </si>
  <si>
    <t>Economics; Energy &amp; Fuels; Environmental Sciences; Environmental Studies</t>
  </si>
  <si>
    <t>Business &amp; Economics; Energy &amp; Fuels; Environmental Sciences &amp; Ecology</t>
  </si>
  <si>
    <t>117SO</t>
  </si>
  <si>
    <t>WOS:000316973600001</t>
  </si>
  <si>
    <t>PEAY, MY; PEAY, ER</t>
  </si>
  <si>
    <t>INNOVATION IN HIGH-RISK DRUG-THERAPY</t>
  </si>
  <si>
    <t>SOCIAL SCIENCE &amp; MEDICINE</t>
  </si>
  <si>
    <t>DRUG ADOPTION; MEDICAL INNOVATION; SPECIALISTS</t>
  </si>
  <si>
    <t>INFORMATION-SOURCES; ADOPTION; PATTERNS; PREFERENCE</t>
  </si>
  <si>
    <t>The aim of this study was to identify predictors of the early adoption of high risk drugs by specialists with the expectation that the processes of innovation in this domain differ from those identified for general medical practice. One hundred and fifty-six specialists provided information regarding their awareness and use of each of eight target drugs, selected for their riskiness, and discussed in detail their adoption of one of them. General innovative behaviour, as assessed by awareness and use of the target drugs, as well as early first news of the particular drug discussed, were predictable from formal and informal contact with colleagues. However, the results indicate that two types of contact with colleagues are clearly distinguishable, as an information source and as an information seeker, which are independent and which show different patterns of prediction. Early use of the drug discussed was largely independent of the potential predictors. It is argued that first use of high risk drugs is determined by two factors, preparedness to prescribe the new drug and the presentation of particular circumstances which are appropriate for its use, only the first of which is predictable from the variables ordinarily thought to be involved in innovation. Therefore, if innovation is to be identified with stable characteristics of the practitioner, then this concept must be redefined in terms of knowledge and judgement rather than in terms of a particular behavioural event.</t>
  </si>
  <si>
    <t>FLINDERS UNIV S AUSTRALIA,FAC SOCIAL SCI,DEPT PSYCHOL,BEDFORD PK,SA 5042,AUSTRALIA</t>
  </si>
  <si>
    <t>Flinders University South Australia</t>
  </si>
  <si>
    <t>PEAY, MY (corresponding author), UNIV ADELAIDE,DEPT PSYCHIAT,ADELAIDE,SA 5000,AUSTRALIA.</t>
  </si>
  <si>
    <t>THE BOULEVARD, LANGFORD LANE, KIDLINGTON, OXFORD, ENGLAND OX5 1GB</t>
  </si>
  <si>
    <t>0277-9536</t>
  </si>
  <si>
    <t>SOC SCI MED</t>
  </si>
  <si>
    <t>Soc. Sci. Med.</t>
  </si>
  <si>
    <t>10.1016/0277-9536(94)90164-3</t>
  </si>
  <si>
    <t>Public, Environmental &amp; Occupational Health; Social Sciences, Biomedical</t>
  </si>
  <si>
    <t>Public, Environmental &amp; Occupational Health; Biomedical Social Sciences</t>
  </si>
  <si>
    <t>NN253</t>
  </si>
  <si>
    <t>WOS:A1994NN25300004</t>
  </si>
  <si>
    <t>Alshebami, AS</t>
  </si>
  <si>
    <t>Alshebami, Ali Saleh</t>
  </si>
  <si>
    <t>The Influence of Psychological Capital on Employees' Innovative Behavior: Mediating Role of Employees' Innovative Intention and Employees' Job Satisfaction</t>
  </si>
  <si>
    <t>SAGE OPEN</t>
  </si>
  <si>
    <t>psychological capital; employees' job satisfaction; employees' innovative behavior; Saudi Arabia; SMEs</t>
  </si>
  <si>
    <t>WORK-RELATED PERFORMANCE; SELF-EFFICACY; POSITIVE PSYCHOLOGY; LEADERSHIP; CREATIVITY; MANAGEMENT; WORKPLACE; EMOTIONS; OPTIMISM; ESTEEM</t>
  </si>
  <si>
    <t>The study investigates the impact of psychological capital on the employees' innovative behavior through the mediating effect of employees' job satisfaction and employees' innovative intention in the small and medium enterprises (SMEs) sector of Saudi Arabia. A sample of 204 respondents participated from various enterprises working without restricting specific sectors to check employees' common behavior in multiple sectors. The data and hypotheses testing analysis were made with the partial least squares-based structural equation modeling (PLS-SEM). The study revealed that psychological capital positively affects employees' job satisfaction, innovative behavior, and innovative intention. Furthermore, the employees' job satisfaction also positively correlated with the employees' innovative behavior, while there was no connection between the employees' innovative intention and the employees' innovative behavior. Concerning the indirect relationships, the findings revealed that employees' job satisfaction played a partial mediating role between psychological capital and the employees' innovative behavior. However, the employees' innovative intention did not mediate the relationship between the psychological capital and the employees' innovative behavior. These findings suggest the importance of psychological capital in influencing the innovative behavior of employees. Hence, there is a need to continue developing it among employees to ensure a better output.</t>
  </si>
  <si>
    <t>[Alshebami, Ali Saleh] King Faisal Univ, Al Hasa, Saudi Arabia</t>
  </si>
  <si>
    <t>King Faisal University</t>
  </si>
  <si>
    <t>Alshebami, AS (corresponding author), King Faisal Univ, Community Coll Abqaiq, Al Hasa 31982, Saudi Arabia.</t>
  </si>
  <si>
    <t>aalshebami@kfu.edu.sa</t>
  </si>
  <si>
    <t>Alshebami, Ali/AAV-7234-2020</t>
  </si>
  <si>
    <t>Alshebami, Ali/0000-0002-0050-5127</t>
  </si>
  <si>
    <t>Deanship of Scientific Research at King Faisal University of the Financial Support under Nasher Track [206122]</t>
  </si>
  <si>
    <t>Deanship of Scientific Research at King Faisal University of the Financial Support under Nasher Track</t>
  </si>
  <si>
    <t>The author(s) disclosed receipt of the following financial support for the research, authorship, and/or publication of this article: The author acknowledges the Deanship of Scientific Research at King Faisal University of the Financial Support under Nasher Track (Grant No. 206122).</t>
  </si>
  <si>
    <t>2158-2440</t>
  </si>
  <si>
    <t>SAGE Open</t>
  </si>
  <si>
    <t>10.1177/21582440211040809</t>
  </si>
  <si>
    <t>Social Sciences, Interdisciplinary</t>
  </si>
  <si>
    <t>WJ0BD</t>
  </si>
  <si>
    <t>WOS:000708715400001</t>
  </si>
  <si>
    <t>Kammerlander, N; Patzelt, H; Behrens, J; Rohm, C</t>
  </si>
  <si>
    <t>Kammerlander, Nadine; Patzelt, Holger; Behrens, Judith; Roehm, Christian</t>
  </si>
  <si>
    <t>Organizational Ambidexterity in Family-Managed Firms: The Role of Family Involvement in Top Management</t>
  </si>
  <si>
    <t>organizational ambidexterity; exploration; exploitation; top management; diversity</t>
  </si>
  <si>
    <t>MODERATED MULTIPLE-REGRESSION; TEAM DIVERSITY; ENTREPRENEURIAL ORIENTATION; SOCIOEMOTIONAL WEALTH; BEHAVIORAL AGENCY; UPPER ECHELONS; MEDIATING ROLE; PIVOTAL ROLE; PERFORMANCE; INNOVATION</t>
  </si>
  <si>
    <t>Organizational ambidexterity is vital for family firms' long-term success, yet we still lack sufficient insights into the role of family involvement in top management in this context. Building on research on family firm innovation and diversity, we argue there are curvilinear relationships between family involvement in top management and exploration, exploitation, and organizational ambidexterity. We further propose that these (inverse) U-shaped relationships are affected by family CEOs' family-centered noneconomic goals. Multisource data on 109 family-managed firms support most of our hypotheses and provide a nuanced understanding of how diversity within top management affects family firms' innovative behavior.</t>
  </si>
  <si>
    <t>[Kammerlander, Nadine] WHU Otto Beisheim Sch Management, Vallendar, Germany; [Patzelt, Holger; Roehm, Christian] Tech Univ Munich, Munich, Germany; [Behrens, Judith] Solvay Brussels Sch Econ &amp; Management, Brussels, Belgium</t>
  </si>
  <si>
    <t>WHU - Otto Beisheim School of Management; Technical University of Munich; Solvay SA</t>
  </si>
  <si>
    <t>Kammerlander, N (corresponding author), WHU Otto Beisheim Sch Management, Inst Family Business &amp; Mittelstand, Burgpl 2, D-56179 Vallendar, Germany.</t>
  </si>
  <si>
    <t>nadine.kammerlander@whu.edu</t>
  </si>
  <si>
    <t>Kammerlander, Nadine/0000-0002-7838-8792</t>
  </si>
  <si>
    <t>10.1177/0894486520961645</t>
  </si>
  <si>
    <t>OP8OR</t>
  </si>
  <si>
    <t>WOS:000588350200004</t>
  </si>
  <si>
    <t>Walumbwa, FO; Christensen-Salem, A; Perrmann-Graham, J; Kasimu, P</t>
  </si>
  <si>
    <t>Walumbwa, Fred O.; Christensen-Salem, Amanda; Perrmann-Graham, Jaclyn; Kasimu, Paul</t>
  </si>
  <si>
    <t>An Identification Based Framework Examining How and When Salient Social Exchange Resources Facilitate and Shape Thriving at Work</t>
  </si>
  <si>
    <t>motivation; leadership; organizational behavior</t>
  </si>
  <si>
    <t>LEADER-MEMBER EXCHANGE; ORGANIZATIONAL CITIZENSHIP BEHAVIOR; WORKPLACE DEVIANCE; INNOVATIVE BEHAVIORS; RELATIONSHIP QUALITY; POSITIVE EMOTIONS; PERFORMANCE; EMPLOYEE; JOB; METAANALYSIS</t>
  </si>
  <si>
    <t>Drawing upon social exchange and social identity theories, this study proposes a model to explain how resources produced from salient social exchanges at work influence employee thriving. To advance the literature and provide a more nuanced understanding of the relationship between social exchange resources and thriving at work, we examined resources produced from exchanges with two salient groups: supervisors and coworkers. We propose that leader-member exchange (LMX) and coworker helping and support relate to employee thriving at work through organizational identification and coworker relational identification, respectively. We also suggest that LMX and coworker helping and support moderate the influence of thriving on three facets of employee performance: task performance, organizational citizenship behavior, and workplace deviance. Our work extends existing theory on relational resources and thriving at work by showing the mechanisms through which LMX and coworker helping and support relate to thriving, and how they enhance or inhibit the relationships between thriving and work-related outcomes.</t>
  </si>
  <si>
    <t>[Walumbwa, Fred O.] Florida Int Univ, Coll Business, Dept Int Business, Miami, FL 33199 USA; [Christensen-Salem, Amanda] Univ Cincinnati, Cincinnati, OH 45221 USA; [Perrmann-Graham, Jaclyn] Northern Kentucky Univ, Management, Highland Hts, KY USA; [Kasimu, Paul] Strathmore Univ, Strathmore Business Sch, Nairobi, Kenya; [Kasimu, Paul] Safaricom, Nairobi, Kenya</t>
  </si>
  <si>
    <t>State University System of Florida; Florida International University; University System of Ohio; University of Cincinnati; Northern Kentucky University; Strathmore University</t>
  </si>
  <si>
    <t>Perrmann-Graham, J (corresponding author), Northern Kentucky Univ, Haile US Bank Coll Business, Louie B Nunn Dr, Highland Hts, KY 41099 USA.</t>
  </si>
  <si>
    <t>perrmanngj1@nku.edu</t>
  </si>
  <si>
    <t>10.1177/1534484320946208</t>
  </si>
  <si>
    <t>NX6NM</t>
  </si>
  <si>
    <t>WOS:000557431700001</t>
  </si>
  <si>
    <t>Shaw, KH; Tang, N; Liao, HY</t>
  </si>
  <si>
    <t>Shaw, Kang-Hwa; Tang, Na; Liao, Hung-Yi</t>
  </si>
  <si>
    <t>Authoritarian-Benevolent Leadership, Moral Disengagement, and Follower Unethical Pro-organizational Behavior: An Investigation of the Effects of Ambidextrous Leadership</t>
  </si>
  <si>
    <t>ambidextrous leadership; authoritarian leadership; benevolent leadership; moral disinterment; unethical pro-organizational behavior</t>
  </si>
  <si>
    <t>PATERNALISTIC LEADERSHIP; MEDIATING ROLE; INNOVATIVE BEHAVIOR; ETHICAL LEADERSHIP; DECISION-MAKING; BAD THINGS; SELF; PERFORMANCE; EMPLOYEES; ORIENTATION</t>
  </si>
  <si>
    <t>Drawing on the social cognitive theory of moral disengagement, this study examined the influence of the authoritarian-benevolent style of ambidextrous leadership on follower unethical pro-organizational behavior (UPB), mediated via moral disengagement. We tested the hypotheses using a sample of 175 participants at two time points. The results indicated that authoritarian-benevolent leadership affects moral disengagement. In addition, followers in congruent dyads with low authoritarian-benevolent leadership perceived higher levels of moral disengagement than those in congruent dyads with high authoritarian-benevolent leadership. Furthermore, high authoritarian-benevolent leadership had an indirect effect on follower UPB via moral disengagement. Theoretical and practical implications and future research directions are suggested.</t>
  </si>
  <si>
    <t>[Shaw, Kang-Hwa] Shandong Univ, Sch Management, Jinan, Peoples R China; [Tang, Na] Lanzhou Univ, Sch Management, Lanzhou, Peoples R China; [Liao, Hung-Yi] Shanghai Normal Univ, Coll Philosophy Law &amp; Polit Sci, Shanghai, Peoples R China</t>
  </si>
  <si>
    <t>Shandong University; Lanzhou University; Shanghai Normal University</t>
  </si>
  <si>
    <t>Tang, N (corresponding author), Lanzhou Univ, Sch Management, Lanzhou, Peoples R China.</t>
  </si>
  <si>
    <t>tangna_ariel@163.com</t>
  </si>
  <si>
    <t>Shaw, Kang-Hwa/ABE-4984-2021</t>
  </si>
  <si>
    <t>APR 21</t>
  </si>
  <si>
    <t>10.3389/fpsyg.2020.00590</t>
  </si>
  <si>
    <t>LL5XF</t>
  </si>
  <si>
    <t>WOS:000531631200001</t>
  </si>
  <si>
    <t>Arasli, H; Arici, HE; Kole, E</t>
  </si>
  <si>
    <t>Arasli, Huseyin; Arici, Hasan Evrim; Kole, Ezel</t>
  </si>
  <si>
    <t>Constructive Leadership and Employee Innovative Behaviors: A Serial Mediation Model</t>
  </si>
  <si>
    <t>constructive leadership; safety; creativity; innovative behavior; hospitality industry; serial mediation</t>
  </si>
  <si>
    <t>CREATIVE SELF-EFFICACY; SOCIAL-EXCHANGE THEORY; PSYCHOLOGICAL SAFETY; WORK ENGAGEMENT; TRANSFORMATIONAL LEADERSHIP; DESTRUCTIVE LEADERSHIP; TURNOVER INTENTION; MEMBER EXCHANGE; INVOLVEMENT; MANAGEMENT</t>
  </si>
  <si>
    <t>This study aims to examine the influence of constructive leadership practices on the service innovative behaviors of hotel employees by a serial mediation system that treats employee psychological safety and employee creativity as mediators. Empirical data were collected from full-time frontline hotel employees in Antalya, Turkey. By using both convenience and judgmental sampling methods, this study included 357 hotel employees. The results provide empirical evidence for all suggested hypothesized associations. In particular, the findings display that psychological safety and engagement in creative work tasks play intervening roles (in the form of a chain) in the indirect influence of constructive leadership on employee perceptions regarding their service innovative culture. The current work provides practical contributions for hotel industry professionals who are in the treatment of implementing psychological safety and employee creativity, in order to establish innovative service culture in the hotel setting. The paper is among the first studies to investigate a serial mediation model to analyze which constructive leadership practices influence their innovative service culture.</t>
  </si>
  <si>
    <t>[Arasli, Huseyin] Univ Stavanger, Norwegian Sch Hotel Management, N-4036 Stavanger, Norway; [Arici, Hasan Evrim] EU Business Sch, D-80339 Munich, Germany; [Kole, Ezel] Eastern Mediterranean Univ, Fac Tourism, TR-99628 Famagusta, North Cyprus, Turkey</t>
  </si>
  <si>
    <t>Universitetet i Stavanger; Eastern Mediterranean University</t>
  </si>
  <si>
    <t>Arasli, H (corresponding author), Univ Stavanger, Norwegian Sch Hotel Management, N-4036 Stavanger, Norway.</t>
  </si>
  <si>
    <t>huseyin.arasli@uis.no; hasan_evrim.arici@euruni.edu; ezelkole@gmail.com</t>
  </si>
  <si>
    <t>Arici, Hasan Evrim/N-8401-2019</t>
  </si>
  <si>
    <t>Arici, Hasan Evrim/0000-0003-3429-4513</t>
  </si>
  <si>
    <t>10.3390/su12072592</t>
  </si>
  <si>
    <t>LL4WR</t>
  </si>
  <si>
    <t>WOS:000531558100016</t>
  </si>
  <si>
    <t>Suzigan, W; Garcia, R; Feitosa, PHA</t>
  </si>
  <si>
    <t>Suzigan, Wilson; Garcia, Renato; Assis Feitosa, Paulo Henrique</t>
  </si>
  <si>
    <t>Institutions and industrial policy in Brazil after two decades: have we built the needed institutions?</t>
  </si>
  <si>
    <t>Institutions; industrial policy; developing countries; Brazil; knowledge and innovation</t>
  </si>
  <si>
    <t>DEVELOPMENT EXPENDITURE; INNOVATION POLICY; TECHNOLOGY; SYSTEMS; INVESTMENTS; ECONOMIES; IMPACTS; GROWTH; GAP</t>
  </si>
  <si>
    <t>This paper aims to examine the design and implementation of industrial policy in Brazil based on their capacity to affect the prevailing institutions. We argue that the main reason for the failure of policies in Brazil, and in Latin America, is their inability to induce persistent changes in firms' innovative behavior. Based on the analysis of national innovation indicators, and on previous empirical studies, we demonstrate that the Brazilian industrial policy was not able to change the prevailing conventions. The main problems related to this fragility are: institutional problems and related to industrial policy development conventions; serious coordination problems; maintaining a macroeconomic policy that is not convergent toward industrial policy efforts; policy instruments that were not able to change prevailing conventions, such as low R&amp;D and innovative expenditures; a set of strategic choices that are inconsistent with innovation, technological catch-up and structural change.</t>
  </si>
  <si>
    <t>[Suzigan, Wilson] Univ Estadual Campinas, Inst Geosci, Dept Sci &amp; Technol Policy, Campinas, Brazil; [Garcia, Renato] Univ Estadual Campinas, Inst Econ, Pythagoras St 353, BR-13083857 Campinas, Brazil; [Assis Feitosa, Paulo Henrique] Univ Sao Paulo, Sch Commun &amp; Arts, Dept Publ Relat Advertising &amp; Propaganda &amp; Touris, Sao Paulo, Brazil</t>
  </si>
  <si>
    <t>Universidade Estadual de Campinas; Universidade Estadual de Campinas; Universidade de Sao Paulo</t>
  </si>
  <si>
    <t>Garcia, R (corresponding author), Univ Estadual Campinas, Inst Econ, Pythagoras St 353, BR-13083857 Campinas, Brazil.</t>
  </si>
  <si>
    <t>rcgarcia@unicamp.br</t>
  </si>
  <si>
    <t>Garcia, Renato Castro/AAA-4275-2022; Feitosa, Paulo/HJI-8902-2023</t>
  </si>
  <si>
    <t>Garcia, Renato Castro/0000-0001-9739-1658; Feitosa, Paulo/0000-0002-2388-7543; Suzigan, Wilson/0000-0002-2193-4756</t>
  </si>
  <si>
    <t>OCT 2</t>
  </si>
  <si>
    <t>10.1080/10438599.2020.1719629</t>
  </si>
  <si>
    <t>NW6DR</t>
  </si>
  <si>
    <t>WOS:000513843200001</t>
  </si>
  <si>
    <t>Trong Tuan, Luu</t>
  </si>
  <si>
    <t>Can managing employee diversity be a pathway to creativity for tour companies?</t>
  </si>
  <si>
    <t>Vietnam; Employee creativity; Diversity climate; Diversity-oriented HR practices; Group diversity</t>
  </si>
  <si>
    <t>HUMAN-RESOURCE MANAGEMENT; PSYCHOLOGICAL SAFETY; MEDIATING ROLE; TEAM CREATIVITY; AGE DIVERSITY; WORK GROUPS; ORGANIZATIONAL-CLIMATE; INFORMATION EXCHANGE; INNOVATIVE BEHAVIOR; EXPLICIT KNOWLEDGE</t>
  </si>
  <si>
    <t>Purpose When effectively synergized, uniqueness from employee diversity can be conducive to original ideas and solutions in the tourism services. The purpose of this study is to unfold how and when diversity-oriented human resource (HR) practices impact creativity among employees working in tour companies. Design/methodology/approach Participants in this research project comprised employees and their direct managers working in tour companies in Ho Chi Minh City, Vietnam. Findings The results provided evidence for the positive influence of diversity-oriented HR practices on employee creativity through the mediation channel of knowledge sharing. Diversity climate fortified the effects of diversity-oriented HR practices on knowledge sharing among employees. Besides, the findings lent support for the moderating role of group diversity regarding age, expertise, openness and extroversion in the current research model. Originality/value This study advances both diversity management and organizational research streams and marks the convergence between them.</t>
  </si>
  <si>
    <t>[Trong Tuan, Luu] Swinburne Univ Technol, Hawthorn, Vic, Australia</t>
  </si>
  <si>
    <t>Tuan, LT (corresponding author), Swinburne Univ Technol, Hawthorn, Vic, Australia.</t>
  </si>
  <si>
    <t>JAN 13</t>
  </si>
  <si>
    <t>10.1108/IJCHM-12-2018-0990</t>
  </si>
  <si>
    <t>KB7UT</t>
  </si>
  <si>
    <t>WOS:000506696300006</t>
  </si>
  <si>
    <t>Zhu, JJ; Yao, JH; Zhang, LL</t>
  </si>
  <si>
    <t>Zhu, Jinjie; Yao, Jihai; Zhang, Lili</t>
  </si>
  <si>
    <t>Linking empowering leadership to innovative behavior in professional learning communities: the role of psychological empowerment and team psychological safety</t>
  </si>
  <si>
    <t>ASIA PACIFIC EDUCATION REVIEW</t>
  </si>
  <si>
    <t>Empowering leadership; Psychological empowerment; Teacher innovative behavior; Team psychological safety; Professional learning community; Teaching and research group</t>
  </si>
  <si>
    <t>TEACHERS PERCEPTIONS; MODERATED MEDIATION; SELF-DETERMINATION; JOB-SATISFACTION; MEMBER EXCHANGE; WORK; PRINCIPALS; EFFICACY; CHINA; PERFORMANCE</t>
  </si>
  <si>
    <t>This study investigates the mediating role of teachers' psychological empowerment and the moderating role of team psychological safety in the relationship between empowering leadership and teachers' innovative behavior in teaching and research groups (TR groups) as professional learning communities. In total, 507 teachers from 114 TR groups in China participated in this study. The multilevel model results show that empowering leadership improves teachers' innovative behavior by increasing teachers' psychological empowerment, which is not influenced by team psychological safety. A supplementary analysis shows that the relationship between team psychological safety and teachers' innovative behavior is also mediated by psychological empowerment.</t>
  </si>
  <si>
    <t>[Zhu, Jinjie; Yao, Jihai; Zhang, Lili] Beijing Normal Univ, Fac Educ, Beijing 100875, Peoples R China; [Yao, Jihai] Beijing Normal Univ, Coll Educ Adm, Fac Educ, Beijing 100875, Peoples R China</t>
  </si>
  <si>
    <t>Beijing Normal University; Beijing Normal University</t>
  </si>
  <si>
    <t>Yao, JH (corresponding author), Beijing Normal Univ, Fac Educ, Beijing 100875, Peoples R China.;Yao, JH (corresponding author), Beijing Normal Univ, Coll Educ Adm, Fac Educ, Beijing 100875, Peoples R China.</t>
  </si>
  <si>
    <t>zhujinjie@mail.bnu.edu.cn; yaojihai@bnu.edu.cn; zllxisu2009@163.com</t>
  </si>
  <si>
    <t>朱, 进杰/GQB-2152-2022; Yao, Jihai/V-5702-2018</t>
  </si>
  <si>
    <t>Yao, Jihai/0000-0003-0287-2972</t>
  </si>
  <si>
    <t>Comprehensive Discipline Construction Fund of Faculty of Education, Beijing Normal University [2018];  [AAFA16004]</t>
  </si>
  <si>
    <t xml:space="preserve">Comprehensive Discipline Construction Fund of Faculty of Education, Beijing Normal University; </t>
  </si>
  <si>
    <t>This study is funded by the 2018 Comprehensive Discipline Construction Fund of Faculty of Education, Beijing Normal University, and Beijing Office for Education Sciences Planning (AAFA16004).</t>
  </si>
  <si>
    <t>1598-1037</t>
  </si>
  <si>
    <t>1876-407X</t>
  </si>
  <si>
    <t>ASIA PAC EDUC REV</t>
  </si>
  <si>
    <t>Asia Pac. Educ. Rev.</t>
  </si>
  <si>
    <t>10.1007/s12564-019-09584-2</t>
  </si>
  <si>
    <t>JK4ON</t>
  </si>
  <si>
    <t>WOS:000494823100010</t>
  </si>
  <si>
    <t>Garcia-Cortijo, MC; Castillo-Valero, JS; Carrasco, I</t>
  </si>
  <si>
    <t>Carmen Garcia-Cortijo, Ma; Sebastian Castillo-Valero, J.; Carrasco, Inmaculada</t>
  </si>
  <si>
    <t>Innovation in rural Spain. What drives innovation in the rural-peripheral areas of southern Europe?</t>
  </si>
  <si>
    <t>JOURNAL OF RURAL STUDIES</t>
  </si>
  <si>
    <t>Innovation; Peripheral rural areas; Core-periphery; Agri-food industry; Castilla-La Mancha</t>
  </si>
  <si>
    <t>REGIONAL ECONOMIC-DEVELOPMENT; SMALL FIRMS; TECHNOLOGY IMPLEMENTATION; AGRICULTURAL INNOVATION; MARKET ORIENTATION; ADOPTION; DETERMINANTS; KNOWLEDGE; SIZE; CAPABILITY</t>
  </si>
  <si>
    <t>In Europe, a core-periphery model has been allowed to develop in rural areas, leading to the marginalization and even abandonment of farms due to low competitiveness, which in turn has negatively impacted on the local agri-food industry. Innovation serves to reduce differences across regions, but little is known of innovative behaviors in the agri-food sector in peripheral regions. The aim of this study is to identify the determinants of innovation in the agri-food industry in Castilla-La Mancha, a rural-peripheral region in the south-east of Spain. The region presents a semi-arid environment, characterized by large geographical distances and a dispersed population. The productive structure is dominated by small and medium enterprises dedicated to traditional industries, the largest of which is wine production. A linear regression was conducted using the Box-Cox transformation method on a database of 771 regional agri-food companies, integrating factors of the companies' structure with other from the socioeconomic environment, following the interactive approach of the evolutionary theory of Innovation. The internal factors or specific characteristics of the company are those which most influence the propensity to innovate, while external factors also have an impact, especially the level of training in the area, the knowledge exchange undertaken with research centers and the location of companies in intermediate rural and peri-urban areas. In short, capacity and effort are key factors in explaining the level of innovation of companies in an area, but our research leads to the conclusion that these are determined by the geographical location. Thus, the particular space, even in peripheral rural areas, is asymmetrical and conditions the possibilities of innovation of rural areas, with the most innovative companies being located in areas with the greatest comparative development. This, therefore, constitutes a threefold territorial framework: center intermediate periphery- periphery of the periphery, thus nuancing the more traditional view of economic geography.</t>
  </si>
  <si>
    <t>[Carmen Garcia-Cortijo, Ma; Sebastian Castillo-Valero, J.; Carrasco, Inmaculada] Univ Castilla La Mancha, Inst Reg Dev, Plaza Univ 2, Albacete 02071, Spain; [Carrasco, Inmaculada] Univ Castilla La Mancha, Fac Econ &amp; Management, Plaza Univ 2, Albacete 02071, Spain</t>
  </si>
  <si>
    <t>Universidad de Castilla-La Mancha; Universidad de Castilla-La Mancha</t>
  </si>
  <si>
    <t>Castillo-Valero, JS; Carrasco, I (corresponding author), Univ Castilla La Mancha, Inst Reg Dev, Plaza Univ 2, Albacete 02071, Spain.;Carrasco, I (corresponding author), Univ Castilla La Mancha, Fac Econ &amp; Management, Plaza Univ 2, Albacete 02071, Spain.</t>
  </si>
  <si>
    <t>MariaCarmen.GCortijo@uclm.es; Sebastian.Castillo@uclm.es; Inmaculada.Carrasco@uclm.es</t>
  </si>
  <si>
    <t>Monteagudo, María Inmaculada Carrasco/K-4756-2017; Castillo Valero, Juan Sebastián/ABE-9310-2021; castillo-valero, juan sebastian/R-1122-2016</t>
  </si>
  <si>
    <t>Monteagudo, María Inmaculada Carrasco/0000-0002-3844-4569; castillo-valero, juan sebastian/0000-0003-2538-6651</t>
  </si>
  <si>
    <t>0743-0167</t>
  </si>
  <si>
    <t>1873-1392</t>
  </si>
  <si>
    <t>J RURAL STUD</t>
  </si>
  <si>
    <t>J. Rural Stud.</t>
  </si>
  <si>
    <t>10.1016/j.jrurstud.2019.02.027</t>
  </si>
  <si>
    <t>Geography; Regional &amp; Urban Planning</t>
  </si>
  <si>
    <t>Geography; Public Administration</t>
  </si>
  <si>
    <t>JO0AJ</t>
  </si>
  <si>
    <t>WOS:000497249800011</t>
  </si>
  <si>
    <t>Curzi, Y; Fabbri, T; Scapolan, AC; Boscolo, S</t>
  </si>
  <si>
    <t>Curzi, Ylenia; Fabbri, Tommaso; Scapolan, Anna Chiara; Boscolo, Stefano</t>
  </si>
  <si>
    <t>Performance Appraisal and Innovative Behavior in the Digital Era</t>
  </si>
  <si>
    <t>performance appraisal; innovative work behavior; employee perception; competence-oriented appraisal; informal feedback</t>
  </si>
  <si>
    <t>MULTIPLE COMPARISONS; WORK BEHAVIOR; MANAGEMENT; HRM; CREATIVITY; STRENGTH; ORGANIZATIONS; EMPLOYEES</t>
  </si>
  <si>
    <t>In digital competitive environments, organizations' ability to innovate is more than ever the key to competitive advantage. One way to cope with this increased pressure for innovation is to capitalize on employees' ability to generate new ideas and use these as building blocks for new and better products, services, and work processes. Individual innovation thus emerges as a key competence required from workers, in turn crucially affecting the way managers make employees contribute to organizational goals and assess their performance. This study draws on the process-based approach to HRM (Bowen and Ostroff, 2004) suggesting that HRM practices may have a signaling effect, to address the following research question: which specific characteristics of performance appraisal are more likely to be perceived as promoting individual innovation at work? To address this issue, we carried out a survey on 865 employees working in large, multinational firms operating in digitalized sectors or industries with the potential to become digitalized. We collected data on the main characteristics of the performance appraisal systems adopted by the firm where respondents work, as perceived by employees themselves. We gathered also data on the respondents' overall perception that performance appraisal boosts innovative work behavior (IWB). Then, we employed logit analysis to test the relationship between data on performance appraisal systems and data on the effectiveness of performance appraisal as a booster of IWB. Our results reveal that, as compared to informal feedback, formal performance appraisal is more likely to reduce the perception that performance appraisal promotes individual innovation and creativity at work. In addition, we found that in the employees' perception performance appraisal focused on the achievement of pre-set, quantitative outcomes is more likely to affect positively IWB than appraisal focused on pre-defined skills that employees exhibited performing their work. However, performance assessment focused on the new competences developed by the employees has a perceived positive impact even stronger than result-oriented appraisal. Taken together, these results contribute to advance our understanding of how organizations should evaluate employees in the digitalization era.</t>
  </si>
  <si>
    <t>[Curzi, Ylenia; Fabbri, Tommaso; Boscolo, Stefano] Univ Modena &amp; Reggio Emilia, Marco Biagi Dept Econ, Modena, Italy; [Scapolan, Anna Chiara] Univ Modena &amp; Reggio Emilia, Dept Commun &amp; Econ, Modena, Italy</t>
  </si>
  <si>
    <t>Universita di Modena e Reggio Emilia; Universita di Modena e Reggio Emilia</t>
  </si>
  <si>
    <t>Scapolan, AC (corresponding author), Univ Modena &amp; Reggio Emilia, Dept Commun &amp; Econ, Modena, Italy.</t>
  </si>
  <si>
    <t>tommaso.fabbri@unimore.it; annachiara.scapolan@unimore.it</t>
  </si>
  <si>
    <t>Boscolo, Stefano/0000-0003-3865-8644</t>
  </si>
  <si>
    <t>University of Modena and Reggio Emilia, under the FAR inter-disciplinary project 'Framing employee attitudes and digital work behaviors to support datadrivent human resource management'</t>
  </si>
  <si>
    <t>This publication was supported by the University of Modena and Reggio Emilia, under the FAR inter-disciplinary project 'Framing employee attitudes and digital work behaviors to support datadrivent human resource management'.</t>
  </si>
  <si>
    <t>JUL 17</t>
  </si>
  <si>
    <t>10.3389/fpsyg.2019.01659</t>
  </si>
  <si>
    <t>IJ3RI</t>
  </si>
  <si>
    <t>WOS:000475821800001</t>
  </si>
  <si>
    <t>Guan, HJ; Zhang, Z; Zhao, AW; Jia, JY; Guan, S</t>
  </si>
  <si>
    <t>Guan, Hongjun; Zhang, Zhen; Zhao, Aiwu; Jia, Jinyuan; Guan, Shuang</t>
  </si>
  <si>
    <t>Research on Innovation Behavior and Performance of New Generation Entrepreneur Based on Grounded Theory</t>
  </si>
  <si>
    <t>new generation entrepreneurs; innovation behaviors; depth interview; grounded theory</t>
  </si>
  <si>
    <t>GROWTH</t>
  </si>
  <si>
    <t>In China, new generation entrepreneurs are gradually becoming the main force of intergenerational inheritance. New generation entrepreneurs have different educational background, growth experience and personality characteristics from the old generation entrepreneurs. They are endowed with the historical mission of an innovative generation. Therefore, it is of great significance to reveal the key factors influencing their innovative behavior and find out how to inspire their innovative behavior. Based on grounded theory and in-depth interviews, this study used NVivo 11 to deal with the recording materials. After a series of steps including open coding, spindle coding, selective coding and theoretical saturation test, it constructed a theoretical model of innovative behavior and innovative performance for new generation entrepreneurs. The purpose of this study was to improve the theory of entrepreneur innovation behavior and provide guidance for government to cultivate innovative spirit and innovative ability of new generation entrepreneurs. The research showed that: (1) New generation entrepreneurs' personal traits and educational background affect their perceptions of innovation. (2) Risk awareness, understanding of innovation content and social capital would influence innovation behaviors. (3) Innovation behaviors further lead to changes in organization performance. Therefore, government should provide more opportunities for new generation entrepreneurs to widen their knowledge, social resources and innovation environment.</t>
  </si>
  <si>
    <t>[Guan, Hongjun; Zhang, Zhen; Zhao, Aiwu] Shandong Univ Finance &amp; Econ, Sch Management Sci &amp; Engn, Jinan 250014, Shandong, Peoples R China; [Zhao, Aiwu; Jia, Jinyuan] Jiangsu Univ, Sch Management, Zhenjiang 212013, Jiangsu, Peoples R China; [Guan, Shuang] NYU, Courant Inst Math Sci, New York, NY 10012 USA</t>
  </si>
  <si>
    <t>Shandong University of Finance &amp; Economics; Jiangsu University; New York University</t>
  </si>
  <si>
    <t>Zhao, AW (corresponding author), Shandong Univ Finance &amp; Econ, Sch Management Sci &amp; Engn, Jinan 250014, Shandong, Peoples R China.;Zhao, AW (corresponding author), Jiangsu Univ, Sch Management, Zhenjiang 212013, Jiangsu, Peoples R China.</t>
  </si>
  <si>
    <t>jjxyghj@sdufe.edu.cn; zhangzhen@mail.sdufe.edu.cn; aiwuzh@ujs.edu.cn; jsdxjjy@126.com; sg5896@nyu.edu</t>
  </si>
  <si>
    <t>hongjun, guan/0000-0001-7335-5871</t>
  </si>
  <si>
    <t>National Natural Science Foundation of China [71704066]</t>
  </si>
  <si>
    <t>This work was supported by the National Natural Science Foundation of China under Grant 71704066.</t>
  </si>
  <si>
    <t>10.3390/su11102883</t>
  </si>
  <si>
    <t>Green Submitted, gold, Green Published</t>
  </si>
  <si>
    <t>WOS:000471010300166</t>
  </si>
  <si>
    <t>Loredo, E; Lopez-Mielgo, N; Pineiro-Villaverde, G; Garcia-Alvarez, MT</t>
  </si>
  <si>
    <t>Loredo, Enrique; Lopez-Mielgo, Nuria; Pineiro-Villaverde, Gustavo; Teresa Garcia-Alvarez, Maria</t>
  </si>
  <si>
    <t>Utilities: Innovation and Sustainability</t>
  </si>
  <si>
    <t>utility; electricity; gas; water; liberalization; innovation; sustainability; PITEC</t>
  </si>
  <si>
    <t>RESEARCH-AND-DEVELOPMENT; LIBERALIZATION; IMPACT; PRIVATIZATION; TRANSITIONS; INVESTMENT; OBSTACLES; DRIVER; WATER; POWER</t>
  </si>
  <si>
    <t>Pro-market reforms have disrupted the playing field and strongly affected the innovative behavior of electricity, gas and water utilities. Beyond a significant reduction in sectoral R&amp;D investments, very little is known about how these firms accomplish their innovation strategies in this new scenario. Given this gap in the literature, the first aim of this paper is to identify the internal determinants of both the product and process innovation of utilities in a liberalized environment. Additionally, there is another external force that is also disrupting the specific landscape of utilities: the sustainability challenge. Therefore, the second aim of this paper is establishing whether sustainability-orientation is a driver of innovation in the utilities industries. The empirical study is carried out on a panel of 82 Spanish electricity, gas and water utilities over the period 2005-2012 (Technological Innovation Panel dataset (PITEC)). The main findings are: (i) the acquisition of disembodied knowledge does not play a relevant role for utilities; (ii) non-formal search processes are central to product innovation; (iii) some markets for technology -external R&amp;D and technology embedded in equipment-are determinant factors for process innovation; (iv) sustainability orientation increases the likelihood of generating both, product and process innovations. These firm-level results are novel contributions to the field of utility management.</t>
  </si>
  <si>
    <t>[Loredo, Enrique] Univ Oviedo, Jovellanos Fac Commerce Tourism &amp; Social Sci, C Luis Moya Blanco 261, Gijon 33203, Spain; [Loredo, Enrique; Lopez-Mielgo, Nuria] Univ Oviedo, Dept Business Adm, E-33006 Oviedo, Spain; [Pineiro-Villaverde, Gustavo] Univ A Coruna, Doctoral Program Econ Anal &amp; Business, Fac Econ &amp; Business, La Coruna 15071, Spain; [Teresa Garcia-Alvarez, Maria] Univ A Coruna, Dept Business, La Coruna 15071, Spain</t>
  </si>
  <si>
    <t>University of Oviedo; University of Oviedo; Universidade da Coruna; Universidade da Coruna</t>
  </si>
  <si>
    <t>Loredo, E (corresponding author), Univ Oviedo, Jovellanos Fac Commerce Tourism &amp; Social Sci, C Luis Moya Blanco 261, Gijon 33203, Spain.;Loredo, E (corresponding author), Univ Oviedo, Dept Business Adm, E-33006 Oviedo, Spain.</t>
  </si>
  <si>
    <t>eloredo@uniovi.es; nlopez@uniovi.es; gustavo.pineiro@udc.es; mtgarcia@udc.es</t>
  </si>
  <si>
    <t>Loredo, Enrique/AAH-4149-2019; Garcia-Alvarez, Maria Teresa/I-8586-2018</t>
  </si>
  <si>
    <t>Lopez-Mielgo, Nuria/0000-0002-4943-8391; Pineiro-Villaverde, Gustavo/0000-0002-8632-916X; Loredo Fernandez, Enrique/0000-0002-0229-1417; Garcia-Alvarez, Maria Teresa/0000-0002-2352-0346</t>
  </si>
  <si>
    <t>Catedra Hunosa-Universidad de Oviedo; Department of Culture, Education and University Management of the Autonomous Community of Galicia (Spain) [ED341D R2016/014]</t>
  </si>
  <si>
    <t>Catedra Hunosa-Universidad de Oviedo; Department of Culture, Education and University Management of the Autonomous Community of Galicia (Spain)</t>
  </si>
  <si>
    <t>Enrique Loredo and Nuria Lopez-Mielgo would like to acknowledge financial support from Catedra Hunosa-Universidad de Oviedo. Maria Teresa Garcia-Alvarez gratefully thanks the financial support provided by the Department of Culture, Education and University Management of the Autonomous Community of Galicia (Spain) through the ED341D R2016/014 Program.</t>
  </si>
  <si>
    <t>FEB 2</t>
  </si>
  <si>
    <t>10.3390/su11041085</t>
  </si>
  <si>
    <t>HO3JV</t>
  </si>
  <si>
    <t>WOS:000460819100145</t>
  </si>
  <si>
    <t>Stock, R; Gross, M; Xin, KR</t>
  </si>
  <si>
    <t>Stock, Ruth; Gross, Matthias; Xin, Katherine R.</t>
  </si>
  <si>
    <t>Will Self-Love Take a Fall? Effects of Top Executives' Positive Self-Regard on Firm Innovativeness</t>
  </si>
  <si>
    <t>PRODUCT PROGRAM INNOVATIVENESS; CEOS TRANSFORMATIONAL LEADERSHIP; STRUCTURAL EQUATION MODELS; MODERATING ROLE; MANAGEMENT TEAMS; UPPER ECHELONS; TECHNOLOGICAL INNOVATIVENESS; STRATEGIC FLEXIBILITY; MAXIMUM-LIKELIHOOD; JOB-PERFORMANCE</t>
  </si>
  <si>
    <t>Innovative work behavior has recently attracted considerable interest of both researchers and practitioners. Although extant research provides valuable insights into employees' innovative behavior, knowledge on top executives' innovative behavior, its antecedents, and its outcomes is scarce. Drawing on upper echelons theory, this study considers whether different facets of top executives' positive self-regard enhance or harm their innovative behavior. The authors theorize that top executives' selfism, hypercore self-evaluation, and overconfidence-all of which imply a strong positive self-regard-distinctly determine their willingness and ability to engage in innovative behavior, which in turn is critical for new product program newness. Time-lagged data from a sample of 214 top executives and 647 matched subordinates reveal that seemingly similar psychological characteristics of top executives affect innovative behavior differently. Selfism and overconfidence negatively influence innovative behavior; hypercore self-evaluation has a positive effect. A structural mediation analysis confirms a multistage, causal chain that links the three psychological characteristics with product program newness, mediated by top executives' innovative work behavior. Furthermore, moderated mediation analysis suggests that some demographic characteristics of top executives moderate the effects of hypercore self-evaluation and overconfidence on innovative behavior, whereas the effect of selfism remains unchanged regardless of their tenure or power. Hence, this study provides a more fine-grained perspective on top executives' positive self-regard and its contingencies in the innovation context.</t>
  </si>
  <si>
    <t>[Stock, Ruth] Tech Univ Darmstadt, Mkt &amp; Human Resource Management, Darmstadt, Germany; [Gross, Matthias] Rhein Fachhsch Koln, Management, Cologne, Germany; [Xin, Katherine R.] CEIBS, Management, Shanghai, Peoples R China; [Xin, Katherine R.] CEIBS, Ctr Globalizat Chinese Co, Shanghai, Peoples R China</t>
  </si>
  <si>
    <t>Technical University of Darmstadt; China Europe International Business School; China Europe International Business School</t>
  </si>
  <si>
    <t>Stock, R (corresponding author), Tech Univ Darmstadt, Darmstadt, Germany.</t>
  </si>
  <si>
    <t>rsh@bwl.tu-darmstadt.de</t>
  </si>
  <si>
    <t>10.1111/jpim.12443</t>
  </si>
  <si>
    <t>HC3MS</t>
  </si>
  <si>
    <t>WOS:000451707200004</t>
  </si>
  <si>
    <t>Pereira, M; Suarez, D</t>
  </si>
  <si>
    <t>Pereira, Mariano; Suarez, Diana</t>
  </si>
  <si>
    <t>Matthew effect, capabilities and innovation policy: the Argentinean case</t>
  </si>
  <si>
    <t>Matthew effect; persistence; capabilities; innovation policy</t>
  </si>
  <si>
    <t>RESEARCH-AND-DEVELOPMENT; DEVELOPMENT SUBSIDIES; PUBLIC SUBSIDIES; PERSISTENCE; FIRMS; FLANDERS; MODELS</t>
  </si>
  <si>
    <t>The purpose of this paper is to test the presence of Matthew effects in different types of public funding for innovation - non-refundable grants, subsidized loans and tax credits. According to the literature, Matthew effect refers to the impact of past accessing to public funds on reputation, which increases the probability of accessing in the present. The dataset is made of 966 firms that accessed the Technological Argentinean Fund (FONTAR), main instrument to foster innovation in Argentina, during 2007-2013 - 3300 observations. Results confirm the existence of Matthew effects: past accessing to FONTAR increases the probability of accessing in the present, but only when different instruments are taken altogether. Then, Matthew effect is positively associated with the diversification of access to promotional instruments rather than the repeated access to one type of funding tool. Additionally, results show that firm's innovation investments, R&amp;D activities, and human resources, explain the increase in probability of accessing, which provides evidence regarding the presence of capability effects. All of this suggests that once the firm enters the system of public funding, it remains with an active innovative behaviour, not just because of reputation effects, but because it has accumulated capabilities in the pursuit of a technological advantage.</t>
  </si>
  <si>
    <t>[Pereira, Mariano; Suarez, Diana] UNGS, Inst Ind IdeI, JM Gutierrez 1150,CP1613GSX, Buenos Aires, DF, Argentina; [Pereira, Mariano; Suarez, Diana] CIECTI, Buenos Aires, DF, Argentina</t>
  </si>
  <si>
    <t>Suarez, D (corresponding author), UNGS, Inst Ind IdeI, JM Gutierrez 1150,CP1613GSX, Buenos Aires, DF, Argentina.</t>
  </si>
  <si>
    <t>Pereira, Mariano/0000-0003-4313-7421</t>
  </si>
  <si>
    <t>10.1080/10438599.2017.1294544</t>
  </si>
  <si>
    <t>FQ6ZX</t>
  </si>
  <si>
    <t>WOS:000418513700004</t>
  </si>
  <si>
    <t>Shi, X; Wu, YR</t>
  </si>
  <si>
    <t>Shi, Xing; Wu, Yanrui</t>
  </si>
  <si>
    <t>The effect of internal and external factors on innovative behaviour of Chinese manufacturing firms</t>
  </si>
  <si>
    <t>CHINA ECONOMIC REVIEW</t>
  </si>
  <si>
    <t>Innovative behaviour; Manufacturing firms; China</t>
  </si>
  <si>
    <t>RESEARCH-AND-DEVELOPMENT; DEVELOPMENT INVESTMENT; PRODUCT INNOVATION; PROPERTY-RIGHTS; DETERMINANTS; TECHNOLOGY; SIZE; SECTOR; GROWTH; EXPENDITURES</t>
  </si>
  <si>
    <t>Chinese firms are playing a significant role in promoting the country's innovation capacity. However, information about China's innovative activities is still very limited, especially at the micro level. This paper aims to investigate both the internal and external determinants that affect firms' innovative behaviour by using a rich set of firm-level data and municipal-level data. It provides interesting insight into firms' innovative behaviour embedded in different local systems. The analysis is based on a theoretical framework combining resource-based views and the theory of regional innovation system. The findings in this study have important policy implications not only for China but also for the rest of the world as Chinese firms become increasingly active internationally. (C) 2016 Elsevier Inc. All rights reserved.</t>
  </si>
  <si>
    <t>[Shi, Xing; Wu, Yanrui] Univ Western Australia, Business Sch, Econ, Nedlands, WA, Australia</t>
  </si>
  <si>
    <t>Wu, YR (corresponding author), Univ Western Australia, Business Sch, Econ, Nedlands, WA, Australia.</t>
  </si>
  <si>
    <t>xing.shi@research.uwa.edu.au; yanrui.wu@uwa.edu.au</t>
  </si>
  <si>
    <t>Wu, Yanrui/C-2458-2013</t>
  </si>
  <si>
    <t>Wu, Yanrui/0000-0002-8966-1459</t>
  </si>
  <si>
    <t>1043-951X</t>
  </si>
  <si>
    <t>1873-7781</t>
  </si>
  <si>
    <t>CHINA ECON REV</t>
  </si>
  <si>
    <t>China Econ. Rev.</t>
  </si>
  <si>
    <t>S</t>
  </si>
  <si>
    <t>S50</t>
  </si>
  <si>
    <t>S64</t>
  </si>
  <si>
    <t>10.1016/j.chieco.2016.08.010</t>
  </si>
  <si>
    <t>FR5CV</t>
  </si>
  <si>
    <t>WOS:000419085400005</t>
  </si>
  <si>
    <t>Marques, T; Galende, J; Cruz, P; Ferreira, MP</t>
  </si>
  <si>
    <t>Marques, Tania; Galende, Jesus; Cruz, Pedro; Ferreira, Manuel Portugal</t>
  </si>
  <si>
    <t>Surviving downsizing and innovative behaviors: a matter of organizational commitment</t>
  </si>
  <si>
    <t>Innovation; Job insecurity; Downsizing; Organizational commitment; Innovative behavior</t>
  </si>
  <si>
    <t>LAYOFF ANNOUNCEMENTS; PRODUCT INNOVATION; FIRM PERFORMANCE; JOB INSECURITY; CONSEQUENCES; KNOWLEDGE; MODEL; WORK; SATISFACTION; CREATIVITY</t>
  </si>
  <si>
    <t>Purpose - The purpose of this paper is to analyse the simultaneous effects of perceived job insecurity and organizational commitment on the innovative behavior of workers in an announced downsizing environment. Design/methodology/approach - The authors suggest and empirically test a model using the case of a firm, an innovative high technology firm, in a downsizing process. Findings - The results show an indirect effect of job insecurity on innovative behavior, through organizational commitment. Research limitations/implications - First, the paper only examined one firm. Although the firm is a large multinational firm it may have a specific organizational culture and a track record that generates some idiosyncratic feelings in face of downsizing. Second, the context of knowledge-intensive firms limits the scope of the study, although it is reasonable to suggest that these firms are more dependent on employees' innovative efforts for competitive advantage. Practical implications - This study is a contribution to the HRM practitioners in a tense and delicate worldwide restructuring situation. The outcomes experienced by those who remain - the survivors - are important for the future competitive capabilities of firms post-downsizing. Social implications - Thus, it seems that organizational commitment directly and positively determines workers' innovative behavior and that organizational commitment is impacted by job insecurity in an announced downsizing environment. It is, essentially, an affective commitment and job insecurity is more affected by a perceived threat to one's total job. Originality/value - A downsizing strategy warrants that the full impact on firms' ability to innovate be assessed.</t>
  </si>
  <si>
    <t>[Marques, Tania] Polytech Inst Leiria, Dept Management &amp; Econ, Sch Technol &amp; Management, Management Sustainabil Res Ctr, Leiria, Portugal; [Galende, Jesus] Univ Salamanca, Dept Adm &amp; Business Econ, E-37008 Salamanca, Spain; [Cruz, Pedro] Univ Aveiro, Sch Business, CIGEST ISG CIGEST, Lisbon, Portugal; [Ferreira, Manuel Portugal] ESTG Polytech Inst Leiria, Dept Econ &amp; Business, Leiria, Portugal</t>
  </si>
  <si>
    <t>University of Salamanca; Universidade de Aveiro</t>
  </si>
  <si>
    <t>Marques, T (corresponding author), Polytech Inst Leiria, Dept Management &amp; Econ, Sch Technol &amp; Management, Management Sustainabil Res Ctr, Leiria, Portugal.</t>
  </si>
  <si>
    <t>taniamarques@ipleiria.pt</t>
  </si>
  <si>
    <t>Galende, Jesús/F-3200-2016; Ferreira, Manuel Portugal/A-2322-2012</t>
  </si>
  <si>
    <t>Galende, Jesús/0000-0003-0550-2555; Ferreira, Manuel Portugal/0000-0002-4642-4605</t>
  </si>
  <si>
    <t>10.1108/IJM-03-2012-0049</t>
  </si>
  <si>
    <t>AR1EG</t>
  </si>
  <si>
    <t>WOS:000343325400001</t>
  </si>
  <si>
    <t>Segarra-Cipres, M; Bou-Llusar, JC; Roca-Puig, V</t>
  </si>
  <si>
    <t>Segarra-Cipres, Mercedes; Carlos Bou-Llusar, Juan; Roca-Puig, Vicente</t>
  </si>
  <si>
    <t>Exploring and exploiting external knowledge: The effect of sector and firm technological intensity</t>
  </si>
  <si>
    <t>INNOVATION-ORGANIZATION &amp; MANAGEMENT</t>
  </si>
  <si>
    <t>external knowledge; knowledge exploration; knowledge exploitation; technological intensity of the sector and the firm; technological cooperation; hiring R&amp;D employees; R&amp;D outputs</t>
  </si>
  <si>
    <t>RESEARCH-AND-DEVELOPMENT; RESOURCE-BASED VIEW; OPEN INNOVATION; ABSORPTIVE-CAPACITY; COOPERATIVE RESEARCH; STRATEGIC ALLIANCES; EMPIRICAL-ANALYSIS; PATTERNS; SEARCH; CAPABILITIES</t>
  </si>
  <si>
    <t>This paper analyses whether the technological environment in which firms operate conditions the opening up of the innovation process, or whether it is the firm's R&amp;D efforts, regardless of the sector it operates in, that determine to a greater extent the firm's capacity to explore and exploit external knowledge. Using negative binomial models, the paper analyses the effect of external sources of knowledge on innovation outputs, and the moderator effect of technological intensity of the sector and firm. Results show that the most R&amp;D intensive firms and sectors explore external sources of knowledge to a greater extent than those which are less R&amp;D intensive. In contrast, no substantial differences emerge with regard to the exploitation of these sources. Results also show that opening up the innovation process is not a sectoral phenomenon, since there are significant differences in the use of external sources within the industry itself Highly open, dynamic and innovative firms can be found in low technology-intensive sectors, indicating that heterogeneity in intra-industrial innovative behaviour should be taken into account when formulating sector-based policies to support the opening up of the innovation process.</t>
  </si>
  <si>
    <t>[Segarra-Cipres, Mercedes; Carlos Bou-Llusar, Juan; Roca-Puig, Vicente] Univ Jaume 1, Dept Business Adm &amp; Mkt, Castellon de La Plana, Spain</t>
  </si>
  <si>
    <t>Universitat Jaume I</t>
  </si>
  <si>
    <t>Segarra-Cipres, M (corresponding author), Univ Jaume 1, Dept Business Adm &amp; Mkt, Castellon de La Plana, Spain.</t>
  </si>
  <si>
    <t>Roca-Puig, Vicente/AFL-6621-2022; Bou-Llusar, Juan Carlos/L-5691-2014; Segarra-Ciprés, Mercedes/AAW-7063-2021; SEGARRA CIPRÉS, MERCEDES/L-8038-2014; Roca-Puig, Vicente/L-1578-2014</t>
  </si>
  <si>
    <t>Roca-Puig, Vicente/0000-0001-6742-472X; Bou-Llusar, Juan Carlos/0000-0001-7975-4304; Segarra-Ciprés, Mercedes/0000-0003-1359-2159; SEGARRA CIPRÉS, MERCEDES/0000-0003-1359-2159; Roca-Puig, Vicente/0000-0001-6742-472X</t>
  </si>
  <si>
    <t>1447-9338</t>
  </si>
  <si>
    <t>2204-0226</t>
  </si>
  <si>
    <t>INNOV-ORGAN MANAG</t>
  </si>
  <si>
    <t>Innov.-Organ. Manag.</t>
  </si>
  <si>
    <t>10.5172/impp.2012.14.2.203</t>
  </si>
  <si>
    <t>992SR</t>
  </si>
  <si>
    <t>WOS:000307800500004</t>
  </si>
  <si>
    <t>Hoi, H; Kristin, A; Valera, F; Hoi, C</t>
  </si>
  <si>
    <t>Hoi, H.; Kristin, A.; Valera, F.; Hoi, C.</t>
  </si>
  <si>
    <t>Traditional versus non-traditional nest-site choice: alternative decision strategies for nest-site selection</t>
  </si>
  <si>
    <t>OECOLOGIA</t>
  </si>
  <si>
    <t>Nest-site selection; Nest-site tradition; Use of social information; Past reproductive success; Lesser grey shrike</t>
  </si>
  <si>
    <t>BREEDING HABITAT SELECTION; CONSPECIFIC REPRODUCTIVE SUCCESS; PUBLIC INFORMATION; LANIUS-MINOR; DISPERSAL; FIDELITY; PHILOPATRY; BIRDS; AGE; ATTRACTION</t>
  </si>
  <si>
    <t>In order to understand habitat selection, it is important to consider the way individual animals assess the suitability of a future reproductive site. One way of investigating mechanisms (such as those involved in nest site selection) is to examine breeding success and habitat characteristics in terms of animals returning to a place where they have already reproduced and using the same location over successive years or searching for new alternatives. This approach seems especially suitable for testing recent hypotheses suggesting that nest site selection is an integrative process that includes the use of social information (e.g. past breeding success of conspecifics). Determining the factors that elicit conservative or innovative behaviour regarding nest-site selection could be important for improving our understanding of habitat selection decisions in animals. More than half of the nests of the long-distance migratory lesser grey shrike Lanius minor, are built in the same or neighbouring trees. We found no evidence that habitat characteristics influence nest-site tradition. On the contrary, social information in terms of the presence of conspecifics and past reproductive success in terms of complete nest failures due to nest predation (but not detailed information such as variation in fledgling number) influenced nest-site tradition. Hence, social information and past reproductive success may play a role in nest-site choice in this species. Our results further demonstrate that previous experience with a nest site does not appear to be beneficial.</t>
  </si>
  <si>
    <t>[Hoi, H.; Hoi, C.] Univ Vet Med, Konrad Lorenz Inst Ethol, A-1160 Vienna, Austria; [Hoi, H.; Hoi, C.] Inst Austrian Acad Sci, A-1160 Vienna, Austria; [Kristin, A.] Slovak Acad Sci, Inst Forest Ecol, Zvolen 96053, Slovakia; [Valera, F.] CSIC, Estn Expt Zonas Aridas, Almeria 04001, Spain</t>
  </si>
  <si>
    <t>University of Veterinary Medicine Vienna; Slovak Academy of Sciences; Consejo Superior de Investigaciones Cientificas (CSIC); CSIC - Estacion Experimental de Zonas Aridas (EEZA)</t>
  </si>
  <si>
    <t>Hoi, H (corresponding author), Univ Vet Med, Konrad Lorenz Inst Ethol, Savoyenstr 1A, A-1160 Vienna, Austria.</t>
  </si>
  <si>
    <t>herbert.hoi@vetmeduni.ac.at</t>
  </si>
  <si>
    <t>Kristin, Anton/E-2287-2011; Valera, Francisco/R-3437-2019; Valera, Francisco/J-5951-2014</t>
  </si>
  <si>
    <t>Kristin, Anton/0000-0001-7422-6393; Valera, Francisco/0000-0003-2266-8899; Valera, Francisco/0000-0003-2266-8899</t>
  </si>
  <si>
    <t>Jubila-umsfondsproject [7223]; Slovak Grant Agency [2/0110/09]</t>
  </si>
  <si>
    <t>Jubila-umsfondsproject; Slovak Grant Agency(Vedecka grantova agentura MSVVaS SR a SAV (VEGA))</t>
  </si>
  <si>
    <t>We would like to thank Renate Hengsberger for improving the manuscript. This study was funded by the Jubila-umsfondsproject (no. 7223), Grant of Slovak Grant Agency no. 2/0110/09.</t>
  </si>
  <si>
    <t>0029-8549</t>
  </si>
  <si>
    <t>1432-1939</t>
  </si>
  <si>
    <t>Oecologia</t>
  </si>
  <si>
    <t>10.1007/s00442-011-2193-8</t>
  </si>
  <si>
    <t>Ecology</t>
  </si>
  <si>
    <t>926FW</t>
  </si>
  <si>
    <t>WOS:000302817700011</t>
  </si>
  <si>
    <t>Sanders, K; Shipton, H</t>
  </si>
  <si>
    <t>Sanders, Karin; Shipton, Helen</t>
  </si>
  <si>
    <t>The relationship between transformational leadership and innovative behaviour in a healthcare context: a team learning versus a cohesion perspective</t>
  </si>
  <si>
    <t>EUROPEAN JOURNAL OF INTERNATIONAL MANAGEMENT</t>
  </si>
  <si>
    <t>transformational leadership; innovative behaviour; team learning; cohesion</t>
  </si>
  <si>
    <t>EMPLOYEE CREATIVITY; WORK GROUPS; COHESIVENESS; KNOWLEDGE; COMMUNITIES; PERFORMANCE; MULTILEVEL; MEDIATION; ANONYMITY; QUALITY</t>
  </si>
  <si>
    <t>The purpose of this study was to explore whether the relationship between transformational leadership and innovative behaviour is explained via the mediating role of team learning, or whether instead team cohesion mediates this relationship. Using survey data from 158 professionals within 21 teams in the Dutch healthcare context, we tested by means of hierarchical regression analyses: (a) the relationship between transformational leadership and innovative behaviour; (b) whether team learning or cohesion mediates this relationship; and (c) the relationship between team learning and cohesion, in relation to transformational leadership. Results showed that transformational leadership is positively related to innovative behaviour and that both cohesion and team learning mediate this relationship, with team learning being the strongest mediator. Addressing a neglected area, our study provides evidence to show that managers who enhance team learning are likely to maximise employees' scope for engaging in innovative behaviours.</t>
  </si>
  <si>
    <t>[Sanders, Karin] Univ Twente, Fac Behav Sci Work &amp; Organisat Psychol, Enschede, Netherlands; [Shipton, Helen] Aston Univ, Aston Business Sch, Birmingham B4 7ET, W Midlands, England</t>
  </si>
  <si>
    <t>University of Twente; Aston University</t>
  </si>
  <si>
    <t>Sanders, K (corresponding author), Univ Twente, Fac Behav Sci Work &amp; Organisat Psychol, Enschede, Netherlands.</t>
  </si>
  <si>
    <t>k.sanders@gw.utwente.nl; H.Shipton@aston.ac.uk</t>
  </si>
  <si>
    <t>1751-6757</t>
  </si>
  <si>
    <t>1751-6765</t>
  </si>
  <si>
    <t>EUR J INT MANAG</t>
  </si>
  <si>
    <t>Eur. J. Int. Manag.</t>
  </si>
  <si>
    <t>10.1504/EJIM.2012.044759</t>
  </si>
  <si>
    <t>876KE</t>
  </si>
  <si>
    <t>WOS:000299105600006</t>
  </si>
  <si>
    <t>Wu, HL; Su, WC; Lee, CY</t>
  </si>
  <si>
    <t>Wu, Hsueh-Liang; Su, Wei-Chieh; Lee, Cheng-Yu</t>
  </si>
  <si>
    <t>Employee ownership motivation and individual risk-taking behaviour: a cross-level analysis of Taiwan's privatized enterprises</t>
  </si>
  <si>
    <t>climate of self-determination; employee ownership; environmental hostility; privatization; risk-taking behaviour</t>
  </si>
  <si>
    <t>STOCK OWNERSHIP; SHARE OWNERSHIP; JOB-ATTITUDES; MODEL; PERFORMANCE; EMPOWERMENT; DIMENSIONS; DECISIONS; MOTIVES; HOSTILE</t>
  </si>
  <si>
    <t>Privatization has long been a prevailing strategy worldwide for promoting economic liberalization. During privatization of state-owned enterprises employees are often encouraged, as part of policy design, to become equity shareholders through buying priority shares reserved for them with the goal of expediting privatization and building employees' organizational identification. Using risk-taking behaviour as a lens to observe individual-level entrepreneurial orientations after privatization, this study, in a sample of 328 employees in 14 privatized firms in Taiwan, aims to examine the behavioural consequences of two distinct types of motivation behind employee ownership and the contextual influences on such relationships. Because of the hierarchical nature of the individual- and firm-level data, we use the hierarchical linear modelling (HLM) method to test the hypotheses and find that intrinsic motivation ex ante for employee ownership can cultivate innovative behaviour ex post, whereas extrinsic motivation yields the similar effect only in the presence of a climate of self-determination and the absence of environmental hostility.</t>
  </si>
  <si>
    <t>[Wu, Hsueh-Liang] Natl Taiwan Univ, Dept &amp; Grad Inst Int Business, Taipei 10764, Taiwan; [Su, Wei-Chieh] Natl Tsing Hua Univ, Inst Technol, Hsinchu, Taiwan; [Lee, Cheng-Yu] Natl Cheng Kung Univ, Grad Inst Business Adm, Tainan 70101, Taiwan</t>
  </si>
  <si>
    <t>National Taiwan University; Fooyin University; National Tsing Hua University; National Cheng Kung University</t>
  </si>
  <si>
    <t>Wu, HL (corresponding author), Natl Taiwan Univ, Dept &amp; Grad Inst Int Business, Taipei 10764, Taiwan.</t>
  </si>
  <si>
    <t>hlwu@ntu.edu.tw</t>
  </si>
  <si>
    <t>Su, Weichieh/0000-0001-8799-2345</t>
  </si>
  <si>
    <t>PII 906574305</t>
  </si>
  <si>
    <t>10.1080/09585190802479546</t>
  </si>
  <si>
    <t>383LB</t>
  </si>
  <si>
    <t>WOS:000261674000011</t>
  </si>
  <si>
    <t>Van der Panne, G</t>
  </si>
  <si>
    <t>Van der Panne, Gerben</t>
  </si>
  <si>
    <t>Issues in measuring innovation</t>
  </si>
  <si>
    <t>SCIENTOMETRICS</t>
  </si>
  <si>
    <t>INDICATORS</t>
  </si>
  <si>
    <t>Innovation research builds on the analysis of micro level data describing innovative behaviour of individual firms. One increasingly popular type of data are Literature-based Innovation Output (LBIO) data. These are compiled by screening specialist trade journals for new-product announcements. Notwithstanding the substantial advantages, the eligibility of LBIO data for innovation research remains controversial. In this paper the merits of LBIO data are examined by means of comparative analysis. A newly built LBIO database is systematically compared with the widely used Community Innovation Survey. It shows that both databases identify similar innovators in terms of firm size, distribution across industries and degree of innovativeness: LBIO data can be considered a fully fledged alternative to traditional innovation data, highly eligible for innovation research.</t>
  </si>
  <si>
    <t>Delft Univ Technol, Fac Technol Policy &amp; Management, Econ Innovat Dept, NL-2600 GA Delft, Netherlands</t>
  </si>
  <si>
    <t>Delft University of Technology</t>
  </si>
  <si>
    <t>Van der Panne, G (corresponding author), Delft Univ Technol, Fac Technol Policy &amp; Management, Dept Innovat Syst, POB 5015, NL-2600 GA Delft, Netherlands.</t>
  </si>
  <si>
    <t>g.vanderpanne@tudelft.nl</t>
  </si>
  <si>
    <t>0138-9130</t>
  </si>
  <si>
    <t>Scientometrics</t>
  </si>
  <si>
    <t>10.1007/s11192-007-1691-2</t>
  </si>
  <si>
    <t>Computer Science, Interdisciplinary Applications; Information Science &amp; Library Science</t>
  </si>
  <si>
    <t>Computer Science; Information Science &amp; Library Science</t>
  </si>
  <si>
    <t>166IS</t>
  </si>
  <si>
    <t>WOS:000246373000010</t>
  </si>
  <si>
    <t>Raymond, W; Mohnen, P; Palm, F; Van der Loeff, SS</t>
  </si>
  <si>
    <t>A classification of Dutch manufacturing based on a model of innovation</t>
  </si>
  <si>
    <t>ECONOMIST-NETHERLANDS</t>
  </si>
  <si>
    <t>CIS; industry classification; innovation policy; two-limit tobit model</t>
  </si>
  <si>
    <t>The paper studies the degree of homogeneity of innovative behavior in order to determine empirically an industry classification of Dutch manufacturing that can be used for policy purposes. Defining homogeneity in terms of an economic model distinguishes our classification from existing taxonomies such as those of the OECD, Pavitt and the various classifications based on a principal components analysis. We use a two-limit tobit model with sample selection, which explains the decisions by business enterprises to innovate and the impact these decisions have on the share of innovative sales. The model is estimated for eleven industries based on the Dutch Standard Industrial Classification (SBI 1993). A likelihood ratio (LR) test is then performed to test for equality of the parameters across industries. We find that Dutch manufacturing consists of three groups of industries in terms of innovative behavior, a high-tech group, a low-tech group and the industry of wood. The same pattern shows up in the three Dutch Community Innovation Surveys.</t>
  </si>
  <si>
    <t>Univ Maastricht, MERIT, NL-6200 MD Maastricht, Netherlands</t>
  </si>
  <si>
    <t>Raymond, W (corresponding author), Univ Maastricht, MERIT, Postbus 616, NL-6200 MD Maastricht, Netherlands.</t>
  </si>
  <si>
    <t>f.palm@KE.unimass.nl</t>
  </si>
  <si>
    <t>Mohnen, Pierre/0000-0002-2289-7379</t>
  </si>
  <si>
    <t>0013-063X</t>
  </si>
  <si>
    <t>1572-9982</t>
  </si>
  <si>
    <t>ECONOMIST-NETHERLAND</t>
  </si>
  <si>
    <t>Economist-Netherlands</t>
  </si>
  <si>
    <t>10.1007/s10645-006-0005-z</t>
  </si>
  <si>
    <t>036QL</t>
  </si>
  <si>
    <t>WOS:000237089700005</t>
  </si>
  <si>
    <t>Cohen, BJ</t>
  </si>
  <si>
    <t>Fostering innovation in a large human services bureaucracy</t>
  </si>
  <si>
    <t>ADMINISTRATION IN SOCIAL WORK</t>
  </si>
  <si>
    <t>One of the fundamental challenges facing human services organizations is how to foster innovation by drawing on the experience, knowledge, and creativity of staff members. However, innovative behavior is often hard to find in bureaucratic organizations, and may even be discouraged. The author describes a program designed to make it possible for staff to develop and test out new ideas in the context of a large, public agency. The program involves the creation of a special fund managed by staff that awards small grants in response to staff initiated proposals. In the first three years, nearly $60,000 was awarded to 27 separate projects. The fund provides a potential mechanism for empowering staff, addressing agency problems, and ultimately changing the nature of the organization.</t>
  </si>
  <si>
    <t>Univ Penn, Sch Social Work, Philadelphia, PA 19104 USA</t>
  </si>
  <si>
    <t>Cohen, BJ (corresponding author), Univ Penn, Sch Social Work, 3701 Locust St, Philadelphia, PA 19104 USA.</t>
  </si>
  <si>
    <t>HAWORTH PRESS INC</t>
  </si>
  <si>
    <t>BINGHAMTON</t>
  </si>
  <si>
    <t>10 ALICE ST, BINGHAMTON, NY 13904-1580 USA</t>
  </si>
  <si>
    <t>0364-3107</t>
  </si>
  <si>
    <t>ADMIN SOC WORK</t>
  </si>
  <si>
    <t>Adm. Soc. Work</t>
  </si>
  <si>
    <t>10.1300/J147v23n02_04</t>
  </si>
  <si>
    <t>Public Administration; Social Work</t>
  </si>
  <si>
    <t>233UD</t>
  </si>
  <si>
    <t>WOS:000082444900004</t>
  </si>
  <si>
    <t>DeMarchi, M; Napolitano, G; Taccini, P</t>
  </si>
  <si>
    <t>Testing a model of technological trajectories</t>
  </si>
  <si>
    <t>In this paper, we test a model of technological trajectories. Quantitative predictions are based on some qualitative statements described in Pavitt's taxonomy (Research Policy, 1984, 13, 343-373). The test concerned both the realism of the predicted associations between industrial sectors and patterns of technical change, and the predictive power of the model. The data come from Central Statistical Office of Italy (ISTAT)-National Research Council of Italy (CNR) a survey on technological innovation in the Italian manufacturing industry. The results of the test do not seem inconsistent with the model's predictions, although one of them turned out to be of little significe from a statistical standpoint. The variability of innovative behaviour at firm level is confirmed once again, thus making more challenging the task of those searching for useful theories on industrial patterns of technological innovation.</t>
  </si>
  <si>
    <t>NATL STAT OFF ITALY,ROME,ITALY</t>
  </si>
  <si>
    <t>DeMarchi, M (corresponding author), CNR,INST STUDIES SCI RES &amp; DOCUMENTAT,ROME,ITALY.</t>
  </si>
  <si>
    <t>10.1016/0048-7333(94)00818-3</t>
  </si>
  <si>
    <t>UD865</t>
  </si>
  <si>
    <t>WOS:A1996UD86500002</t>
  </si>
  <si>
    <t>Hoang, G; Luu, TT; Nguyen, TT; Du, T; Le, LP</t>
  </si>
  <si>
    <t>Hoang, Giang; Luu, Tuan Trong; Nguyen, Thuy Thu; Du, Tuan; Le, Lan Phuong</t>
  </si>
  <si>
    <t>Examining the effect of entrepreneurial leadership on employees' innovative behavior in SME hotels: A mediated moderation model</t>
  </si>
  <si>
    <t>Entrepreneurial leadership; Innovative behavior; Intrinsic motivation; Trust in leader; LMXSME hotels</t>
  </si>
  <si>
    <t>MEMBER EXCHANGE RELATIONSHIPS; INTRINSIC MOTIVATION; ETHICAL LEADERSHIP; TRANSFORMATIONAL LEADERSHIP; PSYCHOLOGICAL CONTRACT; EMPOWERING LEADERSHIP; AUTHENTIC LEADERSHIP; HOSPITALITY INDUSTRY; SERVANT LEADERSHIP; WORK BEHAVIOR</t>
  </si>
  <si>
    <t>To achieve their innovation and service quality goals and effectively meet customers' changing demands, hospitality firms are searching for different ways to encourage employees' innovative behavior. This study examines the role of entrepreneurial leadership in promoting innovative behavior among hospitality employees through mediated moderation effects. Data were collected from employees and managers working in 178 small- and medium-sized (SME) hotels in Vietnam. The findings revealed that intrinsic motivation and trust in leader mediated the association between entrepreneurial leadership and employees' innovative behavior. In contrast to our prediction, leader-member exchange (LMX) did not moderate the associations between entrepreneurial leadership and intrinsic motivation and trust in leader. Our findings provide important implications for hospitality firms that are investing in innovation activities and searching for ways to encourage innovative behavior in their employees.</t>
  </si>
  <si>
    <t>[Hoang, Giang] Victoria Univ, Melbourne, Vic, Australia; [Luu, Tuan Trong] Swinburne Univ Technol, Swinburne Business Sch, Hawthorn, Vic, Australia; [Nguyen, Thuy Thu] Foreign Trade Univ, Hanoi, Vietnam; [Nguyen, Thuy Thu] Minist Educ &amp; Training, Hanoi, Vietnam; [Du, Tuan] KPMG Vietnam, Deal Advisory, Strategy, Ho Chi Minh City, Vietnam; [Le, Lan Phuong] Foreign Trade Univ, Hanoi, Vietnam</t>
  </si>
  <si>
    <t>Victoria University; Swinburne University of Technology; Foreign Trade University FTU; Foreign Trade University FTU</t>
  </si>
  <si>
    <t>Hoang, G (corresponding author), Victoria Univ, Melbourne, Vic, Australia.</t>
  </si>
  <si>
    <t>giang.hoang@vu.edu.au; ttluu@swin.edu.au; ntthuy@moet.gov.vn; tuandu@kpmg.com.vn; lan.lp@ftu.edu.vn</t>
  </si>
  <si>
    <t>Le, Phuong Lan/0000-0001-8860-7672; Hoang, Giang/0000-0003-4830-1569; Du, Tuan/0000-0002-3488-2721</t>
  </si>
  <si>
    <t>Vietnam National Foundation for Science and Technology Development (NAFOSTED) [502.02-2020.328]</t>
  </si>
  <si>
    <t>Vietnam National Foundation for Science and Technology Development (NAFOSTED)(National Foundation for Science &amp; Technology Development (NAFOSTED))</t>
  </si>
  <si>
    <t>This research is funded by Vietnam National Foundation for Science and Technology Development (NAFOSTED) under grant number 502.02-2020.328. We would like to thank two anonymous reviewers for their valuable and constructive comments. We also thank Mr. Lam Hoang for his assistance during data collection.</t>
  </si>
  <si>
    <t>10.1016/j.ijhm.2022.103142</t>
  </si>
  <si>
    <t>JAN 2022</t>
  </si>
  <si>
    <t>ZP0YE</t>
  </si>
  <si>
    <t>WOS:000766151400023</t>
  </si>
  <si>
    <t>Yang, Mingjun; Tuan Trong Luu; Qian, David</t>
  </si>
  <si>
    <t>Group diversity and employee service innovative behavior in the hospitality industry: a multilevel model</t>
  </si>
  <si>
    <t>Creative self-efficacy; Developmental culture; Employee service innovative behavior; Group diversity</t>
  </si>
  <si>
    <t>CREATIVE SELF-EFFICACY; DEEP-LEVEL DIVERSITY; TRANSFORMATIONAL LEADERSHIP; MEDIATING ROLE; DEVELOPMENTAL CULTURE; LEARNING ORIENTATION; KNOWLEDGE; PERFORMANCE; MANAGEMENT; EXTROVERSION</t>
  </si>
  <si>
    <t>Purpose Service innovative behavior from employees helps hospitality organizations gain a competitive advantage and sustain business flourishment. Although group diversity has been demonstrated as a predictor of employee outcomes, whether group diversity in terms of extraversion and openness enhances employee service innovative behavior remains a gap. This study aims to fill this gap by developing a multilevel model of the direct relationship between group diversity in terms of extraversion and openness and employee service innovative behavior and also the mediations and moderations behind the relationship. Design/methodology/approach The authors collectd data from 44 Chinese hospitality teams. The research model was validated by multilevel structural equation modeling. Findings Results showed that both group extraversion diversity and group openness diversity fostered employee service innovative behavior via creative self-efficacy. Developmental culture strengthened the effectiveness of group openness diversity on creative self-efficacy and the effectiveness of creative self-efficacy on employee service innovative behavior. Nevertheless, developmental culture did not strengthen the effectiveness of group extraversion diversity on creative self-efficacy. Practical implications Findings suggest that managers and team leaders from hospitality organizations can elicit employee service innovative behavior through increasing group diversity in terms of extraversion and openness. Hospitality practitioners also should understand that employees' confidence for creativity is able to channel group diversity into employee service innovative endeavors. Moreover, building developmental culture is essential for hospitality teams to strengthen the effect of group diversity on innovating services. Originality/value This study expands the diversity-innovation research through unfolding both the mediations and the moderations behind the link between group diversity in terms of extraversion and openness and employee service innovative behavior.</t>
  </si>
  <si>
    <t>[Yang, Mingjun; Tuan Trong Luu; Qian, David] Swinburne Univ Technol, Swinburne Business Sch, Hawthorn, Vic, Australia; [Yang, Mingjun] Deakin Univ, Sch Psychol, Burwood, Australia</t>
  </si>
  <si>
    <t>Swinburne University of Technology; Deakin University</t>
  </si>
  <si>
    <t>Yang, MJ (corresponding author), Swinburne Univ Technol, Swinburne Business Sch, Hawthorn, Vic, Australia.;Yang, MJ (corresponding author), Deakin Univ, Sch Psychol, Burwood, Australia.</t>
  </si>
  <si>
    <t>mingjunyang17@gmail.com</t>
  </si>
  <si>
    <t>JAN 21</t>
  </si>
  <si>
    <t>10.1108/IJCHM-06-2021-0822</t>
  </si>
  <si>
    <t>DEC 2021</t>
  </si>
  <si>
    <t>YN5DO</t>
  </si>
  <si>
    <t>WOS:000728205200001</t>
  </si>
  <si>
    <t>Wang, YF; Chen, Y; Zhu, Y</t>
  </si>
  <si>
    <t>Wang, Yanfei; Chen, Yi; Zhu, Yu</t>
  </si>
  <si>
    <t>Promoting Innovative Behavior in Employees: The Mechanism of Leader Psychological Capital</t>
  </si>
  <si>
    <t>psychological capital; leader psychological capital; psychological safety; growth need strength; innovative behavior; conservation of resources theory</t>
  </si>
  <si>
    <t>GROWTH NEED STRENGTH; TRANSFORMATIONAL LEADERSHIP; VOICE BEHAVIOR; MEDIATING ROLE; FOLLOWER CREATIVITY; JOB CHARACTERISTICS; ETHICAL LEADERSHIP; PERFORMANCE; SAFETY; CONSERVATION</t>
  </si>
  <si>
    <t>The study reported in this paper analyzed the influence of leader psychological capital (PsyCap) on employees' innovative behavior and the roles of psychological safety and growth need strength (GNS) in this process within the context of positive psychology theory and conservation of resources theory. Three stages of questionnaire surveys were administered to 81 enterprise leaders and their 342 direct subordinates in South China to test our theoretical model. The results showed that leader PsyCap had significant and positive effects on employee innovative behavior, psychological safety had a partially mediating effect, and GNS positively moderated the relationship between psychological safety and innovative behavior. The results revealed the mechanism of PsyCap and external boundary conditions of the influence of leader PsyCap on employee innovative behavior. The study expands the research results of leader PsyCap theory and also provides guidance on how enterprises manage employees' innovative behavior.</t>
  </si>
  <si>
    <t>[Wang, Yanfei; Chen, Yi] South China Univ Technol, Sch Business Adm, Guangzhou, Peoples R China; [Chen, Yi] Guangxi Univ, Xingjian Coll Sci &amp; Liberal Arts, Nanning, Peoples R China; [Zhu, Yu] Jinan Univ, Sch Management, Guangzhou, Peoples R China</t>
  </si>
  <si>
    <t>South China University of Technology; Guangxi University; Jinan University</t>
  </si>
  <si>
    <t>Chen, Y (corresponding author), South China Univ Technol, Sch Business Adm, Guangzhou, Peoples R China.;Chen, Y (corresponding author), Guangxi Univ, Xingjian Coll Sci &amp; Liberal Arts, Nanning, Peoples R China.;Zhu, Y (corresponding author), Jinan Univ, Sch Management, Guangzhou, Peoples R China.</t>
  </si>
  <si>
    <t>410210797@qq.com; zhuyu@jnu.edu.cn</t>
  </si>
  <si>
    <t>Wang, Ying/HJI-2509-2023; Wang, Yanbo/HFZ-8018-2022; wang, yan/GSE-6489-2022; wangwangwang, yuanyaunyuan/HHN-6432-2022; Wang, Yuan/HHC-1520-2022; wang, yi/HOF-6668-2023; Wang, Yin/HCI-9352-2022; wang, yiran/IAP-0414-2023; Wang, Yu/GZL-9655-2022</t>
  </si>
  <si>
    <t>National Natural Science Foundation of China [71772069, 71602075]; General Foundation Program of the Ministry of Education of Humanities and Social Science [15YJC630197, 17YJA630101]</t>
  </si>
  <si>
    <t>National Natural Science Foundation of China(National Natural Science Foundation of China (NSFC)); General Foundation Program of the Ministry of Education of Humanities and Social Science</t>
  </si>
  <si>
    <t>This research was supported by the National Natural Science Foundation of China (Grant Nos.71772069 and 71602075) and the General Foundation Program of the Ministry of Education of Humanities and Social Science (Grant Nos.15YJC630197 and 17YJA630101).</t>
  </si>
  <si>
    <t>JAN 12</t>
  </si>
  <si>
    <t>10.3389/fpsyg.2020.598090</t>
  </si>
  <si>
    <t>PY3JE</t>
  </si>
  <si>
    <t>WOS:000611942800001</t>
  </si>
  <si>
    <t>Zhang, XW; Wang, LX; Chen, F</t>
  </si>
  <si>
    <t>Zhang, Xiuwu; Wang, Lixiang; Chen, Feng</t>
  </si>
  <si>
    <t>R&amp;D subsidies, executive background and innovation of Chinese listed companies</t>
  </si>
  <si>
    <t>ECONOMIC RESEARCH-EKONOMSKA ISTRAZIVANJA</t>
  </si>
  <si>
    <t>executive heterogeneity background characteristics; research and development (R&amp;D) subsidy; Chinese listed enterprise innovation</t>
  </si>
  <si>
    <t>Enterprises are the mainstay of national innovation. The improvement of enterprise productivity and the sustained and rapid development of the economy are inseparable from the research and development (R&amp;D) and innovation of enterprises. Most previous research studies have focused on the economic system and scale of enterprises to study the impact of government-enterprise relations on corporate innovation. This article takes the heterogeneity background characteristics of executives as the starting point, discusses the internal mechanism of R&amp;D subsidies, the background characteristics of corporate executives and the innovative behaviour of Chinese listed companies, and draws two conclusions: (1) The current Chinese government's innovation subsidy allocation process still has some preferences, such as the company's executives have more R&amp;D subsidies for listed companies with a background in government, technical background and high academic background; and (2) Although the three types of background characteristics of executives are beneficial to the company's R&amp;D subsidies, the government background of executives has not significantly promoted the innovation of listed companies, while the background of technology R&amp;D and high academic background of executives have significantly promoted corporate innovation.</t>
  </si>
  <si>
    <t>[Zhang, Xiuwu; Wang, Lixiang; Chen, Feng] Huaqiao Univ, Sch Stat, Xiamen, Peoples R China</t>
  </si>
  <si>
    <t>Huaqiao University</t>
  </si>
  <si>
    <t>Chen, F (corresponding author), Huaqiao Univ, Sch Stat, Xiamen, Peoples R China.</t>
  </si>
  <si>
    <t>18013021001@stu.hqu.edu.cn</t>
  </si>
  <si>
    <t>1331-677X</t>
  </si>
  <si>
    <t>1848-9664</t>
  </si>
  <si>
    <t>ECON RES-EKON ISTRAZ</t>
  </si>
  <si>
    <t>Ekon. Istraz.</t>
  </si>
  <si>
    <t>10.1080/1331677X.2020.1792324</t>
  </si>
  <si>
    <t>RY7ZK</t>
  </si>
  <si>
    <t>WOS:000566586400001</t>
  </si>
  <si>
    <t>Chen, LY; Li, MD; Wu, YJ; Chen, CS</t>
  </si>
  <si>
    <t>Chen, Liangyong; Li, Modan; Wu, Yenchun Jim; Chen, Chusheng</t>
  </si>
  <si>
    <t>The voicer's reactions to voice: an examination of employee voice on perceived organizational status and subsequent innovative behavior in the workplace</t>
  </si>
  <si>
    <t>Employee voice; Perceived organizational status; Innovative behavior; Performance-goal orientation</t>
  </si>
  <si>
    <t>GOAL ORIENTATION; CROSS-LEVEL; INDIVIDUAL INNOVATION; SELF-PERCEPTIONS; MEDIATING ROLE; CREATIVITY; WORK; PERFORMANCE; RESOURCES; MODEL</t>
  </si>
  <si>
    <t>Purpose The purpose of this paper was to explore the voicer's own psychological or behavioral reactions to voice. A framework was proposed to predict how and when employee voice is related to innovative behavior in the workplace based on conservation of resources theory. Design/methodology/approach Data was collected from a three-wave survey including 232 employees and their supervisors. Hierarchical multiple regression and PROCESS, a SPSS macro, were used to test the hypotheses. Findings Employee voice was positively associated with innovative behavior. Perceived organizational status mediated the link between voice and innovative behavior. Meanwhile, performance-goal orientation strengthened the positive voice-perceived organizational status and voice-innovative behavior associations. Originality/value This paper extended the authors' understanding of the outcomes of voice by elucidating that voice could motivate the psychological or behavioral reactions of not only team members but also the voicer himself/herself. In addition, it highlighted the value of performance-goal orientation in strengthening the potentially positive relationship between voice and perceived organizational status. In doing so, the authors identified the unexplored individual-level psychological and behavioral reactions of the voicer himself/herself after speaking up. The present study also provided practical implications by shedding light on measures to promote innovative behavior in the workplace.</t>
  </si>
  <si>
    <t>[Chen, Liangyong; Chen, Chusheng] Huaqiao Univ, Coll Business Adm, Quanzhou, Peoples R China; [Li, Modan] North China Elect Power Univ, Sch Econ &amp; Management, Baoding, Peoples R China; [Wu, Yenchun Jim] Natl Taiwan Normal Univ, Grad Inst Global Business &amp; Strategy, Taipei, Taiwan; [Wu, Yenchun Jim] Natl Sun Yat Sen Univ, Kaohsiung, Taiwan</t>
  </si>
  <si>
    <t>Huaqiao University; North China Electric Power University; National Taiwan Normal University; National Sun Yat Sen University</t>
  </si>
  <si>
    <t>Wu, YJ (corresponding author), Natl Taiwan Normal Univ, Grad Inst Global Business &amp; Strategy, Taipei, Taiwan.;Wu, YJ (corresponding author), Natl Sun Yat Sen Univ, Kaohsiung, Taiwan.</t>
  </si>
  <si>
    <t>wuyenchun@gmail.com</t>
  </si>
  <si>
    <t>吳, 書平/GXG-9770-2022</t>
  </si>
  <si>
    <t>National Natural Science Foundation of China [71701072]; Humanities and Social Science Fundation of the Ministry of Education [17YJCZH021]; Natural Science Foundation of Fujian Province [2018J01111]; Huaqiao University high-level Talents Research Launch Program [18SKBS303]</t>
  </si>
  <si>
    <t>National Natural Science Foundation of China(National Natural Science Foundation of China (NSFC)); Humanities and Social Science Fundation of the Ministry of Education; Natural Science Foundation of Fujian Province(Natural Science Foundation of Fujian Province); Huaqiao University high-level Talents Research Launch Program</t>
  </si>
  <si>
    <t>This research was funded by the National Natural Science Foundation of China [71701072], Humanities and Social Science Fundation of the Ministry of Education [17YJCZH021], Natural Science Foundation of Fujian Province [2018J01111], and Huaqiao University high-level Talents Research Launch Program of the third period of 2018[18SKBS303].</t>
  </si>
  <si>
    <t>JUN 22</t>
  </si>
  <si>
    <t>10.1108/PR-07-2019-0399</t>
  </si>
  <si>
    <t>SW8RZ</t>
  </si>
  <si>
    <t>WOS:000563584100001</t>
  </si>
  <si>
    <t>Hunsaker, WD</t>
  </si>
  <si>
    <t>Hunsaker, William D.</t>
  </si>
  <si>
    <t>Spiritual leadership and employee innovation</t>
  </si>
  <si>
    <t>CURRENT PSYCHOLOGY</t>
  </si>
  <si>
    <t>employee well-being; innovative work behavior; spiritual leadership; spiritual well-being; workplace spirituality</t>
  </si>
  <si>
    <t>TRANSFORMATIONAL LEADERSHIP; WORKPLACE SPIRITUALITY; ORGANIZATIONAL CULTURE; INDIVIDUAL INNOVATION; MODERATING ROLE; WORK; BEHAVIOR; CREATIVITY; DETERMINANTS; PERFORMANCE</t>
  </si>
  <si>
    <t>This study examines the effects of spiritual leadership on employees' innovative work behavior (IWB) and how employees' spiritual well-being intervenes this relationship. The research was based on a self-reported survey of 264 workers in China and was analyzed through multiple regression in structural equation modeling to test the hypothesized relationships. The results of the study concluded that employees' IWB is positively influenced by the effects of spiritual leadership. Furthermore, the effects of spiritual well-being intervened in explaining how spiritual leadership influences employee innovation. This study suggests that the innovative behavior of employees can be enhanced through initiating spiritual leadership practices that enable a spiritual workplace, which, in turn, can help organizations to more effectively cope with competitive market pressures to continuously innovate. Moreover, the study expands our current understanding of the role employee well-being can play in enriching individual creativity and innovation.</t>
  </si>
  <si>
    <t>[Hunsaker, William D.] Kyungpook Natl Univ, Sch Business Adm, 80 Daehak Ro, Daegu 41566, South Korea</t>
  </si>
  <si>
    <t>Kyungpook National University</t>
  </si>
  <si>
    <t>Hunsaker, WD (corresponding author), Kyungpook Natl Univ, Sch Business Adm, 80 Daehak Ro, Daegu 41566, South Korea.</t>
  </si>
  <si>
    <t>hunsaker@knu.ac.kr</t>
  </si>
  <si>
    <t>Hunsaker, William D/E-9696-2017</t>
  </si>
  <si>
    <t>Hunsaker, William D/0000-0002-6744-1770</t>
  </si>
  <si>
    <t>Kyunpook National University Research Fund</t>
  </si>
  <si>
    <t>This Research was supported by Kyunpook National University Research Fund, 2019.</t>
  </si>
  <si>
    <t>1046-1310</t>
  </si>
  <si>
    <t>1936-4733</t>
  </si>
  <si>
    <t>CURR PSYCHOL</t>
  </si>
  <si>
    <t>Curr. Psychol.</t>
  </si>
  <si>
    <t>10.1007/s12144-020-01011-9</t>
  </si>
  <si>
    <t>3P7DW</t>
  </si>
  <si>
    <t>WOS:000561694800001</t>
  </si>
  <si>
    <t>Wan, JY; Le, Y; Wang, G; Xia, NN; Liu, XX</t>
  </si>
  <si>
    <t>Wan, Jingyuan; Le, Yun; Wang, Ge; Xia, Nini; Liu, Xiaoxue</t>
  </si>
  <si>
    <t>Carrot or stick? The impact of paternalistic leadership on the behavioral integration of top management teams in megaprojects</t>
  </si>
  <si>
    <t>Megaprojects; Top management team; Paternalistic leadership; Trust in leader; Power distance value</t>
  </si>
  <si>
    <t>TRANSFORMATIONAL LEADERSHIP; POWER DISTANCE; UPPER ECHELONS; CORPORATE ENTREPRENEURSHIP; TEMPORARY ORGANIZATIONS; HORIZONTAL LEADERSHIP; SYSTEMS INTEGRATION; INNOVATIVE BEHAVIOR; ETHICAL LEADERSHIP; MODERATING ROLE</t>
  </si>
  <si>
    <t>Purpose Following the call to explore what leadership theory could be applicable in temporary organizations, the purpose of this study was to develop an integrative model linking the effects of paternalistic leadership styles (i.e. authoritarian, benevolent and moral) on the behavioral integration (BI) of top management teams (TMTs) in megaproject settings. Design/methodology/approach The performance of the research model was tested based on empirical data collected from a sample of 43 megaproject TMTs. Findings The results show that the moral leadership style can significantly stimulate the BI of TMTs, whereas authoritarian leadership has a negative impact and benevolent leadership has no significant impact. Furthermore, trust in leader plays a partial mediating role between paternalistic leadership and BI, and the power distance value of TMT positively moderates the links between authoritarian and moral leadership styles and BI. Research limitations/implications The TMT sample was drawn from China's megaprojects, most of which have global influence (e.g. Hong Kong-Zhuhai-Macao Bridge and Shanghai Expo), but the sampling approach limits the generalizability of the research findings to other contexts. Originality/value This study introduces the concept of BI into the realm of megaproject management and provides a novel perspective (i.e. paternalistic leadership) for exploring its antecedents. The findings, therefore, contribute to the literature by broadening the megaproject management research with a microfoundation perspective and by extending the extant paternalistic leadership in the context of temporary organizational settings.</t>
  </si>
  <si>
    <t>[Wan, Jingyuan; Le, Yun] Tongji Univ, Sch Econ &amp; Management, Dept Construct Management &amp; Real Estate, Zhabei, Peoples R China; [Wang, Ge] Huazhong Agr Univ, Coll Publ Adm, Wuhan, Peoples R China; [Xia, Nini] Southeast Univ, Sch Civil Engn, Dept Construct &amp; Real Estate, Nanjing, Peoples R China; [Liu, Xiaoxue] Tongji Univ, Sch Econ &amp; Management, Dept Construct Management &amp; Real Estate, Zhabei, Peoples R China</t>
  </si>
  <si>
    <t>Tongji University; Huazhong Agricultural University; Southeast University - China; Tongji University</t>
  </si>
  <si>
    <t>Wang, G (corresponding author), Huazhong Agr Univ, Coll Publ Adm, Wuhan, Peoples R China.</t>
  </si>
  <si>
    <t>1710026@tongji.edu.cn; leyun@kzcpm.com; ge_wang@yeah.net; 101012453@seu.edu.cn; snowmoon23@163.com</t>
  </si>
  <si>
    <t>Wang, Ge/AAY-5473-2021</t>
  </si>
  <si>
    <t>Wang, Ge/0000-0001-5417-6819; Jingyuan, Wan/0000-0002-9992-2229</t>
  </si>
  <si>
    <t>National Natural Science Foundation of China [71871164, 71901101, 71571137, 71971161]; Fundamental Research Funds for the Central Universities, China [2662018QD006]</t>
  </si>
  <si>
    <t>National Natural Science Foundation of China(National Natural Science Foundation of China (NSFC)); Fundamental Research Funds for the Central Universities, China(Fundamental Research Funds for the Central Universities)</t>
  </si>
  <si>
    <t>This research is funded by the National Natural Science Foundation of China (Project Numbers: 71871164, 71901101, 71571137, and 71971161), and the Fundamental Research Funds for the Central Universities, China (Program Number: 2662018QD006).</t>
  </si>
  <si>
    <t>AUG 3</t>
  </si>
  <si>
    <t>10.1108/IJMPB-12-2019-0302</t>
  </si>
  <si>
    <t>MAY 2020</t>
  </si>
  <si>
    <t>ME4IZ</t>
  </si>
  <si>
    <t>WOS:000530868900001</t>
  </si>
  <si>
    <t>Hoang, G; Wilson-Evered, E; Lockstone-Binney, L</t>
  </si>
  <si>
    <t>Hoang, Giang; Wilson-Evered, Elisabeth; Lockstone-Binney, Leonie</t>
  </si>
  <si>
    <t>Leaders influencing innovation A qualitative study exploring the role of leadership and organizational climate in Vietnamese tourism SMEs</t>
  </si>
  <si>
    <t>Innovation; Leadership; Organizational climate; Tourism SMEs; Vietnam</t>
  </si>
  <si>
    <t>MEMBER EXCHANGE LMX; EMPLOYEE CREATIVITY; TEAM INNOVATION; MEDIATING ROLE; PERFORMANCE; ENTERPRISES; MANAGEMENT; BEHAVIOR; STYLES; FIRMS</t>
  </si>
  <si>
    <t>Purpose Innovation is ever more critical for sustainable business performance in the contemporary, global economic and social context. Small- and medium-sized enterprises (SMEs) are arguably well positioned to innovate through their potential for rapid adjustment. Although leadership and organizational climate have been identified as playing a key role in innovation, little is known about whether such influences play out in SMEs. The aim of this study is to explore how leaders shape the organizational climate of their firms to enhance innovation. Design/methodology/approach The article presents findings from semi-structured interviews conducted with 20 CEOs of SMEs in the Vietnamese tourism sector. Findings The findings indicate that SME leaders in the tourism sector influenced an organizational climate that provided for autonomy and supported innovation through a number of leadership approaches. They also used daily interaction-based practices to drive the innovative behaviors of employees and developed reward systems to encourage innovation in their organizations. Originality/value This study describes how different leader approaches affect innovation through orientating the organizational climate and business processes within their firms toward encouraging staff to initiate and try out new ideas.</t>
  </si>
  <si>
    <t>[Hoang, Giang] Victoria Univ, Melbourne, Vic, Australia; [Wilson-Evered, Elisabeth] Victoria Univ, Business, Melbourne, Vic, Australia; [Lockstone-Binney, Leonie] Griffith Univ, Griffith, NSW, Australia</t>
  </si>
  <si>
    <t>Victoria University; Victoria University; Griffith University</t>
  </si>
  <si>
    <t>giang.hoang1@live.vu.edu.au</t>
  </si>
  <si>
    <t>Hoang, Giang/AAE-2450-2019</t>
  </si>
  <si>
    <t>Hoang, Giang/0000-0003-4830-1569; Lockstone-Binney, Leonie/0000-0002-0664-2069</t>
  </si>
  <si>
    <t>FEB 4</t>
  </si>
  <si>
    <t>10.1108/ER-07-2019-0279</t>
  </si>
  <si>
    <t>QK7YW</t>
  </si>
  <si>
    <t>WOS:000514633000001</t>
  </si>
  <si>
    <t>Fuentelsaz, L; Garrido, E; Gonzalez, M</t>
  </si>
  <si>
    <t>Fuentelsaz, Lucio; Garrido, Elisabet; Gonzalez, Minerva</t>
  </si>
  <si>
    <t>Ownership in cross-border acquisitions and entry timing of the target firm</t>
  </si>
  <si>
    <t>JOURNAL OF WORLD BUSINESS</t>
  </si>
  <si>
    <t>Cross-border acquisitions; Initial ownership; Ownership variation; Leading time; First-mover advantages; Market age; Technological change</t>
  </si>
  <si>
    <t>INTERNATIONAL JOINT VENTURES; EARLY-MOVER ADVANTAGES; MARKET SHARE; INSTITUTIONAL ENVIRONMENTS; EMERGING ECONOMIES; ADVERSE SELECTION; FOREIGN ENTRY; CHOICE; IMPACT; COMMITMENT</t>
  </si>
  <si>
    <t>We examine how the entry timing of targets influences the initial and the post-entry percentage of ownership acquired by multinationals. We argue that targets that have entered earlier into the market launch signals of lower uncertainty in contexts where first-mover advantages exist. As a consequence, multinationals are willing to buy higher levels of ownership in these early entrant targets and to increase their participation in the subsidiary equity in the post-entry stage. Finding support for these relationships, we study how market age and innovative behaviour of the target reduce the importance of leading time as determinant of the ownership decision.</t>
  </si>
  <si>
    <t>[Fuentelsaz, Lucio; Garrido, Elisabet; Gonzalez, Minerva] Univ Zaragoza, Gran Via 2, Zaragoza, Spain</t>
  </si>
  <si>
    <t>University of Zaragoza</t>
  </si>
  <si>
    <t>Gonzalez, M (corresponding author), Univ Zaragoza, Gran Via 2, Zaragoza, Spain.</t>
  </si>
  <si>
    <t>lfuente@unizar.es; egarrido@unizar.es; minervag@unizar.es</t>
  </si>
  <si>
    <t>Fuentelsaz, Lucio/B-8776-2011; Garrido, Elisabet/L-4506-2014; González, Minerva/ABF-8192-2020</t>
  </si>
  <si>
    <t>Fuentelsaz, Lucio/0000-0002-9002-6727; Garrido, Elisabet/0000-0002-5071-0858; González, Minerva/0000-0002-2143-2764</t>
  </si>
  <si>
    <t>Spanish Ministry of Economy and Competitiveness [ECO2017-85451-R]; FEDER [ECO2017-85451-R]; Regional Government of Aragon [S54_17R]; European Social Fund [S54_17R]; Ibercaja Foundation [JIUZ-2017-SOC-08]; Universidad de Zaragoza [JIUZ-2017-SOC-08]</t>
  </si>
  <si>
    <t>Spanish Ministry of Economy and Competitiveness(Spanish Government); FEDER(European Commission); Regional Government of Aragon(Gobierno de Aragon); European Social Fund(European Social Fund (ESF)); Ibercaja Foundation; Universidad de Zaragoza</t>
  </si>
  <si>
    <t>We acknowledge the comments and suggestions of Claudio Giachetti, Juan Maicas and Maria Jesus Nieto on an earlier version of this document. We also acknowledge financial support from the Spanish Ministry of Economy and Competitiveness and FEDER (project ECO2017-85451-R), the Regional Government of Aragon and European Social Fund (project S54_17R) and Ibercaja Foundation and Universidad de Zaragoza (project JIUZ-2017-SOC-08).</t>
  </si>
  <si>
    <t>1090-9516</t>
  </si>
  <si>
    <t>1878-5573</t>
  </si>
  <si>
    <t>J WORLD BUS</t>
  </si>
  <si>
    <t>J. World Bus.</t>
  </si>
  <si>
    <t>10.1016/j.jwb.2019.101046</t>
  </si>
  <si>
    <t>LG6GS</t>
  </si>
  <si>
    <t>WOS:000528197700011</t>
  </si>
  <si>
    <t>Marshall, DR; Davis, WD; Dibrell, C; Ammeter, AP</t>
  </si>
  <si>
    <t>Marshall, David R.; Davis, Walter D.; Dibrell, Clay; Ammeter, Anthony P.</t>
  </si>
  <si>
    <t>Learning off the Job: Examining Part-time Entrepreneurs as Innovative Employees</t>
  </si>
  <si>
    <t>employee innovation; part-time entrepreneurship; learning</t>
  </si>
  <si>
    <t>GOAL ORIENTATION; PROACTIVE PERSONALITY; ORGANIZATIONAL AMBIDEXTERITY; SELF-EFFICACY; PERFORMANCE; WORK; MOTIVATION; CREATIVITY; EXPLOITATION; ANTECEDENTS</t>
  </si>
  <si>
    <t>In this paper, we explain and examine how engaging in part-time entrepreneurship (creating and managing side businesses while remaining employed for wages in existing organizations) uniquely positions individuals to exhibit innovative behavior in employee roles. To study this phenomenon, we integrate the literatures on entrepreneurial learning, knowledge and learning transfer, and employee innovation. We hypothesize that part-time entrepreneurship provides an opportunity for individuals to acquire knowledge and skills conducive to enacting innovative behaviors as employees. Multilevel regression analysis of a sample of 1,221 employee responses across 137 organizational units provides evidence to support our positive transferal hypothesis. Further, we find that individual differences in goal orientations and work-unit climates for innovation strengthen these relationships.</t>
  </si>
  <si>
    <t>[Marshall, David R.] Univ Dayton, 300 Coll Pk Dr, Dayton, OH 45469 USA; [Davis, Walter D.; Dibrell, Clay; Ammeter, Anthony P.] Univ Mississippi, University, MS 38677 USA</t>
  </si>
  <si>
    <t>University of Dayton; University of Mississippi</t>
  </si>
  <si>
    <t>Marshall, DR (corresponding author), Univ Dayton, 300 Coll Pk Dr, Dayton, OH 45469 USA.</t>
  </si>
  <si>
    <t>dmarshall1@udayton.edu</t>
  </si>
  <si>
    <t>Ammeter, Tony/AAD-3106-2022; Dibrell, Clay/E-8115-2017</t>
  </si>
  <si>
    <t>Dibrell, Clay/0000-0003-4407-7168</t>
  </si>
  <si>
    <t>10.1177/0149206318779127</t>
  </si>
  <si>
    <t>JE5UA</t>
  </si>
  <si>
    <t>WOS:000490756200002</t>
  </si>
  <si>
    <t>Jiang, J; Gu, HM; Dong, YA; Tu, XY</t>
  </si>
  <si>
    <t>Jiang, Jing; Gu, Huimin; Dong, Yanan; Tu, Xingyong</t>
  </si>
  <si>
    <t>The better I feel, the better I can do: The role of leaders' positive affective presence</t>
  </si>
  <si>
    <t>Leader affective presence; Service performance; Service climate; Energy</t>
  </si>
  <si>
    <t>EMOTIONAL LABOR; SERVICE CLIMATE; FIT INDEXES; PSYCHOLOGICAL CONTRACT; INTERRATER RELIABILITY; INNOVATIVE BEHAVIOR; CONFIDENCE-LIMITS; PERFORMANCE; WORK; MULTILEVEL</t>
  </si>
  <si>
    <t>This study adopts the affect theory of social exchange to examine the influence of leaders' positive affective presence on employees' service performance via employees' energy at work and the moderating role of service climate. Based on 383 dyads of leaders and their employees in the hospitality industry, the results reveal that leaders' positive affective presence has a positive effect on employees' service performance. Employees' energy at work mediates the relationship between leaders' positive affective presence and employees' service performance. Service climate enhances the relationship of employees' energy at work and service performance, which in turn strengthens the indirect effect of leaders' positive affective presence on employees' service performance via employees' energy at work.</t>
  </si>
  <si>
    <t>[Jiang, Jing; Gu, Huimin] Beijing Int Studies Univ, Sch Hospitality Management, Beijing, Peoples R China; [Dong, Yanan] Tsinghua Univ, Sch Management &amp; Econ, Beijing, Peoples R China; [Tu, Xingyong] Lanzhou Univ, Sch Management, Lanzhou, Peoples R China</t>
  </si>
  <si>
    <t>Beijing International Studies University; Tsinghua University; Lanzhou University</t>
  </si>
  <si>
    <t>Dong, YA (corresponding author), Tsinghua Univ, Sch Management &amp; Econ, Beijing, Peoples R China.</t>
  </si>
  <si>
    <t>jiangdance@126.com; bjguhuimin@sina.com; dongyn.15@sem.tsinghua.edu.cn; xingyong109@126.com</t>
  </si>
  <si>
    <t>Research Center for Beijing Tourism Development Fund [LYEZ17B003]; National Natural Science Foundation of China [71802008]; Leading Talents of Beijing's High Level Innovation and Entrepreneurship Support Program [G03040012]</t>
  </si>
  <si>
    <t>Research Center for Beijing Tourism Development Fund; National Natural Science Foundation of China(National Natural Science Foundation of China (NSFC)); Leading Talents of Beijing's High Level Innovation and Entrepreneurship Support Program</t>
  </si>
  <si>
    <t>This work was supported by grant from Research Center for Beijing Tourism Development Fund (LYEZ17B003), the National Natural Science Foundation of China (71802008) and the Leading Talents of Beijing's High Level Innovation and Entrepreneurship Support Program (G03040012).</t>
  </si>
  <si>
    <t>10.1016/j.ijhm.2018.09.007</t>
  </si>
  <si>
    <t>HS2JO</t>
  </si>
  <si>
    <t>WOS:000463687100025</t>
  </si>
  <si>
    <t>Chang, S; Way, SA; Cheng, DHK</t>
  </si>
  <si>
    <t>Chang, Song; Way, Sean A.; Cheng, Derek H. K.</t>
  </si>
  <si>
    <t>The Elicitation of Frontline, Customer-Contact, Hotel Employee Innovative Behavior: Illuminating the Central Roles of Readiness for Change and Absorptive Capacity</t>
  </si>
  <si>
    <t>innovative behavior; readiness for change: absorptive capacity; perceived high-investment human resource practices</t>
  </si>
  <si>
    <t>RESOURCE MANAGEMENT-PRACTICES; PERFORMANCE WORK SYSTEMS; ORGANIZATIONAL-CHANGE; VOLUNTARY TURNOVER; IMPACT; SATISFACTION; PERCEPTIONS; ATTITUDES; LINK; HRM</t>
  </si>
  <si>
    <t>Although service innovations have been recognized to be important for the long-term strategic success of hospitality firms, to date, the elicitation of innovative behavior has received little attention in the extant hospitality research literature. In the current study, we used a matched set of responses from 294 frontline, customer-contact, hotel employees and their direct supervisors to address this lack. Consistent with extant human resource management (HRM) studies that have advocated the agent-centered perspective, this study's results illuminate a causal chain through which employee self-reported (Time 1, Source 1) perceived high-investment human resource practices (HIHRP) augments individual frontline, customer-contact, hotel employee supervisor-rated (Time 2, Source 2) innovative behavior. This study contributes to the extant hospitality and HRM research literatures by elucidating individual hotel employee self-reported perceived HIHRP as a key proximal determinant and individual hotel employee supervisor-rated innovative behavior as a key proximal consequence of two positive organizationally relevant individual-level psychological outcomes: that is, frontline, customer-contact, hotel employee self-reported readiness for change and absorptive capacity. Findings, implications, and limitations as well as avenues for future research are discussed.</t>
  </si>
  <si>
    <t>[Chang, Song; Cheng, Derek H. K.] Hong Kong Baptist Univ, Kowloon, Hong Kong, Peoples R China; [Way, Sean A.] Monash Univ, Caulfield, Vic 3145, Australia</t>
  </si>
  <si>
    <t>Hong Kong Baptist University; Monash University</t>
  </si>
  <si>
    <t>Way, SA (corresponding author), Monash Univ, Caulfield, Vic 3145, Australia.</t>
  </si>
  <si>
    <t>sean.way@monash.edu</t>
  </si>
  <si>
    <t>Chang, Song/0000-0002-0347-870X; Way, Sean/0000-0003-1944-5256</t>
  </si>
  <si>
    <t>Research Grants Council of Hong Kong [HKBU 490313]</t>
  </si>
  <si>
    <t>The author(s) disclosed receipt of the following financial support for the research, authorship, or publication of this article: This research was supported by Research Grants Council of Hong Kong (No. HKBU 490313).</t>
  </si>
  <si>
    <t>10.1177/1938965517734940</t>
  </si>
  <si>
    <t>GM9JA</t>
  </si>
  <si>
    <t>WOS:000438562100004</t>
  </si>
  <si>
    <t>Maroulis, S</t>
  </si>
  <si>
    <t>Maroulis, Spiro</t>
  </si>
  <si>
    <t>The Role of Social Network Structure in Street-Level Innovation</t>
  </si>
  <si>
    <t>AMERICAN REVIEW OF PUBLIC ADMINISTRATION</t>
  </si>
  <si>
    <t>social networks; frontline workers; innovation</t>
  </si>
  <si>
    <t>ORGANIZATIONS; IMPLEMENTATION; COLLABORATION; BUREAUCRATS; CREATIVITY; WORK; MIND</t>
  </si>
  <si>
    <t>In considering how peer relationships can aid street-level bureaucrats in doing their jobs, existing literature has emphasized the importance of peers in providing the social and emotional support required to deal with uncertain and stressful working situations. By applying a social network perspective to examine the innovative behavior of a sample of teachers in a large urban high school, this article highlights the importance of an additional factor: the location of a frontline worker's position in the larger structure of social connections within the organization. In particular, multilevel statistical models reveal a positive association between the extent to which an experienced teacher is located in a network position that bridges across different organizational subgroups and his or her level of innovation, suggesting that experienced frontline workers may benefit from the information diversity that comes from having multiple and diverse social contacts. More generally, the study highlights the value of complementing individual and organizational insights with network-level perspectives for understanding the discretionary behavior of frontline professionals.</t>
  </si>
  <si>
    <t>[Maroulis, Spiro] Arizona State Univ, Sch Publ Affairs, 411 N Cent Ave, Phoenix, AZ 85004 USA</t>
  </si>
  <si>
    <t>Arizona State University; Arizona State University-Downtown Phoenix</t>
  </si>
  <si>
    <t>Maroulis, S (corresponding author), Arizona State Univ, Sch Publ Affairs, 411 N Cent Ave, Phoenix, AZ 85004 USA.</t>
  </si>
  <si>
    <t>spiro.maroulis@asu.edu</t>
  </si>
  <si>
    <t>0275-0740</t>
  </si>
  <si>
    <t>1552-3357</t>
  </si>
  <si>
    <t>AM REV PUBLIC ADM</t>
  </si>
  <si>
    <t>Amer. Rev. Public Adm.</t>
  </si>
  <si>
    <t>10.1177/0275074015611745</t>
  </si>
  <si>
    <t>ES6VE</t>
  </si>
  <si>
    <t>WOS:000399687500002</t>
  </si>
  <si>
    <t>Li, H; Feng, ZY; Liu, CL; Cheng, DJ</t>
  </si>
  <si>
    <t>Li, Hu; Feng, Zhiyu; Liu, Chunlin; Cheng, Dejun</t>
  </si>
  <si>
    <t>THE IMPACT OF RELATIVE LEADER-MEMBER EXCHANGE ON EMPLOYEES' WORK BEHAVIORS AS MEDIATED BY PSYCHOLOGICAL CONTRACT FULFILLMENT</t>
  </si>
  <si>
    <t>relative leader-member exchange; psychological contract fulfillment; task performance; organizational citizenship behaviors; innovative behavior</t>
  </si>
  <si>
    <t>OBLIGATIONS</t>
  </si>
  <si>
    <t>Relative leader-member exchange (RLMX) is a reflection of the social comparison process, and employees go through a process of social exchange when they display specific behaviors and attitudes in their workplace role, with psychological contract (PC) fulfillment playing a mediating role between these 2 social processes. We conducted a survey to analyze paired leader-staff samples in 39 bank branches in order to examine the influence of RLMX on employees' work behaviors and the mechanism that operates between these 2 factors. The results showed that RLMX affected employee task performance and innovative behavior, and that PC fulfillment played a full mediating role in this relationship.</t>
  </si>
  <si>
    <t>[Li, Hu; Feng, Zhiyu; Liu, Chunlin; Cheng, Dejun] Nanjing Univ, Sch Business, Nanjing 210093, Jiangsu, Peoples R China</t>
  </si>
  <si>
    <t>Nanjing University</t>
  </si>
  <si>
    <t>Cheng, DJ (corresponding author), Nanjing Univ, Sch Business, Nanjing 210093, Jiangsu, Peoples R China.</t>
  </si>
  <si>
    <t>djcheng@nju.edu.cn</t>
  </si>
  <si>
    <t>10.2224/sbp.2014.42.1.79</t>
  </si>
  <si>
    <t>AB1BT</t>
  </si>
  <si>
    <t>WOS:000331527000010</t>
  </si>
  <si>
    <t>Ortega-Egea, MT; Moreno, AR; Dominguez, MCH</t>
  </si>
  <si>
    <t>Teresa Ortega-Egea, M.; Ruiz Moreno, Antonia; Haro Dominguez, M. Carmen</t>
  </si>
  <si>
    <t>Determinants of innovative behavior of employees: evidence from Spanish firms</t>
  </si>
  <si>
    <t>Knowledge management; Employee attitudes; Temporary workers; Employee relations</t>
  </si>
  <si>
    <t>KNOWLEDGE FLOWS; EMPLOYMENT EXTERNALIZATION; DYNAMIC THEORY; COMMUNICATION; WORK; PERFORMANCE; CONSEQUENCES; FLEXIBILITY; TEMPORARY; CULTURE</t>
  </si>
  <si>
    <t>Purpose - The purpose of this paper is to analyze how the presence of communication and knowledge flows influences the creation of a work context that supports innovation, and how this relationship is moderated by labor externalization. Design/methodology/approach - To study these relationships, the authors use a sample of 249 workers from five organizations. The different hypotheses proposed are contrasted using hierarchical regression analysis. Findings - The results obtained show the authors that, when communication flows exist, workers' orientation to innovation is greater; likewise, knowledge transfer influences workers' innovative attitude positively. However, the results are different when externalization of workers acts as a moderating variable. Practical implications -The firm's management should make decisions and foster the production of information flows between employees, as the results obtained indicate that communication and knowledge transfer encourage employee attitudes and behavior favorable to innovation. Originality/value - The main contribution of this study is to provide new empirical evidence on the influence of communication and knowledge flows on workers' orientation to innovation. The authors also analyze how these relationships are affected by the presence of externalization. The evidence obtained in this study permits to deduce what actions foster or inhibit organizations in creating a work context that supports innovation and thus encourages the generation of innovation.</t>
  </si>
  <si>
    <t>[Teresa Ortega-Egea, M.; Ruiz Moreno, Antonia; Haro Dominguez, M. Carmen] Univ Granada, Dept Org Empresas, Granada, Spain</t>
  </si>
  <si>
    <t>University of Granada</t>
  </si>
  <si>
    <t>Ortega-Egea, MT (corresponding author), Univ Granada, Dept Org Empresas, Granada, Spain.</t>
  </si>
  <si>
    <t>tortega@ugr.es</t>
  </si>
  <si>
    <t>ORTEGA EGEA, M TERESA/K-1303-2017</t>
  </si>
  <si>
    <t>ORTEGA EGEA, M TERESA/0000-0001-8783-8436</t>
  </si>
  <si>
    <t>10.1108/ER-07-2013-0081</t>
  </si>
  <si>
    <t>AR1DQ</t>
  </si>
  <si>
    <t>WOS:000343322800001</t>
  </si>
  <si>
    <t>McMahon, SR; Ford, CM</t>
  </si>
  <si>
    <t>McMahon, Sean R.; Ford, Cameron M.</t>
  </si>
  <si>
    <t>Heuristic Transfer in the Relationship Between Leadership and Employee Creativity</t>
  </si>
  <si>
    <t>heuristic transfer; leadership; employee creativity; creativity</t>
  </si>
  <si>
    <t>REGULATORY FOCUS; TRANSFORMATIONAL LEADERSHIP; TRANSACTIONAL LEADERSHIP; OPPORTUNITY RECOGNITION; INTRINSIC MOTIVATION; INNOVATIVE BEHAVIOR; WORK-ENVIRONMENT; PERFORMANCE; KNOWLEDGE; ATTITUDES</t>
  </si>
  <si>
    <t>Prior research has revealed as many as 12 leadership constructs that influence employee creativity by affecting intrinsic motivation. However, little research has explored how leaders might improve employee creativity by directly enhancing creative ability. In this article, we explore the confluence of three streams of research to establish theory supporting leader heuristic transfer (LHT) as a potential influence on employee creativity. LHT is defined as the conveyance of a leader's experience-based processes for pattern recognition, discovery, and problem solving-rules of thumb employees' may adapt for their own creative application. Using a sample of 289 employee-supervisor-coworker survey triads, results indicate that LHT has a positive relationship with employee creativity, even when controlling for established creativity-enhancing factors. Furthermore, structural equation modeling shows that LHT's influence on creativity exceeds the intrinsic motivation hypothesis central to existing constructs. Where the existing constructs focus on increasing employee intrinsic motivation in the hope that creativity occurs as a by-product, it appears that LHT boosts creativity directly, with intrinsic motivation as a positive by-product of a more capable employee.</t>
  </si>
  <si>
    <t>[McMahon, Sean R.; Ford, Cameron M.] Univ Cent Florida, Dept Management, Orlando, FL 32816 USA</t>
  </si>
  <si>
    <t>McMahon, SR (corresponding author), Univ Cent Florida, Dept Management, Orlando, FL 32816 USA.</t>
  </si>
  <si>
    <t>smcmahon@bus.ucf.edu</t>
  </si>
  <si>
    <t>10.1177/1548051812465894</t>
  </si>
  <si>
    <t>V36YZ</t>
  </si>
  <si>
    <t>WOS:000209244800007</t>
  </si>
  <si>
    <t>Rodriguez, MJ; Guzman, C</t>
  </si>
  <si>
    <t>Jose Rodriguez, M.; Guzman, Carmen</t>
  </si>
  <si>
    <t>Innovation in social economy firms</t>
  </si>
  <si>
    <t>Innovation; Social economy firms; Logistic regression; Human capital; Spain; Social capital</t>
  </si>
  <si>
    <t>ORGANIZATIONAL INNOVATION; PERFORMANCE; PERSPECTIVE; PRODUCT; GROWTH</t>
  </si>
  <si>
    <t>Purpose - This study aims to examine whether the determinant factors of innovations broadly accepted for traditional firms the personal traits of the entrepreneurs, the features of the firms and the environment also influence innovation in social economy companies. Design/methodology/approach - Based on a sample carried out between small cooperatives and worker-owned companies which are the most representative legal forms in the Spanish social economy collective the authors develop an empirical study using a logistic regression model. Findings - The results show that, on the whole, innovation in these kinds of firm seems to be determined by the same set of variables as in the case of traditional firms. In addition to this, the present research reveals that the influence of these variables on entrepreneurial innovations depends on the kind of innovation. Finally, the findings also give evidence about the existence of an inter-dependence among the different types of innovation in social economy firms. Research limitations/implications - The study is limited to small firms within the Spanish industrial and service sectors, but provides future researchers with further replication opportunities. Originality/value - Taking into account the relevant contribution of social economy companies to the Spanish economy, and having noted the scarce number of studies about innovation in the social economy sector, this research offers a significant contribution by specifying the innovative behavior of social economy firms in Spain.</t>
  </si>
  <si>
    <t>[Jose Rodriguez, M.] Univ Seville, Dept Appl Econ 1, Seville, Spain; [Guzman, Carmen] Univ Huelva, Dept Econ, Huelva, Spain</t>
  </si>
  <si>
    <t>University of Sevilla; Universidad de Huelva</t>
  </si>
  <si>
    <t>Rodriguez, MJ (corresponding author), Univ Seville, Dept Appl Econ 1, Seville, Spain.</t>
  </si>
  <si>
    <t>mjrodri@us.es</t>
  </si>
  <si>
    <t>Rodríguez-Gutiérrez, María José/B-8980-2014; Guzmán, Carmen/I-8025-2018</t>
  </si>
  <si>
    <t>Rodríguez-Gutiérrez, María José/0000-0002-2756-8662; Guzmán, Carmen/0000-0002-5290-8841</t>
  </si>
  <si>
    <t>10.1108/MD-08-2012-0538</t>
  </si>
  <si>
    <t>160BQ</t>
  </si>
  <si>
    <t>WOS:000320091600005</t>
  </si>
  <si>
    <t>Tien, CL; Chen, CN</t>
  </si>
  <si>
    <t>Tien, Chengli; Chen, Chien-Nan</t>
  </si>
  <si>
    <t>Myth or reality? Assessing the moderating role of CEO compensation on the momentum of innovation in R&amp;D</t>
  </si>
  <si>
    <t>agency theory; CEO compensation; evolutionary theory; innovation; institutional theory; momentum</t>
  </si>
  <si>
    <t>HIGH-TECHNOLOGY FIRMS; INFORMATION-TECHNOLOGY; EXECUTIVE-COMPENSATION; PERFORMANCE; MANAGEMENT; PAY; PROFITABILITY; DETERMINANTS; PERSISTENCE; RESOURCE</t>
  </si>
  <si>
    <t>This study researches the influences of CEO compensation on firm behavior to examine the interactive relationship between the behavioral momentum of innovation in R&amp;D and CEO compensation. The models presented in this study are based on evolutionary, institutional, and agency theories to test hypotheses using data from 107 companies in the high-technology sectors in the United States. The results indicate that the pre-succession innovative behavior of these high-technology firms on R&amp;D can positively affect these firms' post-succession innovative behavior towards R&amp;D. That is, positive momentum in R&amp;D innovation prevails in a firm across a change of the CEO. However, for the role of CEO compensation, short-and long-term compensation does not positively moderate this behavioral momentum in R&amp;D. Hence, the moderating impact of short-and long-term CEO compensation to enhance the momentum of innovation in R&amp;D can be romanticized. These findings provide boards of directors with evidence as to how a CEO succession matters to a firm's behavioral momentum in R&amp;D, and whether CEO compensation can be strategized to change a firm's innovation and momentous behavior.</t>
  </si>
  <si>
    <t>[Chen, Chien-Nan] Natl Dong Hwa Univ, Dept Business Adm, Hualien, Taiwan; [Tien, Chengli] Natl Taiwan Normal Univ, Dept E Asian Studies, New Taipei City, Taiwan</t>
  </si>
  <si>
    <t>National Dong Hwa University</t>
  </si>
  <si>
    <t>Chen, CN (corresponding author), Natl Dong Hwa Univ, Dept Business Adm, Hualien, Taiwan.</t>
  </si>
  <si>
    <t>cn_chen@mail.ndhu.edu.tw</t>
  </si>
  <si>
    <t>10.1080/09585192.2011.637059</t>
  </si>
  <si>
    <t>936AI</t>
  </si>
  <si>
    <t>WOS:000303562900008</t>
  </si>
  <si>
    <t>Stotts, AL; Masuda, A; Wilson, K</t>
  </si>
  <si>
    <t>Stotts, Angela L.; Masuda, Akihiko; Wilson, Kelly</t>
  </si>
  <si>
    <t>Using Acceptance and Commitment Therapy During Methadone Dose Reduction: Rationale, Treatment Description, and a Case Report</t>
  </si>
  <si>
    <t>COGNITIVE AND BEHAVIORAL PRACTICE</t>
  </si>
  <si>
    <t>OPIATE WITHDRAWAL; MAINTENANCE TREATMENT; SUBSTANCE ABUSE; FOLLOW-UP; DETOXIFICATION; ADDICTS; ABSTINENCE; OUTCOMES; HEROIN; FEAR</t>
  </si>
  <si>
    <t>Many clients who undergo methadone maintenance (MM) treatment for heroin and other opiate dependence prefer abstinence from methadone. Attempts at methadone detoxification are often unsuccessful, however, due to distressing physical as well as psychological symptoms. Outcomes from an MM client who voluntarily participated in an Acceptance and Commitment Therapy (ACT)-based methadone detoxification program am presented. The program consisted of a 1-month stabilization and 5-month gradual methadone dose reduction period, combined with weekly individual ACT sessions. Urine samples were collected twice weekly to assess for use of illicit drugs. The participant successfully completed the program and had favorable drug use outcomes during the course of treatment, and at the 1-month and 1-year follow-ups. Innovative behavior therapies, such as ACT, that focus on acceptance of the inevitable distress associated with opiate withdrawal may improve methadone detoxification outcomes.</t>
  </si>
  <si>
    <t>[Masuda, Akihiko] Georgia State Univ, Dept Psychol, Atlanta, GA 30303 USA; [Stotts, Angela L.] Univ Texas Houston, Sch Med, Houston, TX USA; [Wilson, Kelly] Univ Mississippi, University, MS 38677 USA</t>
  </si>
  <si>
    <t>University System of Georgia; Georgia State University; University of Texas System; University of Texas Health Science Center Houston; University of Mississippi</t>
  </si>
  <si>
    <t>Masuda, A (corresponding author), Georgia State Univ, Dept Psychol, Atlanta, GA 30303 USA.</t>
  </si>
  <si>
    <t>psyaxm@langate.gsu.edu</t>
  </si>
  <si>
    <t>NIDA NIH HHS [R01 DA019436, R01 DA019436-02, R01 DA019436-03, R01 DA019436-01] Funding Source: Medline</t>
  </si>
  <si>
    <t>NIDA NIH HHS(United States Department of Health &amp; Human ServicesNational Institutes of Health (NIH) - USANIH National Institute on Drug Abuse (NIDA))</t>
  </si>
  <si>
    <t>1077-7229</t>
  </si>
  <si>
    <t>1878-187X</t>
  </si>
  <si>
    <t>COGN BEHAV PRACT</t>
  </si>
  <si>
    <t>Cogn. Behav. Pract.</t>
  </si>
  <si>
    <t>10.1016/j.cbpra.2008.08.003</t>
  </si>
  <si>
    <t>Psychology, Clinical</t>
  </si>
  <si>
    <t>446UO</t>
  </si>
  <si>
    <t>WOS:000266147000010</t>
  </si>
  <si>
    <t>Yang, SC; Tu, CY; Yang, SC</t>
  </si>
  <si>
    <t>Yang, Szu-Chi; Tu, Chiayu; Yang, Suechin</t>
  </si>
  <si>
    <t>Exploring the solution - the contextual effect on consumer dissatisfaction and innovativeness in financial service companies</t>
  </si>
  <si>
    <t>consumer dissatisfaction; consumer innovativeness; exit-voice-loyalty theory; HLM</t>
  </si>
  <si>
    <t>BEHAVIOR; RESPONSES; CONSTRUCT; VALIDITY; LOYALTY; VOICE; MODES; BIAS</t>
  </si>
  <si>
    <t>This study focuses on the context under which consumer dissatisfaction leads to consumer innovativeness as an expression of voice. This study theorises that online facility and investment consultant support leads to consumer dissatisfaction, which consequently results in consumer innovative behaviour. Data was collected from a sampling of 603 consumers and 150 investment consultants across 50 financial service companies. The results from hierarchical linear modelling analyses show that consumer dissatisfaction relates positively to consumer innovativeness when online facility and investment consultant support are present. This study suggests that given the fact that in most companies, some consumers are bound to be dissatisfied with products or services at one time or another, managers should treat such dissatisfaction as an opportunity for encouraging the generation of new and useful ideas rather than viewing it as a problem or nuisance.</t>
  </si>
  <si>
    <t>[Yang, Szu-Chi] Natl Sun Yat Sen Univ, Dept Business Adm, Kaohsiung 80424, Taiwan; [Tu, Chiayu] Ming Chuan Univ, Dept Business Adm, Taipei, Taiwan; [Yang, Suechin] Tamkang Univ, Coll Business, Dept Banking &amp; Finance, Tamsui, Taiwan</t>
  </si>
  <si>
    <t>National Sun Yat Sen University; Ming Chuan University; Tamkang University</t>
  </si>
  <si>
    <t>Yang, SC (corresponding author), Natl Sun Yat Sen Univ, Dept Business Adm, Kaohsiung 80424, Taiwan.</t>
  </si>
  <si>
    <t>m8833001@pchome.com.tw</t>
  </si>
  <si>
    <t>10.1080/02642060802295679</t>
  </si>
  <si>
    <t>455PH</t>
  </si>
  <si>
    <t>WOS:000266774800010</t>
  </si>
  <si>
    <t>Tvaronaviciene, M; Degutis, M</t>
  </si>
  <si>
    <t>Tvaronaviciene, Manuela; Degutis, Mantas</t>
  </si>
  <si>
    <t>If approach to innovations differs in locally and foreign owned firms: Case of Lithuania</t>
  </si>
  <si>
    <t>JOURNAL OF BUSINESS ECONOMICS AND MANAGEMENT</t>
  </si>
  <si>
    <t>innovations; FDI; organizational behavior; Lithuanian business firms</t>
  </si>
  <si>
    <t>Presented paper aims to reveal differences, if any, in innovative behavior of business firms containing foreign and not foreign capital. Innovative behavior in that case is being characterized by scale of investment into research and development, self-financing pattern and business strategy undertaken by various firms. Juxtaposition of business firms operating in the same economy field but having different ownership origin - local and containing foreign capital - has been performed. Results let us identify differences in approach to innovative activity stipulated by presence of foreign capital. Tendencies obtained in Lithuania plausibly might have been verified in other less advanced European countries in order to check if a consistent pattern could be admitted.</t>
  </si>
  <si>
    <t>[Tvaronaviciene, Manuela; Degutis, Mantas] Vilnius Gediminas Tech Univ, LT-10223 Vilnius, Lithuania</t>
  </si>
  <si>
    <t>Vilnius Gediminas Technical University</t>
  </si>
  <si>
    <t>Tvaronaviciene, M (corresponding author), Vilnius Gediminas Tech Univ, Sauletkio 11, LT-10223 Vilnius, Lithuania.</t>
  </si>
  <si>
    <t>manuela@post.omnitel.net; niantasdegutis@yahoo.ca</t>
  </si>
  <si>
    <t>Tvaronaviciene, Manuela/GVT-4155-2022; /I-3713-2019; Tvaronaviciene, Manuela/M-2103-2016</t>
  </si>
  <si>
    <t>Tvaronaviciene, Manuela/0000-0002-9667-3730; /0000-0002-9667-3730; Tvaronaviciene, Manuela/0000-0002-9667-3730</t>
  </si>
  <si>
    <t>VILNIUS GEDIMINAS TECH UNIV</t>
  </si>
  <si>
    <t>VILNIUS</t>
  </si>
  <si>
    <t>SAULETEKIO AL 11, VILNIUS, LT-10223, LITHUANIA</t>
  </si>
  <si>
    <t>1611-1699</t>
  </si>
  <si>
    <t>J BUS ECON MANAG</t>
  </si>
  <si>
    <t>J. Bus. Econ. Manag.</t>
  </si>
  <si>
    <t>10.3846/16111699.2007.9636169</t>
  </si>
  <si>
    <t>324SA</t>
  </si>
  <si>
    <t>WOS:000257537200005</t>
  </si>
  <si>
    <t>Oplatka, Z</t>
  </si>
  <si>
    <t>Self-renewal and inter-organizational transition among women principals</t>
  </si>
  <si>
    <t>JOURNAL OF CAREER DEVELOPMENT</t>
  </si>
  <si>
    <t>self-renewal; inter-organizational career transition; mid-career change; mid-career</t>
  </si>
  <si>
    <t>MID-LIFE; CAREER; CHANGERS</t>
  </si>
  <si>
    <t>The study outlines several elements of the self-renewal process among women principals who made inter-organizational transition in mid-career. Based on findings from an exploratory study, conducted among Israeli women school principals in mid-career, the study presents the process of self-renewal that was experienced by these managers in their mid-career. This process included coping with a lack of self-fulfillment, setting new goals, refraining of their managerial perspectives, energy replenishing, reinforcing of their innovative behavior and looking for new sources of challenge. An emphasis is given to the contextual and biographic determinants promoting and enabling the existence of the process of renewal among mid-career changers.</t>
  </si>
  <si>
    <t>Ben Gurion Univ Negev, Dept Educ, IL-84105 Beer Sheva, Israel</t>
  </si>
  <si>
    <t>Ben Gurion University</t>
  </si>
  <si>
    <t>Oplatka, Z (corresponding author), Ben Gurion Univ Negev, Dept Educ, POB 653, IL-84105 Beer Sheva, Israel.</t>
  </si>
  <si>
    <t>KLUWER ACADEMIC-HUMAN SCIENCES PRESS</t>
  </si>
  <si>
    <t>233 SPRING ST, NEW YORK, NY 10013-1578 USA</t>
  </si>
  <si>
    <t>0894-8453</t>
  </si>
  <si>
    <t>J CAREER DEV</t>
  </si>
  <si>
    <t>J. Career Dev.</t>
  </si>
  <si>
    <t>FAL</t>
  </si>
  <si>
    <t>481QK</t>
  </si>
  <si>
    <t>WOS:000171530800005</t>
  </si>
  <si>
    <t>Zhang, Y; Xi, W; Xu, FZ</t>
  </si>
  <si>
    <t>Zhang, Yun; Xi, Wei; Xu, Feng Zeng</t>
  </si>
  <si>
    <t>Determinants of employee innovation: an open innovation perspective</t>
  </si>
  <si>
    <t>Open innovation; external search; organizational support; knowledge sharing; employee innovative behavior</t>
  </si>
  <si>
    <t>PERCEIVED ORGANIZATIONAL SUPPORT; ABSORPTIVE-CAPACITY; SERVICE INNOVATION; CUSTOMER ENGAGEMENT; EXTERNAL KNOWLEDGE; EMPIRICAL-ANALYSIS; WORK-ENVIRONMENT; HOTEL INDUSTRY; HOSPITALITY; PERFORMANCE</t>
  </si>
  <si>
    <t>Based on the open innovation theory, this study proposes a conceptual model of external search and organizational support as determinants of employee innovation in the hotel industry. We used structural equation modeling on quantitative survey data of 291 hotel employees to test the research hypotheses. The results indicate that external search and organizational support positively affect employee innovative behavior. While the results fully support the mediating effect of knowledge sharing on the relationship between external search and employee innovative behavior, they only partially support this effect on the relationship between organizational support and employee innovative behavior. The results also reveal that the interaction effect of external search and organizational support positively affects employee innovative behavior and is fully mediated by knowledge sharing. The study explores the antecedents of employee innovation from both outside and inside the organization and extends the open innovation paradigm to individual-level innovation research in hospitality.</t>
  </si>
  <si>
    <t>[Zhang, Yun; Xi, Wei; Xu, Feng Zeng] Shandong Univ, Sch Management, 27 Shanda Nan Rd, Jinan 250100, Shandong, Peoples R China; [Xu, Feng Zeng] Shandong Univ, Ctr Serv Strategy &amp; Serv Management, Jinan, Shandong, Peoples R China</t>
  </si>
  <si>
    <t>Shandong University; Shandong University</t>
  </si>
  <si>
    <t>Xu, FZ (corresponding author), Shandong Univ, Sch Management, 27 Shanda Nan Rd, Jinan 250100, Shandong, Peoples R China.</t>
  </si>
  <si>
    <t>xfz@sdu.edu.cn</t>
  </si>
  <si>
    <t>Xi, Wei/0000-0002-8107-1278; Zhang, Yun/0000-0003-1686-2812</t>
  </si>
  <si>
    <t>Shandong Quality curriculum for postgraduate education of China [SDYKC20003]; Shandong Teaching Cases of Professional Master Degree of China [SDYAL19010]; Shandong Social Science Foundation of China [20CSTJ13]; Shandong Natural Science Foundation of China [ZR2019MG014]; Shandong University Humanities and Social Sciences Team Project of China [20820IFYT15002]</t>
  </si>
  <si>
    <t>Shandong Quality curriculum for postgraduate education of China; Shandong Teaching Cases of Professional Master Degree of China; Shandong Social Science Foundation of China; Shandong Natural Science Foundation of China(Natural Science Foundation of Shandong Province); Shandong University Humanities and Social Sciences Team Project of China</t>
  </si>
  <si>
    <t>This work was supported by the Shandong Quality curriculum for postgraduate education of China in 2020 [SDYKC20003]; Shandong Teaching Cases of Professional Master Degree of China in 2019 [SDYAL19010]; Shandong Social Science Foundation of China [20CSTJ13]; Shandong Natural Science Foundation of China [ZR2019MG014]; Shandong University Humanities and Social Sciences Team Project of China [20820IFYT15002].</t>
  </si>
  <si>
    <t>10.1080/19368623.2021.1934933</t>
  </si>
  <si>
    <t>YK6MI</t>
  </si>
  <si>
    <t>WOS:000671682400001</t>
  </si>
  <si>
    <t>Li, BL; Fan, X; Alvarez-Otero, S; Sial, MS; Comite, U; Cherian, J; Vasa, L</t>
  </si>
  <si>
    <t>Li, Beili; Fan, Xu; Alvarez-Otero, Susana; Sial, Muhammad Safdar; Comite, Ubaldo; Cherian, Jacob; Vasa, Laszlo</t>
  </si>
  <si>
    <t>CSR and Workplace Autonomy as Enablers of Workplace Innovation in SMEs through Employees: Extending the Boundary Conditions of Self-Determination Theory</t>
  </si>
  <si>
    <t>corporate social responsibility; innovative behavior; autonomy; sustainability; SME</t>
  </si>
  <si>
    <t>CORPORATE SOCIAL-RESPONSIBILITY; LEADER-MEMBER EXCHANGE; MEDIATING ROLE; WORK ENGAGEMENT; JOB AUTONOMY; COMPETITIVE ADVANTAGE; TRANSFORMATIONAL LEADERSHIP; ORGANIZATIONAL PERFORMANCE; DYNAMIC CAPABILITIES; FIRM PERFORMANCE</t>
  </si>
  <si>
    <t>The current business environment characterized by high uncertainty, volatility, and stiff situation of competitiveness that is evident in almost every sector has increased the importance of workplace innovation for contemporary businesses. In this regard, a considerable attention in realizing employees of an organization as a source of innovation is not evident from the existing literature. In this aspect, the current study is an attempt to foster workplace innovation through employees in the SME sector of an emerging economy. In doing so, the authors propose that corporate social responsibility (CSR) initiatives of an SME, along with workplace autonomy, are helpful in creating an environment at the workplace that fosters innovative employee behavior (IEB). Furthermore, the current study also extends the boundary condition of the theory of self-determination by arguing that this theory provides a comprehensive framework to explain employees' motivation for workplace innovation. The data of the current survey was obtained from the SME sector situated in two large cities of a developing country through a self-administered questionnaire which was then analyzed through structural-equation-modeling (SEM) using the AMOS software. The results confirmed that CSR directly relates to IEB and workplace autonomy mediates this relationship. The study also discusses the implications of this survey for theory and practice.</t>
  </si>
  <si>
    <t>[Li, Beili; Fan, Xu] South China Univ Technol, Publ Management Inst, Guangzhou 510640, Peoples R China; [Alvarez-Otero, Susana] Univ Oviedo, Fac Econ &amp; Business, Dept Business Adm, Oviedo 33003, Spain; [Sial, Muhammad Safdar] COMSATS Univ Islamabad CUI, Dept Management Sci, Islamabad 44000, Pakistan; [Comite, Ubaldo] Univ Giustino Fortunato, Dept Business Sci, I-82100 Benevento, Italy; [Cherian, Jacob] Abu Dhabi Univ, Coll Business, POB 59911, Abu Dhabi, U Arab Emirates; [Vasa, Laszlo] Szechenyi Istvan Univ, Management Campus, H-9026 Gyor, Hungary</t>
  </si>
  <si>
    <t>South China University of Technology; University of Oviedo; COMSATS University Islamabad (CUI); Universita Telematica Giustino Fortunato; Abu Dhabi University; University of Istvan Szechenyi</t>
  </si>
  <si>
    <t>Fan, X (corresponding author), South China Univ Technol, Publ Management Inst, Guangzhou 510640, Peoples R China.</t>
  </si>
  <si>
    <t>scutlbl@163.com; scutphoebe@163.com; saotero@uniovi.es; safdarsial@comsats.edu.pk; u.comite@unifortunato.eu; jacob.cherian@adu.ac.ae; laszlo.vasa@ifat.hu</t>
  </si>
  <si>
    <t>Vasa, Laszlo/V-4749-2018; ALVAREZ-OTERO, SUSANA/ACJ-5649-2022; Fan, Xu/GSE-2196-2022</t>
  </si>
  <si>
    <t>Vasa, Laszlo/0000-0002-3805-0244; ALVAREZ-OTERO, SUSANA/0000-0001-8603-5690; Cherian, Jacob/0000-0002-8530-6951; Sial, Dr. Muhammad Safdar/0000-0002-5473-8882</t>
  </si>
  <si>
    <t xml:space="preserve"> [PID2019-108503RB-I00]</t>
  </si>
  <si>
    <t>This research has received funding from the National Research Project Reference PID2019-108503RB-I00.</t>
  </si>
  <si>
    <t>10.3390/su13116104</t>
  </si>
  <si>
    <t>SR0GR</t>
  </si>
  <si>
    <t>WOS:000660724500001</t>
  </si>
  <si>
    <t>Herman, KS; Shenk, J</t>
  </si>
  <si>
    <t>Herman, Kyle S.; Shenk, Justin</t>
  </si>
  <si>
    <t>Pattern Discovery for climate and environmental policy indicators</t>
  </si>
  <si>
    <t>Machine learning; Pattern discovery; PCA; Environmental policy indicators; Climate change</t>
  </si>
  <si>
    <t>PORTER HYPOTHESIS; EMPIRICAL-ANALYSIS; GROWTH EVIDENCE; ECO-INDUSTRY; INNOVATION; GREEN; COMPETITIVENESS; INDEXES; TECHNOLOGIES; COOPERATION</t>
  </si>
  <si>
    <t>Quantitative environmental policy indicators are useful for modeling the impact of environmental policy on the economy. They can be important tools for policy-makers, companies, investors, and researchers alike. Wellcrafted environmental policies lead to cleaner environments whilst encouraging innovative behaviour to stimulate green growth and 'win-wins' for the economy and the environment. Such win-win policies are increasingly sought out by policymakers, evidenced in the growing number of green 'new deals' and 'net zero' carbon emissions pledges at a national level. But there is a gap between the needs for environmental policy data and the supply of reliable indicators and indexes. This disconnect has negative consequences for policy feedback as well as the inducement of potential innovators of environmental technologies. While there are now a wide range of indicators and indexes, these largely remain inadequate for various reasons. This is disappointing considering the immense progress that has been made in machine learning and pattern discovery methods-methods that are already fully deployed in other research disciplines. Such automated techniques can limit human biases which currently plague the environmental indicator's scholarship. Against this backdrop, the main objective of this paper is to highlight how researchers can carefully collect these data and augment the effectiveness of environmental policy indicators. This is an important research area that, apart from a handful of studies, is not sufficiently developed.</t>
  </si>
  <si>
    <t>[Herman, Kyle S.] UCL, Global Governance Inst, London, England; [Shenk, Justin] Radboud Univ Nijmegen, Nijmegen, Netherlands; [Shenk, Justin] VisioLab, Berlin, Germany</t>
  </si>
  <si>
    <t>RLUK- Research Libraries UK; University of London; University College London; Radboud University Nijmegen</t>
  </si>
  <si>
    <t>Herman, KS (corresponding author), UCL, Global Governance Inst, London, England.</t>
  </si>
  <si>
    <t>k.herman@ucl.ac.uk</t>
  </si>
  <si>
    <t>Herman, Kyle/0000-0002-0070-2390; Shenk, Justin/0000-0002-0664-7337</t>
  </si>
  <si>
    <t>Horizon 2020 Framework Programme of the European Union [822654]</t>
  </si>
  <si>
    <t>Horizon 2020 Framework Programme of the European Union</t>
  </si>
  <si>
    <t>Kyle S. Herman is currently a research fellow funded by the Horizon 2020 Framework Programme of the European Union. Grant agreement number 822654.</t>
  </si>
  <si>
    <t>10.1016/j.envsci.2021.02.003</t>
  </si>
  <si>
    <t>SF4SE</t>
  </si>
  <si>
    <t>WOS:000652746800010</t>
  </si>
  <si>
    <t>Sung, W; Kim, C</t>
  </si>
  <si>
    <t>Sung, Wookjoon; Kim, Changil</t>
  </si>
  <si>
    <t>A Study on the Effect of Change Management on Organizational Innovation: Focusing on the Mediating Effect of Members' Innovative Behavior</t>
  </si>
  <si>
    <t>change management; transformational leadership; organizational goal; participation and communicate; innovative behavior; organizational innovation; hayes process macro</t>
  </si>
  <si>
    <t>TRANSFORMATIONAL LEADERSHIP; CHARISMATIC LEADERSHIP; INDIVIDUAL CREATIVITY; PROACTIVE BEHAVIOR; COMMUNICATION; PERFORMANCE; CLIMATE; MODEL; DETERMINANTS; ANTECEDENTS</t>
  </si>
  <si>
    <t>This study is an empirical study on the impact of change management on organizational innovation through innovative behavior in the public sector. The independent variables are the four elements of change management (organizational goal, transformational leadership, participation and communication, education and training), the dependent variable is organizational innovation, and the mediating variable is the innovative behavior of members. The data used for the analysis is the Public Service Recognition Survey 2018 by KIPA (the Korea Institute of Public Administration). Hayes' Process Macro analysis (Model 4) was performed to verify the mediating variable. As a result of the analysis, it was found that change management factors have a positive effect on innovative behavior and organizational innovation. In addition, public officials' innovative behavior played a mediating role between change management and organizational innovation. It was confirmed that the innovative behavior of organizational members is essential to achieve organizational innovation. Among the factors of change management, participation and communication had the highest influence on innovative behavior and organizational innovation.</t>
  </si>
  <si>
    <t>[Sung, Wookjoon; Kim, Changil] Seoul Natl Univ Sci &amp; Technol, Grad Sch Publ Policy &amp; Informat Technol, Seoul 139743, South Korea</t>
  </si>
  <si>
    <t>Seoul National University of Science &amp; Technology</t>
  </si>
  <si>
    <t>Kim, C (corresponding author), Seoul Natl Univ Sci &amp; Technol, Grad Sch Publ Policy &amp; Informat Technol, Seoul 139743, South Korea.</t>
  </si>
  <si>
    <t>wjsung@seoultech.ac.kr; kyci@naver.com</t>
  </si>
  <si>
    <t>Kim, Changil/AFF-7357-2022; Kim, Changil/AAO-2766-2021; Kim, Changil/AAA-6013-2022</t>
  </si>
  <si>
    <t>Kim, Changil/0000-0003-2966-3150</t>
  </si>
  <si>
    <t>National Research Foundation of Korea - Korean Government [NRF-2017S1A3A2066084]</t>
  </si>
  <si>
    <t>National Research Foundation of Korea - Korean Government(National Research Foundation of KoreaKorean Government)</t>
  </si>
  <si>
    <t>This work was supported by the National Research Foundation of Korea Grant funded by the Korean Government (NRF-2017S1A3A2066084).</t>
  </si>
  <si>
    <t>10.3390/su13042079</t>
  </si>
  <si>
    <t>QQ8HV</t>
  </si>
  <si>
    <t>WOS:000624761600001</t>
  </si>
  <si>
    <t>Yamak, OU; Eyupoglu, SZ</t>
  </si>
  <si>
    <t>Yamak, Ozlem Uzunsaf; Eyupoglu, Serife Zihni</t>
  </si>
  <si>
    <t>Authentic Leadership and Service Innovative Behavior: Mediating Role of Proactive Personality</t>
  </si>
  <si>
    <t>authentic leadership; service innovative behavior; proactive personality; front-line employees; banking sector; North Cyprus</t>
  </si>
  <si>
    <t>The present study aims to examine the effect of authentic leadership (AL) on service innovative behavior (SIB) of employees as well as to identify whether proactive personality (PP) mediates this connection at an individual level. The quantitative cross-sectional study design was utilized to gather information from a study sample which consisted of 428 front-line employees (FLE) working at banks located in North Cyprus. Specifically, the study uses confirmatory factor analysis (CFA), correlation, structural equation modeling (SEM), and bootstrapping techniques to test the hypothesized relationships. The results reveal that both AL and PP have a significant positive effect on SIB; AL has a positive impact on PP of FLE, and PP plays a partial mediating role between AL and SIB of FLE. By relating the study findings, authenticity and proactivity in the banking sector in North Cyprus play a critical role in fostering the innovative behaviors of FLE. The study also discusses the practical and managerial implications, as well as the future scope.</t>
  </si>
  <si>
    <t>[Yamak, Ozlem Uzunsaf; Eyupoglu, Serife Zihni] Near East Univ, Nicosia, Cyprus</t>
  </si>
  <si>
    <t>Near East University</t>
  </si>
  <si>
    <t>Yamak, OU (corresponding author), Near East Univ, Fac Tourism, Mersin 10, CY-99138 Nicosia, Cyprus.</t>
  </si>
  <si>
    <t>ozlem.yamak@neu.edu.tr</t>
  </si>
  <si>
    <t>, Ozlem/W-3356-2019; Uzunsaf, Ozlem/HNR-6831-2023</t>
  </si>
  <si>
    <t>, Ozlem/0000-0001-7237-7892; Uzunsaf, Ozlem/0000-0001-7237-7892</t>
  </si>
  <si>
    <t>10.1177/2158244021989629</t>
  </si>
  <si>
    <t>QF8VP</t>
  </si>
  <si>
    <t>WOS:000617168200001</t>
  </si>
  <si>
    <t>Xiao, H; Zhang, ZD; Zhang, L</t>
  </si>
  <si>
    <t>Xiao, Huan; Zhang, Zhenduo; Zhang, Li</t>
  </si>
  <si>
    <t>Is temporal leadership always beneficial? The role of job passion and synchrony preference</t>
  </si>
  <si>
    <t>Temporal leadership; Innovative behavior; Harmonious passion; Obsessive passion; Synchrony preference</t>
  </si>
  <si>
    <t>EMPLOYEE CREATIVITY; MODERATING ROLE; TIME PRESSURE; WORK; INNOVATION; PERFORMANCE; MODEL; TEAM; BEHAVIOR; CONTEXT</t>
  </si>
  <si>
    <t>Purpose The purpose of this paper is to explore the relationship between temporal leadership and employees' innovative behavior while considering the competitive mediators of harmonious and obsessive passions in work situations, along with the moderating role of synchrony preference. Design/methodology/approach Insights from the literature and affective events theory (AET) underpin the hypotheses on whether and how temporal leadership would affect employees' innovative behavior. A total of 365 responses were received, and 336 questionnaires were considered for the analysis. This paper examined the whole model through a path analysis using Mplus 7.4. Findings The results indicated the significant effect of temporal leadership on innovative behavior through harmonious passion which is moderated by synchrony preference, such that the positive effects are stronger when employee's synchrony preference is higher. Originality/value This paper contributes to the emerging literature on temporal management by examining the path of temporal leadership -&gt; job passion -&gt; innovative behavior to deepen knowledge of how temporal leadership may impact employees' innovative behavior. This paper also proposed a collaborative model related to temporal leadership and the synchronization of employees, providing a powerful explanation for the boundary conditions of temporal leadership.</t>
  </si>
  <si>
    <t>[Xiao, Huan; Zhang, Zhenduo; Zhang, Li] Harbin Inst Technol, Harbin, Peoples R China</t>
  </si>
  <si>
    <t>Harbin Institute of Technology</t>
  </si>
  <si>
    <t>Zhang, L (corresponding author), Harbin Inst Technol, Harbin, Peoples R China.</t>
  </si>
  <si>
    <t>19B910058@stu.hit.edu.cn; zhangzhenduo12@mails.ucas.ac.cn; zhanglihit@hit.edu.cn</t>
  </si>
  <si>
    <t>National Natural Science Foundation of China [71772052]; Fundamental Research Funds</t>
  </si>
  <si>
    <t>National Natural Science Foundation of China(National Natural Science Foundation of China (NSFC)); Fundamental Research Funds</t>
  </si>
  <si>
    <t>This research was supported by the National Natural Science Foundation of China (grant no. 71772052) and the Fundamental Research Funds awarded to the third author.</t>
  </si>
  <si>
    <t>MAR 11</t>
  </si>
  <si>
    <t>10.1108/PR-02-2020-0078</t>
  </si>
  <si>
    <t>ZS1XZ</t>
  </si>
  <si>
    <t>WOS:000599915400001</t>
  </si>
  <si>
    <t>Zhang, JJ; Su, WL</t>
  </si>
  <si>
    <t>Zhang, Jingjing; Su, Weilin</t>
  </si>
  <si>
    <t>Linking Leader Humor to Employee Innovative Behavior: The Roles of Work Engagement and Supervisor's Organizational Embodiment</t>
  </si>
  <si>
    <t>leader humor; employee innovative behavior; work engagement; supervisor&amp;#8217; s organizational embodiment; Chinese employee</t>
  </si>
  <si>
    <t>TRANSFORMATIONAL LEADERSHIP; PSYCHOLOGICAL CONDITIONS; ABUSIVE SUPERVISION; CREATIVITY; WORKPLACE; MODEL; COMMITMENT; MEDIATOR; SUPPORT; NEED</t>
  </si>
  <si>
    <t>The influence of leader humor on employee innovative behavior has been attracting increasingly more attention from various scholars and enterprises. Based on previous relevant literatures in the fields of humor, leadership, and innovation, this study proposes and verifies a model to examine the internal mechanism and boundary condition of the relationship between leader humor, work engagement, supervisor's organizational embodiment, and employee innovative behavior. Specifically, this study introduces work engagement as a mediator in the relationship between leader humor and employee innovative behavior, and supervisor's organizational embodiment as a moderator in the relationship between leader humor and work engagement. Then, this study conducts two separate questionnaire surveys on Chinese employees and their direct supervisors at two different times to collect the sample data. In total, 383 supervisor-subordinate dyads were collected. The results suggest that leader humor can promote employee innovative behavior. Work engagement can partly mediate the influence of leader humor on employee innovative behavior. Supervisor's organizational embodiment of employee can positively moderate the influence of leader humor on work engagement, which in turn ultimately should account for positive increases of employee innovative behavior. The conclusions from the analyses above not only further verify and develop some previous points on leader humor and employee innovation but also derive certain management implications for promoting employee innovative behavior from the perspective of leader humor.</t>
  </si>
  <si>
    <t>[Zhang, Jingjing] Xinxiang Med Univ, Hlth &amp; Social Res Ctr, Management Inst, Xinxiang, Henan, Peoples R China; [Su, Weilin] Capital Normal Univ, Sch Literature, Beijing, Peoples R China</t>
  </si>
  <si>
    <t>Xinxiang Medical University; Capital Normal University</t>
  </si>
  <si>
    <t>Su, WL (corresponding author), Capital Normal Univ, Sch Literature, Beijing, Peoples R China.</t>
  </si>
  <si>
    <t>suweilin@cnu.edu.cn</t>
  </si>
  <si>
    <t>Humanities and Social Sciences Foundation of the Ministry of Education of China [20JD710043]; Humanities and Social Sciences General Project of Henan Provincial Department of Education [2019ZZJH686]</t>
  </si>
  <si>
    <t>Humanities and Social Sciences Foundation of the Ministry of Education of China(Ministry of Education, China); Humanities and Social Sciences General Project of Henan Provincial Department of Education</t>
  </si>
  <si>
    <t>The author(s) disclosed receipt of the following financial support for the research, authorship, and/or publication of this article: the present study was financially supported by the Humanities and Social Sciences Foundation of the Ministry of Education of China (Research on the Theoretical System of Socialism with Chinese Characteristics) (20JD710043) and the Humanities and Social Sciences General Project of Henan Provincial Department of Education (2019ZZJH686).</t>
  </si>
  <si>
    <t>DEC 14</t>
  </si>
  <si>
    <t>10.3389/fpsyg.2020.592999</t>
  </si>
  <si>
    <t>PK6WF</t>
  </si>
  <si>
    <t>WOS:000602581800001</t>
  </si>
  <si>
    <t>Uddin, MA; Priyankara, HPR; Mahmood, M</t>
  </si>
  <si>
    <t>Uddin, Md. Aftab; Priyankara, H. P. Rasika; Mahmood, Monowar</t>
  </si>
  <si>
    <t>Does a creative identity encourage innovative behaviour? Evidence from knowledge-intensive IT service firms</t>
  </si>
  <si>
    <t>Organizational culture; Innovation; Creativity; Creative identity</t>
  </si>
  <si>
    <t>LINKING TRANSFORMATIONAL LEADERSHIP; EMPLOYEE CREATIVITY; PROCESS ENGAGEMENT; SELF-EFFICACY; MEDIATING ROLE; PERSONAL IDENTITY; CLIMATE; PERFORMANCE; WORK; SUPERVISOR</t>
  </si>
  <si>
    <t>Purpose The purpose of this paper is to investigate the influence of an employee's personal creative identity on their innovation behaviour in knowledge-intensive information technology (IT) service provider firms. It further investigates the mediating role of an employee's creative process engagement (CPE) and the moderating effects of the organizational creative climate on creative identity-innovative behaviour (IB) relationships. Design/methodology/approach This study follows a quantitative method. Using a multi-item survey instrument, a total of 316 questionnaires were collected from the employees of IT service provider firms in Chittagong, Bangladesh. The collected data were analysed using structural equation modelling, factor analysis and path analysis to test the hypotheses and to assess the moderating and mediating effects of the variables. Findings The results revealed the significant influence of an employee's creative personal identity (CPI) on their IB. The mediation analysis revealed that CPE mediates the association between a CPI and IB. The study also found a significant moderating effect of a creative organizational climate between a CPI and CPE. Research limitations/implications Based on the premise of the interactionist approach of creativity and role identity theory, this study contributes to the creativity and innovation literature by providing empirical support for the relationship between a personal creative identity, organizational creative culture, CPE and IB in IT service organizations. Originality/value This study adopts a distinct model comprising four different variables to investigate an employee's IB from a multi-level perspective, i.e., a creative identity and CPE at the individual level and a creative climate and IB at the organizational level. This integrated model using predictors from multiple levels supports the theoretical assumption that IB results from the interaction of individual and organizational level factors.</t>
  </si>
  <si>
    <t>[Uddin, Md. Aftab] Univ Chittagong, Dept Human Resource Management, Chattogram, Bangladesh; [Priyankara, H. P. Rasika] Sabaragamuwa Univ Sri Lanka, Fac Management Studies, Dept Business Management, Belihuloya, Sri Lanka; [Mahmood, Monowar] KIMEP Univ, Alma Ata, Kazakhstan</t>
  </si>
  <si>
    <t>University of Chittagong; Sabaragamuwa University of Sri Lanka; KIMEP University</t>
  </si>
  <si>
    <t>Mahmood, M (corresponding author), KIMEP Univ, Alma Ata, Kazakhstan.</t>
  </si>
  <si>
    <t>mdaftabuddin@cu.ac.bd; rasikahp@ymail.com; monowar@kimep.kz</t>
  </si>
  <si>
    <t>Uddin, Md. Aftab/E-5896-2017; Uddin, Aftab/AAU-4645-2021; Priyankara, Rasika/HPG-0075-2023</t>
  </si>
  <si>
    <t>Uddin, Md. Aftab/0000-0002-9101-7451; Uddin, Aftab/0000-0003-1665-2751; Priyankara, Hewawasam Puwakpitiyage Rasika/0000-0003-0669-670X; Mahmood, Monowar/0000-0002-4936-2526</t>
  </si>
  <si>
    <t>OCT 12</t>
  </si>
  <si>
    <t>10.1108/EJIM-06-2019-0168</t>
  </si>
  <si>
    <t>NP5HB</t>
  </si>
  <si>
    <t>WOS:000570206100007</t>
  </si>
  <si>
    <t>Li, YB; Zhang, GQ; Wu, TJ; Peng, CL</t>
  </si>
  <si>
    <t>Li, Yi-Bin; Zhang, Gui-Qing; Wu, Tung-Ju; Peng, Chi-Lu</t>
  </si>
  <si>
    <t>Employee's Corporate Social Responsibility Perception and Sustained Innovative Behavior: Based on the Psychological Identity of Employees</t>
  </si>
  <si>
    <t>corporate social responsibility perception; employee well-being; organizational identification; innovative behavior</t>
  </si>
  <si>
    <t>ORGANIZATIONAL IDENTIFICATION; PERFORMANCE; COMMITMENT; CREATIVITY; LEADERSHIP; SUPPORT; IMPACT; MODEL; CSR</t>
  </si>
  <si>
    <t>Corporate social responsibility refers to the voluntary promises made by an enterprise to achieve sustainable development. When enterprises conduct prosocial activities, they must consider the feelings of their employees including employees' sense of identification and well-being. However, most existing corporate social responsibility studies have focused on the financial performance of enterprises; the effects of corporate social responsibility on employees have seldom been examined. Accordingly, this study conducted an empirical study examining the effects of employee perception of enterprise corporate social responsibility, employee well-being, and organizational identification on employee innovative behavior. A total of 431 valid questionnaires were retrieved. A structural equation modeling analysis revealed that a positive relationship exists between employee perception of enterprise execution of corporate social responsibility and employee innovative behavior. Furthermore, both employee well-being and organizational identification play mediating roles between the two variables. When conducting social responsibility activities, enterprises are suggested to inform their employees or even encourage their participation in their efforts to fulfill their social responsibility. Through interaction between internal and external stakeholders, substantial innovative behavior, beneficial for the subsequent development of enterprises, can be stimulated.</t>
  </si>
  <si>
    <t>[Li, Yi-Bin; Zhang, Gui-Qing] Huaqiao Univ, Sch Business Adm, Quanzhou 362021, Fujian, Peoples R China; [Wu, Tung-Ju] Harbin Inst Technol, Sch Management, Harbin 150001, Peoples R China; [Peng, Chi-Lu] Natl Kaohsiung Univ Sci &amp; Technol, Business Intelligence Sch, Kaohsiung 824303, Taiwan</t>
  </si>
  <si>
    <t>Huaqiao University; Harbin Institute of Technology; National Kaohsiung University of Science &amp; Technology</t>
  </si>
  <si>
    <t>Peng, CL (corresponding author), Natl Kaohsiung Univ Sci &amp; Technol, Business Intelligence Sch, Kaohsiung 824303, Taiwan.</t>
  </si>
  <si>
    <t>liyibin@hqu.edu.cn; 17014120001@stu.hqu.edu.cn; tjwu@hit.edu.cn; chilupeng@nkust.edu.tw</t>
  </si>
  <si>
    <t>Wu, Tung-Ju/AAW-5732-2021; Peng, Chi-Lu/J-3259-2019</t>
  </si>
  <si>
    <t>Peng, Chi-Lu/0000-0003-1487-4625</t>
  </si>
  <si>
    <t>China Postdoctoral Science Foundation [2018M632573]; National Natural Science Foundation of China [71702059]</t>
  </si>
  <si>
    <t>China Postdoctoral Science Foundation(China Postdoctoral Science Foundation); National Natural Science Foundation of China(National Natural Science Foundation of China (NSFC))</t>
  </si>
  <si>
    <t>China Postdoctoral Science Foundation: No. 2018M632573. National Natural Science Foundation of China: No. 71702059.</t>
  </si>
  <si>
    <t>10.3390/su12208604</t>
  </si>
  <si>
    <t>OI2KF</t>
  </si>
  <si>
    <t>WOS:000583113400001</t>
  </si>
  <si>
    <t>Zhang, WG; Xu, F; Sun, BQ</t>
  </si>
  <si>
    <t>Zhang, Wengang; Xu, Feng; Sun, Baiqing</t>
  </si>
  <si>
    <t>Are open individuals more creative? The interaction effects of leadership factors on creativity</t>
  </si>
  <si>
    <t>Openness to experience; Leader creativity expectations; Close monitoring; Employee creativity</t>
  </si>
  <si>
    <t>PROACTIVE PERSONALITY; INNOVATIVE BEHAVIOR; CONTEXTUAL FACTORS; SELF-EFFICACY; INFORMATION; INVOLVEMENT; INTEGRATION; EXPERIENCE; EXCHANGE; MODEL</t>
  </si>
  <si>
    <t>In the information era of the rapid growth of knowledge, creativity is the key to the survival and maintenance of competitive advantage of organizations. From an interactional perspective, this paper extends the research on individual creativity by integrating personality traits and leadership factors. Using multi-sourced, matched data from 217 supervisor-employee dyads of 23 companies in China, we found that openness to experience is positively related to employee creativity, while close monitoring is negatively related to employee creativity. Furthermore, employees who are openness to experience are more creative when leader creativity expectations is high rather than low. Finally, the interaction between close monitoring and openness to experience has no significant impact on employee creativity.</t>
  </si>
  <si>
    <t>[Zhang, Wengang; Sun, Baiqing] Harbin Inst Technol, Sch Management, Harbin, Peoples R China; [Xu, Feng] Harbin Inst Technol, Sch Humanities Social Sci &amp; Law, 92 Xidazhi St, Harbin 150080, Peoples R China</t>
  </si>
  <si>
    <t>Harbin Institute of Technology; Harbin Institute of Technology</t>
  </si>
  <si>
    <t>Xu, F (corresponding author), Harbin Inst Technol, Sch Humanities Social Sci &amp; Law, 92 Xidazhi St, Harbin 150080, Peoples R China.</t>
  </si>
  <si>
    <t>hitxufeng@hit.edu.cn</t>
  </si>
  <si>
    <t>Postdoctoral Sustentation Fund of Heilongjiang Human Resources and Social Security Bureau [LBH-Z19148]</t>
  </si>
  <si>
    <t>Postdoctoral Sustentation Fund of Heilongjiang Human Resources and Social Security Bureau</t>
  </si>
  <si>
    <t>This work was supported by the Postdoctoral Sustentation Fund of Heilongjiang Human Resources and Social Security Bureau (Grant Numbers: LBH-Z19148).</t>
  </si>
  <si>
    <t>10.1016/j.paid.2020.110078</t>
  </si>
  <si>
    <t>LU1VH</t>
  </si>
  <si>
    <t>WOS:000537549100002</t>
  </si>
  <si>
    <t>Zeng, JJ; Xu, GY</t>
  </si>
  <si>
    <t>Zeng, Jianji; Xu, Guangyi</t>
  </si>
  <si>
    <t>How Servant Leadership Motivates Innovative Behavior: A Moderated Mediation Model</t>
  </si>
  <si>
    <t>servant leadership; perceived insider status; organization-based self-esteem; innovative behavior; LMX</t>
  </si>
  <si>
    <t>SELF-ESTEEM; ORGANIZATIONAL-STRUCTURE; WORK; CREATIVITY; MANAGEMENT; IDENTITY; LEVEL; CLIMATE; CULTURE; JUSTICE</t>
  </si>
  <si>
    <t>Drawing on social identity theory, this study examines the effect of servant leadership on university teachers' innovative behavior through the self-concept constructs of perceived insider status and organization-based self-esteem, and the moderating effect of leader-member exchange (LMX). This moderated mediation model was tested with two waves of data from 269 university teachers in China. Results reveal that the self-concept constructs mediate the relationship between servant leadership and university teachers' innovative behavior. Moreover, LMX strengthens the relationship between servant leadership and the self-concept constructs, as well as the indirect effect of servant leadership on university teachers' innovative behavior through the self-concept constructs. Findings suggest that servant leadership is related to increased innovative behavior due to its positive influence on the self-concept of university teachers and it highlights the importance of developing a favorable supervisor-subordinate relationship.</t>
  </si>
  <si>
    <t>[Zeng, Jianji] Guangdong Pharmaceut Univ, Sch Med Business, Guangzhou 510006, Peoples R China; [Xu, Guangyi] South China Univ Technol, Sch Business Adm, Guangzhou 510640, Peoples R China</t>
  </si>
  <si>
    <t>Guangdong Pharmaceutical University; South China University of Technology</t>
  </si>
  <si>
    <t>Xu, GY (corresponding author), South China Univ Technol, Sch Business Adm, Guangzhou 510640, Peoples R China.</t>
  </si>
  <si>
    <t>zengjianji2006@163.com; xugy1990@163.com</t>
  </si>
  <si>
    <t>Silva, Gleibson/AAA-8482-2021; 徐, 光毅/AAX-6199-2020</t>
  </si>
  <si>
    <t>Silva, Gleibson/0000-0003-0945-2567; Xu, Guangyi/0000-0002-0925-8804</t>
  </si>
  <si>
    <t>Humanities and Social Sciences Foundation of China's Ministry of Education [16YJAZH001]; Innovation and Strengthening University Project of Guangdong Pharmaceutical University [2018WTSCX053]</t>
  </si>
  <si>
    <t>Humanities and Social Sciences Foundation of China's Ministry of Education; Innovation and Strengthening University Project of Guangdong Pharmaceutical University</t>
  </si>
  <si>
    <t>This research was funded by the Humanities and Social Sciences Foundation of China's Ministry of Education (16YJAZH001), and the Innovation and Strengthening University Project of Guangdong Pharmaceutical University (2018WTSCX053).</t>
  </si>
  <si>
    <t>10.3390/ijerph17134753</t>
  </si>
  <si>
    <t>MM7YI</t>
  </si>
  <si>
    <t>WOS:000550368300001</t>
  </si>
  <si>
    <t>Su, ZX; Wang, Z; Chen, S</t>
  </si>
  <si>
    <t>Su, Zhong-Xing; Wang, Zhen; Chen, Su</t>
  </si>
  <si>
    <t>The impact of CEO transformational leadership on organizational voluntary turnover and employee innovative behaviour: the mediating role of collaborative HRM</t>
  </si>
  <si>
    <t>CEO transformational leadership; collaborative human resource management; individual innovative behaviour; voluntary turnover rate</t>
  </si>
  <si>
    <t>PERFORMANCE WORK SYSTEMS; HUMAN-RESOURCE PRACTICES; JOB EMBEDDEDNESS; TRANSACTIONAL LEADERSHIP; CHARISMATIC LEADERSHIP; FIRM PERFORMANCE; UPPER ECHELONS; MANAGEMENT; MODEL; CREATIVITY</t>
  </si>
  <si>
    <t>Integrating theories of transformational leadership and strategic human resource management, this study examines how transformational leadership of chief executive officers (CEOs) can affect organizational and individual outcomes through the establishment of a collaborative human resource management (HRM) system. Based on data collected from 98 high-tech companies in China, our research revealed that through the mediating role of collaborative HRM, CEO transformational leadership has an indirect negative effect on organizational voluntary turnover rate and an indirect positive effect on individual innovative behaviour.</t>
  </si>
  <si>
    <t>[Su, Zhong-Xing] Renmin Univ China, Sch Labor &amp; Human Resources, Dept Human Resource Management, Beijing, Peoples R China; [Wang, Zhen] Renmin Univ China, Sch Labor &amp; Human Resources, Zhongguancun St 59, Beijing 100872, Peoples R China; [Chen, Su] Rutgers State Univ, Sch Management &amp; Labor Relat, New Brunswick, NJ USA</t>
  </si>
  <si>
    <t>Renmin University of China; Renmin University of China; Rutgers State University New Brunswick</t>
  </si>
  <si>
    <t>Wang, Z (corresponding author), Renmin Univ China, Sch Labor &amp; Human Resources, Zhongguancun St 59, Beijing 100872, Peoples R China.</t>
  </si>
  <si>
    <t>wangz@ruc.edu.cn</t>
  </si>
  <si>
    <t>National Natural Science Foundation of China [71472178]; Humanity and Social Science Youth Foundation of Ministry of Education of China [18YJC630192]</t>
  </si>
  <si>
    <t>This research was funded by the National Natural Science Foundation of China (Project No. 71472178) and the Humanity and Social Science Youth Foundation of Ministry of Education of China (18YJC630192).</t>
  </si>
  <si>
    <t>10.1111/1744-7941.12217</t>
  </si>
  <si>
    <t>KY4KS</t>
  </si>
  <si>
    <t>WOS:000522538800002</t>
  </si>
  <si>
    <t>De Clercq, D</t>
  </si>
  <si>
    <t>De Clercq, Dirk</t>
  </si>
  <si>
    <t>I Can't Help at Work! My Family Is Driving Me Crazy! How Family-to-Work Conflict Diminishes Change-Oriented Citizenship Behaviors and How Key Resources Disrupt This Link</t>
  </si>
  <si>
    <t>change-oriented citizenship behavior; family-to-work conflict; social interaction; goodwill trust; distributive justice; procedural justice; conservation of resources theory</t>
  </si>
  <si>
    <t>ORGANIZATIONAL CITIZENSHIP; PROCEDURAL JUSTICE; TURNOVER INTENTIONS; JOB-PERFORMANCE; INNOVATIVE BEHAVIOR; EMPIRICAL-EVIDENCE; SOCIAL-EXCHANGE; MEDIATING ROLE; TRUST; SELF</t>
  </si>
  <si>
    <t>This study investigates how employees' experience of family-to-work conflict might turn them away from change-oriented citizenship behaviors, as well as how this negative link might be buffered by two relational resources (social interaction and goodwill trust) and two organizational resources (distributive and procedural justice). Data collected among employees in the Canadian banking and financial services sector reveal that negative interferences of family with work reduce the likelihood that employees undertake voluntary behaviors that alter and improve the organizational status quo; this effect is weaker though when employees maintain informal relationships with their peers, believe that peers do not take advantage of them, and regard organizational decision-making procedures as fair. The results do not support a buffering effect of distributive justice. This study thus pinpoints different ways organizational change professionals can reduce the risk of diminished change-oriented voluntarism, as might arise due to the spillover of family-related strain into the workplace.</t>
  </si>
  <si>
    <t>[De Clercq, Dirk] Brock Univ, St Catharines, ON, Canada</t>
  </si>
  <si>
    <t>De Clercq, D (corresponding author), Brock Univ, Goodman Sch Business, 1812 Sir Isaac Brock Way, St Catharines, ON L2S 3A1, Canada.</t>
  </si>
  <si>
    <t>Social Sciences and Humanities Research Council (SSHRC) of Canada [435-2016-0127]</t>
  </si>
  <si>
    <t>Social Sciences and Humanities Research Council (SSHRC) of Canada(Social Sciences and Humanities Research Council of Canada (SSHRC))</t>
  </si>
  <si>
    <t>The author disclosed receipt of the following financial support for the research, authorship, and/or publication of this article: This research was funded by the Social Sciences and Humanities Research Council (SSHRC) of Canada (File: 435-2016-0127).</t>
  </si>
  <si>
    <t>10.1177/0021886320910558</t>
  </si>
  <si>
    <t>LM6AC</t>
  </si>
  <si>
    <t>WOS:000523779400001</t>
  </si>
  <si>
    <t>Acar, OA; Tuncdogan, A</t>
  </si>
  <si>
    <t>Acar, Oguz A.; Tuncdogan, Aybars</t>
  </si>
  <si>
    <t>Using the inquiry-based learning approach to enhance student innovativeness: a conceptual model</t>
  </si>
  <si>
    <t>TEACHING IN HIGHER EDUCATION</t>
  </si>
  <si>
    <t>Innovation; inquiry-based learning; teaching practice; employability</t>
  </si>
  <si>
    <t>GRADUATE EMPLOYABILITY; INDIVIDUAL-DIFFERENCES; EMPLOYEE CREATIVITY; SELF-REGULATION; TEAM; PERFORMANCE; EXPERIENCE; BEHAVIOR; WORK; IMPLEMENTATION</t>
  </si>
  <si>
    <t>Individual innovativeness has become one of the most important employability skills for university graduates. In this paper, we focus on how students could be better prepared to be innovative in the workplace, and we argue that inquiry-based learning (IBL) - a pedagogical approach in which students follow the inquiry-based processes used by scientists to construct knowledge - can be effective for this purpose. Drawing on research which examines the social and cognitive micro-foundations of innovative behavior, we develop a conceptual model that links IBL and student innovativeness, and introduce three teacher-controlled design elements that can influence the strength of this relationship, namely whether an inquiry is open or closed, discovery-focused or information focused and individual or team-based. We argue that an open, discovery-focused and team-based inquiry offers the greatest potential for enhancing students' skills in innovation. This paper has several implications for higher education research and practice.</t>
  </si>
  <si>
    <t>[Acar, Oguz A.] City Univ London, Cass Business Sch, London, England; [Tuncdogan, Aybars] Kings Coll London, Kings Business Sch, London, England</t>
  </si>
  <si>
    <t>City University London; RLUK- Research Libraries UK; University of London; King's College London</t>
  </si>
  <si>
    <t>Tuncdogan, A (corresponding author), Kings Coll London, Kings Business Sch, London, England.</t>
  </si>
  <si>
    <t>aybars.tuncdogan@kcl.ac.uk</t>
  </si>
  <si>
    <t>Acar, Oguz Ali/AAJ-1066-2021; Acar, Oguz/AAL-2365-2021</t>
  </si>
  <si>
    <t>Acar, Oguz Ali/0000-0003-1993-0921; Tuncdogan, Aybars/0000-0002-3848-3293</t>
  </si>
  <si>
    <t>1356-2517</t>
  </si>
  <si>
    <t>1470-1294</t>
  </si>
  <si>
    <t>TEACH HIGH EDUC</t>
  </si>
  <si>
    <t>Teach. High Educ.</t>
  </si>
  <si>
    <t>OCT 3</t>
  </si>
  <si>
    <t>10.1080/13562517.2018.1516636</t>
  </si>
  <si>
    <t>IY2XL</t>
  </si>
  <si>
    <t>WOS:000486255600005</t>
  </si>
  <si>
    <t>Esch, L; Wohr, C; Erhard, M; Kruger, K</t>
  </si>
  <si>
    <t>Esch, Laureen; Woehr, Caroline; Erhard, Michael; Krueger, Konstanze</t>
  </si>
  <si>
    <t>Horses' (Equus Caballus) Laterality, Stress Hormones, and Task Related Behavior in Innovative Problem-Solving</t>
  </si>
  <si>
    <t>ANIMALS</t>
  </si>
  <si>
    <t>innovative behavior; brain lateralization; glucocorticoid metabolites; behavioral traits; equine cognition</t>
  </si>
  <si>
    <t>COMPETITIVE ABILITY; INHIBITORY CONTROL; BRAIN SIZE; PERFORMANCE; AGE; NEOPHOBIA; COGNITION; MOTOR; TOOL; CHIMPANZEES</t>
  </si>
  <si>
    <t>Simple Summary In order to ensure species-appropriate horse keeping and management, knowledge about horses' cognitive abilities is essential. One parameter used to measure the cognitive abilities of a species is their capacity for innovative behavior. In this study 16 horses where confronted with a novel problem, i.e., an unknown feeder. When a horse emptied the feeder completely it was considered to be innovative. We found 25% of the horses to be innovative. Horses' propensity to innovate was mediated by individual behavioral differences and former life experiences. We conclude that horses' keeping conditions and welfare may be improved by environmental enrichment which promotes the development of innovative behavior. Abstract Domesticated horses are constantly confronted with novel tasks. A recent study on anecdotal data indicates that some are innovative in dealing with such tasks. However, innovative behavior in horses has not previously been investigated under experimental conditions. In this study, we investigated whether 16 horses found an innovative solution when confronted with a novel feeder. Moreover, we investigated whether innovative behavior in horses may be affected by individual aspects such as: age, sex, size, motor and sensory laterality, fecal stress hormone concentrations (GCMs), and task-related behavior. Our study revealed evidence for 25% of the horses being capable of innovative problem solving for operating a novel feeder. Innovative horses of the present study were active, tenacious, and may be considered to have a higher inhibitory control, which was revealed by their task related behavior. Furthermore, they appeared to be emotional, reflected by high baseline GCM concentrations and a left sensory and motor laterality. These findings may contribute to the understanding of horses' cognitive capacities to deal with their environment and calls for enriched environments in sports and leisure horse management.</t>
  </si>
  <si>
    <t>[Esch, Laureen; Woehr, Caroline; Erhard, Michael] Ludwig Maximilian Univ Munich, Dept Vet Sci, Fac Vet Med Anim Hyg &amp; Anim Husb, Chair Anim Welfare,Ethol, Veterinaerstr 13-R, D-80539 Munich, Germany; [Esch, Laureen; Krueger, Konstanze] Nuertingen Geislingen Univ, Dept Equine Econ Econ &amp; Management, Fac Agr, Neckarsteige 6-10, D-72622 Nuertingen, Germany; [Krueger, Konstanze] Univ Regensburg, Zool Evolutionary Biol, Univ Str 31, D-93053 Regensburg, Germany</t>
  </si>
  <si>
    <t>University of Munich; Nuertingen-Geislingen University (NGU); University of Regensburg</t>
  </si>
  <si>
    <t>Esch, L (corresponding author), Ludwig Maximilian Univ Munich, Dept Vet Sci, Fac Vet Med Anim Hyg &amp; Anim Husb, Chair Anim Welfare,Ethol, Veterinaerstr 13-R, D-80539 Munich, Germany.;Esch, L (corresponding author), Nuertingen Geislingen Univ, Dept Equine Econ Econ &amp; Management, Fac Agr, Neckarsteige 6-10, D-72622 Nuertingen, Germany.</t>
  </si>
  <si>
    <t>laureen.esch@gmx.de; caroline.woehr@tierhyg.vetmed.uni-muenchen.de; m.erhard@tierhyg.vetmed.uni-muenchen.de; konstanze.Krueger@hfwu.de</t>
  </si>
  <si>
    <t>Dr. Wohr, Anna-Caroline/0000-0001-9414-6809; Erhard, Michael Helmut/0000-0002-2527-0424</t>
  </si>
  <si>
    <t>Ministry of Science, Research and Art (MWK), Baden-Wurttemberg, Germany</t>
  </si>
  <si>
    <t>Conducting this research was funded by a crowdfunding project: https://www.startnext.com/en/innovation-pferd.Furthermore, we have to thank Derby for sponsoring the feed. This research received publication funding from the Ministry of Science, Research and Art (MWK), Baden-Wurttemberg, Germany.</t>
  </si>
  <si>
    <t>2076-2615</t>
  </si>
  <si>
    <t>ANIMALS-BASEL</t>
  </si>
  <si>
    <t>Animals</t>
  </si>
  <si>
    <t>10.3390/ani9050265</t>
  </si>
  <si>
    <t>Agriculture, Dairy &amp; Animal Science; Veterinary Sciences; Zoology</t>
  </si>
  <si>
    <t>Agriculture; Veterinary Sciences; Zoology</t>
  </si>
  <si>
    <t>IC4UY</t>
  </si>
  <si>
    <t>WOS:000470963400069</t>
  </si>
  <si>
    <t>Wu, TJ; Yang, Y; Yang, YJ</t>
  </si>
  <si>
    <t>Wu, Tung-Ju; Yang, Yang; Yang, Ya-Juan</t>
  </si>
  <si>
    <t>DOES SUPPORTIVE ORGANISATIONAL CLIMATE ENHANCE EMPLOYEE CREATIVITY? A CASE OF ECOTEC INDUSTRY</t>
  </si>
  <si>
    <t>JOURNAL OF ENVIRONMENTAL PROTECTION AND ECOLOGY</t>
  </si>
  <si>
    <t>supportive organisational climate; psychological capital; innovation behaviour; multilevel model</t>
  </si>
  <si>
    <t>INNOVATIVE BEHAVIOR; PERFORMANCE; MODEL; WORK</t>
  </si>
  <si>
    <t>Employees, regardless the positions, are affected the behavioural performance by organisational climate and personal factors, under distinct organisational context. From the aspect of an organisation, supportive organisational climate (SOC) is an important factor in job performance. From individual aspect, psychological capital (PsyCap) plays a critical role. Based on the context of 'people in organisation', the effects of supportive organisational climate and psychological capital on innovation behaviour are discussed in this study. The research samples of 467 employees in 26 ecotec cooperations are tested under multilevel model (MLM). The research results indicate that psychological capital plays the role of a full mediator in the effect of supportive organisational climate on innovation behaviour. The supportive organisational climate in an organisation therefore could affect employees innovation behaviour and job satisfaction through the psychological capital. From the mediation effect in this study, it is indicated that employees psychological capital is a valid variable to explain innovation behaviour, where the interaction between environment and personal factors is worth of more research on the field of organisational behaviours.</t>
  </si>
  <si>
    <t>[Wu, Tung-Ju; Yang, Yang] Harbin Inst Technol HIT, Sch Management, Harbin 150001, Heilongjiang, Peoples R China; [Yang, Ya-Juan] Macau Univ Sci &amp; Technol, Sch Business, Taipa, Macao, Peoples R China</t>
  </si>
  <si>
    <t>Harbin Institute of Technology; Macau University of Science &amp; Technology</t>
  </si>
  <si>
    <t>Yang, Y (corresponding author), Harbin Inst Technol HIT, Sch Management, Harbin 150001, Heilongjiang, Peoples R China.</t>
  </si>
  <si>
    <t>yfield@hit.edu.cn</t>
  </si>
  <si>
    <t>Wu, Tung-Ju/AAW-5732-2021</t>
  </si>
  <si>
    <t>National Natural Science Foundation of China [71702059, 71372089, 71972062]</t>
  </si>
  <si>
    <t>The authors are grateful to the valuable comments made by the reviewers. This research was supported by the National Natural Science Foundation of China (Nos 71702059, 71372089 and 71972062).</t>
  </si>
  <si>
    <t>SCIBULCOM LTD</t>
  </si>
  <si>
    <t>SOFIA</t>
  </si>
  <si>
    <t>PO BOX 249, 1113 SOFIA, BULGARIA</t>
  </si>
  <si>
    <t>1311-5065</t>
  </si>
  <si>
    <t>J ENVIRON PROT ECOL</t>
  </si>
  <si>
    <t>J. Environ. Prot. Ecol.</t>
  </si>
  <si>
    <t>B</t>
  </si>
  <si>
    <t>S486</t>
  </si>
  <si>
    <t>S493</t>
  </si>
  <si>
    <t>LL9OQ</t>
  </si>
  <si>
    <t>WOS:000531884900013</t>
  </si>
  <si>
    <t>The role of regional context on innovation persistency of firms</t>
  </si>
  <si>
    <t>PAPERS IN REGIONAL SCIENCE</t>
  </si>
  <si>
    <t>Location; innovation; persistence; firms; Community Innovation Survey</t>
  </si>
  <si>
    <t>RESEARCH-AND-DEVELOPMENT; KNOWLEDGE SPILLOVERS; ANTECEDENTS; STRATEGIES; NETWORKS</t>
  </si>
  <si>
    <t>This paper analyses the role of regional context on innovation persistency of firms. Using the Community Innovation Survey in Sweden, we have traced firms' innovative behaviour from 2002 to 2012, in terms of four Schumpeterian types of innovation: product, process, organizational, and marketing. Controlling for an extensive set of firm-level characteristics, we find that certain regional characteristics matter for innovation persistency of firms. In particular, those firms located in regions with: (i) thicker labour market or (ii) higher extent of knowledge spillover exhibit higher probability of being persistent innovators up to 14 percentage points. Such higher persistency is mostly pronounced for product innovators.</t>
  </si>
  <si>
    <t>[Tavassoli, Sam] RMIT Univ, Sch Management, 445 Swanston St, Melbourne, Vic 3000, Australia; [Tavassoli, Sam] Lund Univ, CIRCLE, Lund, Sweden; [Karlsson, Charlie] KTH, CESIS, Stockholm, Sweden; [Karlsson, Charlie] Jonkoping Int Business Sch, Jonkoping, Sweden</t>
  </si>
  <si>
    <t>Royal Melbourne Institute of Technology (RMIT); Lund University; Royal Institute of Technology; Jonkoping University</t>
  </si>
  <si>
    <t>Tavassoli, S (corresponding author), RMIT Univ, Sch Management, 445 Swanston St, Melbourne, Vic 3000, Australia.;Tavassoli, S (corresponding author), Lund Univ, CIRCLE, Lund, Sweden.</t>
  </si>
  <si>
    <t>sam.tavassoli@rmit.edu.au; charlie.karlsson@ju.se</t>
  </si>
  <si>
    <t>1056-8190</t>
  </si>
  <si>
    <t>1435-5957</t>
  </si>
  <si>
    <t>PAP REG SCI</t>
  </si>
  <si>
    <t>Pap. Reg. Sci.</t>
  </si>
  <si>
    <t>10.1111/pirs.12315</t>
  </si>
  <si>
    <t>GZ6DM</t>
  </si>
  <si>
    <t>WOS:000449522700005</t>
  </si>
  <si>
    <t>Sanchez-Baez, EA; Fernandez-Serrano, J; Romero, I</t>
  </si>
  <si>
    <t>Sanchez-Baez, Edgar A.; Fernandez-Serrano, Jose; Romero, Isidoro</t>
  </si>
  <si>
    <t>PERSONAL VALUES AND ENTREPRENEURIAL ATTITUDE AS INTELLECTUAL CAPITAL: IMPACTN INNOVATION IN SMALL ENTERPRISES</t>
  </si>
  <si>
    <t>AMFITEATRU ECONOMIC</t>
  </si>
  <si>
    <t>personal values; entrepreneurial attitude; small business; innovation</t>
  </si>
  <si>
    <t>CULTURAL-VALUES; PERFORMANCE; SMES; KNOWLEDGE; DETERMINANTS; CAPABILITIES; LEADERSHIP; TRAITS; LEVEL</t>
  </si>
  <si>
    <t>This paper analyzes the effects of entrepreneurs' personal values and their entrepreneurial attitudes, as forms of intellectual capital, on the innovative behavior of small businesses. The influence of personal values is examined through Schwartz's value theory and entrepreneurial attitudes via assessments associated with risk taking and personal autonomy. A model of structural equations using the Partial Least Squares technique was applied to a database composed of 191 small business owners in Paraguay. The results show that personal values of conservation and self-enhancement in the entrepreneur have a direct negative effect on innovation. It is also noted that entrepreneurial attitudes, such as openness to change and self-transcendence, have a mediating role in the positive impact of values on innovation. The article contributes to the literature by showing that some elements of intellectual capital, such as entrepreneurial attitudes and entrepreneurs' personal values, interact to influence innovation in small businesses.</t>
  </si>
  <si>
    <t>[Sanchez-Baez, Edgar A.] Natl Univ Asunc, San Lorenzo, Paraguay; [Fernandez-Serrano, Jose; Romero, Isidoro] Univ Seville, Dept Appl Econ 1, Seville, Spain</t>
  </si>
  <si>
    <t>Universidad Nacional de Asuncion; University of Sevilla</t>
  </si>
  <si>
    <t>Romero, I (corresponding author), Univ Seville, Dept Appl Econ 1, Seville, Spain.</t>
  </si>
  <si>
    <t>Fernández-Serrano, José/F-2096-2016; Romero, Isidoro/E-8160-2010</t>
  </si>
  <si>
    <t>Fernández-Serrano, José/0000-0003-4882-2399; Romero, Isidoro/0000-0001-8764-2599; Sanchez, Edgar/0000-0002-2682-2825</t>
  </si>
  <si>
    <t>EDITURA ASE</t>
  </si>
  <si>
    <t>BUCURESTI</t>
  </si>
  <si>
    <t>PIATA ROMANA, NR 6, SECTOR 1, BUCURESTI, 701731, ROMANIA</t>
  </si>
  <si>
    <t>1582-9146</t>
  </si>
  <si>
    <t>2247-9104</t>
  </si>
  <si>
    <t>AMFITEATRU ECON</t>
  </si>
  <si>
    <t>Amfiteatru Econ.</t>
  </si>
  <si>
    <t>10.24818/EA/2018/49/771</t>
  </si>
  <si>
    <t>GO8SD</t>
  </si>
  <si>
    <t>WOS:000440364100016</t>
  </si>
  <si>
    <t>Friedman, Y; Carmeli, A</t>
  </si>
  <si>
    <t>Friedman, Yair; Carmeli, Abraham</t>
  </si>
  <si>
    <t>The influence of decision comprehensiveness on innovative behaviors in small entrepreneurial firms: the power of connectivity</t>
  </si>
  <si>
    <t>Comprehensiveness; connectivity; innovation; innovative work behavior; top management teams; small entrepreneurial firms</t>
  </si>
  <si>
    <t>TOP MANAGEMENT TEAM; TRANSFORMATIONAL LEADERSHIP; UPPER ECHELONS; PERFORMANCE; WORK; DIVERSITY; UNCERTAINTY; COMMITMENT; KNOWLEDGE; DYNAMICS</t>
  </si>
  <si>
    <t>Small entrepreneurial firms lack the resources that large firms possess, but they often thrive on innovation. A key question is how these firms develop this innovative capacity despite their limited resources and administrative support. We examine decision-making processes and explore the relational conditions within a firm's top management team (TMT) that drive innovation. Specifically, we develop a conceptual model in which we theorize about the socio-psychological conditions of connectivity under which strategic decision-making processes help to defy the norms and facilitate innovative behaviors. Results of data collected from the TMTs of 149 small entrepreneurial firms indicate that the link between Strategic Decision Comprehensiveness (SDC) and TMT innovative behavior was stronger when the relationships among TMT members were characterized by a high level of connectivity. This research integrates the emerging theory of Positive Work Relationships to inform Upper Echelon research on the socio-psychological conditions in which SDC may drive TMT innovative behavior.</t>
  </si>
  <si>
    <t>[Friedman, Yair; Carmeli, Abraham] Tel Aviv Univ, Coller Sch Management, Tel Aviv, Israel</t>
  </si>
  <si>
    <t>Tel Aviv University</t>
  </si>
  <si>
    <t>Friedman, Y (corresponding author), Tel Aviv Univ, Coller Sch Management, Tel Aviv, Israel.</t>
  </si>
  <si>
    <t>yair@friedman.org.il</t>
  </si>
  <si>
    <t>Raya Strauss Family Business Research Center at Tel Aviv University</t>
  </si>
  <si>
    <t>This work was supported by The Raya Strauss Family Business Research Center at Tel Aviv University.</t>
  </si>
  <si>
    <t>10.1080/14479338.2017.1369141</t>
  </si>
  <si>
    <t>GN4SC</t>
  </si>
  <si>
    <t>WOS:000439021500004</t>
  </si>
  <si>
    <t>Du, R; Liu, LL; Straub, DW; Knight, MB</t>
  </si>
  <si>
    <t>Du, Rong; Liu, Lili; Straub, Detmar W.; Knight, Michael B.</t>
  </si>
  <si>
    <t>The impact of espoused national cultural values on innovative behaviour: an empirical study in the Chinese IT-enabled global service industry</t>
  </si>
  <si>
    <t>China; espoused culture; knowledge sharing; innovative behaviour; IT-enabled global service industry; PRC</t>
  </si>
  <si>
    <t>KNOWLEDGE; PERFORMANCE; MANAGEMENT; LEADERSHIP; EMPLOYEES; MODEL; MNCS</t>
  </si>
  <si>
    <t>In this article, we explore the different roles that knowledge sharing and exploitative learning play in employees' innovative behaviour, and investigate the different moderating effects of employees' espoused national cultural values on the relationship between exploitative learning and innovative behaviour in the Chinese IT-enabled global service firms with different ownerships. We propose a theoretical model to characterize these antecedents of innovative behaviour. A structured research survey was conducted and data were collected from a sample of 484 full-time employees in 3 IT-enabled global service firms in the PRC. Results indicate that knowledge sharing is positively associated with innovative behaviour in multinational corporations and private IT-enabled global service; espoused power distance has a significant positive moderating effect on exploitative learning-innovative behaviour relationship in state-owned and private firms; espoused collectivism has a significant moderating effect only in state-owned firms in China. Last, we explore the implications of our findings for theory and practice of innovation.</t>
  </si>
  <si>
    <t>[Du, Rong; Liu, Lili] Xidian Univ, Sch Econ &amp; Management, Xian, Peoples R China; [Straub, Detmar W.] Georgia State Univ, J Mack Robinson Coll Business Adm, Atlanta, GA 30303 USA; [Knight, Michael B.] Texas A&amp;M Kingsville, Coll Business Adm, MMIS, Kingsville, TX 78363 USA</t>
  </si>
  <si>
    <t>Xidian University; University System of Georgia; Georgia State University; Texas A&amp;M University System; Texas A&amp;M University Kingsville</t>
  </si>
  <si>
    <t>Knight, MB (corresponding author), Texas A&amp;M Kingsville, Coll Business Adm, MMIS, Kingsville, TX 78363 USA.</t>
  </si>
  <si>
    <t>Michael.knight@tamuk.edu</t>
  </si>
  <si>
    <t>National Natural Science Foundation of China [71271164]; Humanities and Social Science Talent Plan in Shaanxi [ER42015060002]; Soft Science Research Program in Xi'an [BD33015060002]</t>
  </si>
  <si>
    <t>National Natural Science Foundation of China(National Natural Science Foundation of China (NSFC)); Humanities and Social Science Talent Plan in Shaanxi; Soft Science Research Program in Xi'an</t>
  </si>
  <si>
    <t>This research is supported by the National Natural Science Foundation of China through [grant number 71271164]; Humanities and Social Science Talent Plan in Shaanxi through [grant number ER42015060002], and partially supported by the Soft Science Research Program in Xi'an through [grant number BD33015060002].</t>
  </si>
  <si>
    <t>10.1080/13602381.2016.1156907</t>
  </si>
  <si>
    <t>ET3HZ</t>
  </si>
  <si>
    <t>WOS:000400170100004</t>
  </si>
  <si>
    <t>Scully, JW; Buttigieg, SC; Fullard, A; Shaw, D; Gregson, M</t>
  </si>
  <si>
    <t>Scully, Judy W.; Buttigieg, Sandra C.; Fullard, Alexis; Shaw, Duncan; Gregson, Mike</t>
  </si>
  <si>
    <t>The role of SHRM in turning tacit knowledge into explicit knowledge: a cross-national study of the UK and Malta</t>
  </si>
  <si>
    <t>explicit knowledge; innovative behaviour; strategic human resource management (SHRM); tacit knowledge</t>
  </si>
  <si>
    <t>HUMAN-RESOURCE MANAGEMENT; GERIATRIC-MEDICINE; WORK-ENVIRONMENT; INNOVATION; MODEL; PERFORMANCE; CREATIVITY; HEALTH</t>
  </si>
  <si>
    <t>We propose that strategic human resource management (SHRM) practices nurture a context of knowledge sharing where tacit knowledge can be turned into explicit knowledge and that this type of knowledge sharing promotes innovative behaviours. We draw on the fields of knowledge management and international human resource management to show why organisations need to turn tacit knowledge into explicit knowledge to gain most from their workforce skills and creativity. Findings from a couple of cross-national case studies show how SHRM promotes employees to interact and share knowledge so that there is a conversion of tacit knowledge to explicit knowledge that informs innovative behaviour. In Case Study 1, the focus is on a UK local authority that implemented a bundle of SHRM practices through a people management programme, which resulted in a flattened management structure. In Case Study 2, the focus is on a geriatric hospital in Malta that introduced a management presence to an interdisciplinary team working to improve patient care. The analysis also highlights the methodological contribution of qualitative research for enabling inductive enquiry that yields emergent themes an approach not typically seen in SHRM innovation studies.</t>
  </si>
  <si>
    <t>[Scully, Judy W.; Fullard, Alexis] Aston Univ, Aston Business Sch, Work &amp; Org Psychol Grp, Birmingham B4 7ET, W Midlands, England; [Buttigieg, Sandra C.] Univ Malta, Mater Dei Hosp, Fac Hlth Sci, Dept Hlth Serv Management, Msida, Malta; [Shaw, Duncan] Univ Warwick, Warwick Business Sch, Operat Res &amp; Management Sci Grp, Coventry CV4 7AL, W Midlands, England; [Gregson, Mike] Birmingham City Council, Birmingham, W Midlands, England</t>
  </si>
  <si>
    <t>Aston University; University of Malta; RLUK- Research Libraries UK; University of Warwick</t>
  </si>
  <si>
    <t>Scully, JW (corresponding author), Aston Univ, Aston Business Sch, Work &amp; Org Psychol Grp, Birmingham B4 7ET, W Midlands, England.</t>
  </si>
  <si>
    <t>j.w.scully@aston.ac.uk</t>
  </si>
  <si>
    <t>Buttigieg, Sandra C./R-7211-2017; Shaw, Duncan/M-3325-2014</t>
  </si>
  <si>
    <t>Buttigieg, Sandra C./0000-0002-0572-2462; Shaw, Duncan/0000-0002-5693-8052; Scully, Judy/0000-0002-0968-0941</t>
  </si>
  <si>
    <t>10.1080/09585192.2013.781432</t>
  </si>
  <si>
    <t>146QS</t>
  </si>
  <si>
    <t>WOS:000319106200003</t>
  </si>
  <si>
    <t>Belak, J; Rozman, MP</t>
  </si>
  <si>
    <t>Belak, Jernej; Rozman, Mateja Pevec</t>
  </si>
  <si>
    <t>Business ethics from Aristotle, Kant and Mill's perspective</t>
  </si>
  <si>
    <t>Slovenia; Cybernetics; Corporate governance; Business ethics; Organizational innovation; Systems theory; Virtue; Kantian ethics; Mills ethics</t>
  </si>
  <si>
    <t>FAMILY; BEHAVIOR</t>
  </si>
  <si>
    <t>Purpose - The presence and use of the informal and formal measures of business ethics implementation may be crucial and should therefore be known to managers/owners. Based on the case study research, this paper aims to suggest that enterprise awareness of importance of business ethics implementation can be of essential meaning for its long-term existence, success, growth, and development. The purpose of this paper is to discover the presence and use of the informal and formal measures of business ethics implementation and to identify their importance for active measure care by the enterprises. Design/methodology/approach - In this paper, qualitative research is applied. The research cognitions on informal and formal measures of business ethics implementation are discussed in application of the dialectical systems theory. Findings - The paper finds that on one side the enterprises' key stakeholders (owners and managers) are aware of the importance of their ethical behaviour as well as of impact of their ethical behaviour to the enterprises' behaviour. The research results also show that enterprises' key stake holders are conscious of the impact of enterprises' ethical behaviour to the enterprises' long term existence, growth, and development. On the other hand, the research findings show that such informal awareness is usually not formalized, which can be argued as a reason for enterprises' unethical behaviour. Practical implications This paper gives us some insights as to the state of informal and formal measures of business ethics implementation in Slovenian enterprises. In a frame of practical implications, a further research should be done to show which formal measures of such ethics implementation should be used to stimulate the enterprises' innovative behaviour in assurance of enterprise effectiveness, efficiency, and social responsibility in order to achieve and maintain enterprise's long term existence, growth, and development. Originality/value - The available literature does not provide for a similar research of linkage between the formal and informal measures of business ethics implementation.</t>
  </si>
  <si>
    <t>[Belak, Jernej] Univ Maribor, Fac Econ &amp; Business, SLO-2000 Maribor, Slovenia; [Rozman, Mateja Pevec] Univ Ljubljana, Fac Theol, Maribor, Slovenia</t>
  </si>
  <si>
    <t>University of Maribor; University of Ljubljana</t>
  </si>
  <si>
    <t>Belak, J (corresponding author), Univ Maribor, Fac Econ &amp; Business, SLO-2000 Maribor, Slovenia.</t>
  </si>
  <si>
    <t>10.1108/03684921211276783</t>
  </si>
  <si>
    <t>055RJ</t>
  </si>
  <si>
    <t>WOS:000312434100017</t>
  </si>
  <si>
    <t>Toelch, U; Bruce, MJ; Meeus, MTH; Reader, SM</t>
  </si>
  <si>
    <t>Toelch, Ulf; Bruce, Matthew J.; Meeus, Marius T. H.; Reader, Simon M.</t>
  </si>
  <si>
    <t>Social performance cues induce behavioral flexibility in humans</t>
  </si>
  <si>
    <t>aspiration level; cultural transmission; cumulative cultural evolution; exploration-exploitation; innovation; performance feedback; social information; social learning</t>
  </si>
  <si>
    <t>EXPLORATION; EXPLOITATION; EVOLUTION; CULTURE; VARIABILITY; INNOVATION; BIRDS; SIZE</t>
  </si>
  <si>
    <t>Behavioral flexibility allows individuals to react to environmental changes, but changing established behavior carries costs, with unknown benefits. Individuals may thus modify their behavioral flexibility according to the prevailing circumstances. Social information provided by the performance level of others provides one possible cue to assess the potential benefits of changing behavior, since out-performance in similar circumstances indicates that novel behaviors (innovations) are potentially useful. We demonstrate that social performance cues, in the form of previous players' scores in a problem-solving computer game, influence behavioral flexibility. Participants viewed only performance indicators, not the innovative behavior of others. While performance cues (high, low, or no scores) had little effect on innovation discovery rates, participants that viewed high scores increased their utilization of innovations, allowing them to exploit the virtual environment more effectively than players viewing low or no scores. Perceived conspecific performance can thus shape human decisions to adopt novel traits, even when the traits employed cannot be copied. This simple mechanism, social performance feedback, could be a driver of both the facultative adoption of innovations and cumulative cultural evolution, processes critical to human success.</t>
  </si>
  <si>
    <t>[Toelch, Ulf; Bruce, Matthew J.; Reader, Simon M.] Univ Utrecht, Dept Biol, Utrecht, Netherlands; [Toelch, Ulf; Bruce, Matthew J.; Reader, Simon M.] Univ Utrecht, Helmholtz Inst, Utrecht, Netherlands; [Toelch, Ulf] Univ Utrecht, Dept Innovat &amp; Environm Sci, Utrecht, Netherlands; [Toelch, Ulf] Humboldt Univ, D-10117 Berlin, Germany; [Bruce, Matthew J.] Arthur Rylah Inst Environm Res, Dept Sustainabil &amp; Environm, Heidelberg, Vic, Australia; [Meeus, Marius T. H.] Tilburg Univ, Ctr Innovat Res, Dept Org Studies, NL-5000 LE Tilburg, Netherlands; [Reader, Simon M.] McGill Univ, Dept Biol, Montreal, PQ H3A 1B1, Canada</t>
  </si>
  <si>
    <t>Utrecht University; Utrecht University; Utrecht University; Humboldt University of Berlin; Arthur Rylah Institute for Environmental Research (ARI); Tilburg University; McGill University</t>
  </si>
  <si>
    <t>Toelch, U (corresponding author), Humboldt Univ, Charlottenstr 94, D-10117 Berlin, Germany.</t>
  </si>
  <si>
    <t>toelch@gmail.com; simon.reader@mcgill.ca</t>
  </si>
  <si>
    <t>Bruce, Matt/K-7948-2019; Meeus, Marius T.H./E-8648-2011; Reader, Simon M/B-9075-2011</t>
  </si>
  <si>
    <t>Bruce, Matt/0000-0002-9146-901X; Reader, Simon M/0000-0002-3785-1357; Toelch, Ulf/0000-0002-8731-3530</t>
  </si>
  <si>
    <t>10.3389/fpsyg.2011.00160</t>
  </si>
  <si>
    <t>V31DG</t>
  </si>
  <si>
    <t>WOS:000208863700170</t>
  </si>
  <si>
    <t>Fauchart, E; Keilbach, M</t>
  </si>
  <si>
    <t>Fauchart, Emmanuelle; Keilbach, Max</t>
  </si>
  <si>
    <t>Testing a model of exploration and exploitation as innovation strategies</t>
  </si>
  <si>
    <t>Firm size distribution; Innovation strategies; Industrial dynamics; Firm demography; Carrying capacity; Market concentration; Rank order turbulence</t>
  </si>
  <si>
    <t>MANUFACTURING-INDUSTRIES; SCHUMPETERIAN PATTERNS; SIZE DISTRIBUTION; BUSINESS FIRMS; GROWTH; ENTRY; EVOLUTION; EXIT; SURVIVAL; DYNAMICS</t>
  </si>
  <si>
    <t>We suggest a structural model that specifies firm growth as a function of firm-specific parameters, market-specific parameters, and competition for purchasing power. The model distinguishes between two firm innovation strategies: exploration and exploitation. On the basis of a set of simulations of this model, we derive a number of empirically testable hypotheses. A subset of these have already found support in the empirical literature. We take these as evidence in favor of the explanatory power of the model. In addition, we are able to derive further testable propositions on the interaction of firm-demographic processes, innovative behavior and market structure that go beyond the existing literature and that we suggest for further research. We conclude that the approach chosen here provides a fruitful pathway for further research.</t>
  </si>
  <si>
    <t>[Keilbach, Max] Max Planck Inst Econ, D-07745 Jena, Germany; [Fauchart, Emmanuelle] Conservatoire Natl Arts &amp; Metiers, Lab Econometrie, F-75003 Paris, France</t>
  </si>
  <si>
    <t>Max Planck Society; heSam Universite; Conservatoire National Arts &amp; Metiers (CNAM)</t>
  </si>
  <si>
    <t>Keilbach, M (corresponding author), Max Planck Inst Econ, Kahlaische Str 10, D-07745 Jena, Germany.</t>
  </si>
  <si>
    <t>keilbach@econ.mpg.de</t>
  </si>
  <si>
    <t>Fauchart, Emmanuelle/0000-0001-6260-1408</t>
  </si>
  <si>
    <t>10.1007/s11187-008-9101-6</t>
  </si>
  <si>
    <t>495SN</t>
  </si>
  <si>
    <t>WOS:000269915400001</t>
  </si>
  <si>
    <t>Martins, E; Pundt, A; Horsmann, CS; Nerdinger, FW</t>
  </si>
  <si>
    <t>Martins, Erko; Pundt, Alexander; Horsmann, Claes S.; Nerdinger, Friedemann W.</t>
  </si>
  <si>
    <t>Organizational culture of participation: Development and validation of a measure</t>
  </si>
  <si>
    <t>organizational culture; employee participation; organizational commitment; innovative behavior; psychological ownership; validation</t>
  </si>
  <si>
    <t>PSYCHOLOGICAL OWNERSHIP; WORK; SATISFACTION; PERFORMANCE; LEADERSHIP; INNOVATION; BEHAVIORS</t>
  </si>
  <si>
    <t>[Martins, Erko; Pundt, Alexander; Horsmann, Claes S.; Nerdinger, Friedemann W.] Univ Rostock, Chair Business &amp; Org Psychol, D-18057 Rostock, Germany</t>
  </si>
  <si>
    <t>Martins, E (corresponding author), Univ Rostock, Chair Business &amp; Org Psychol, Ulmenstr 69, D-18057 Rostock, Germany.</t>
  </si>
  <si>
    <t>erko.martins@uni-rostock.de</t>
  </si>
  <si>
    <t>329PC</t>
  </si>
  <si>
    <t>WOS:000257879300006</t>
  </si>
  <si>
    <t>Szmigin, I; Carrigan, M</t>
  </si>
  <si>
    <t>Leisure and tourism services and the older innovator</t>
  </si>
  <si>
    <t>ELDERLY CONSUMER; AGE; INNOVATIVENESS; ADOPTION; MARKET</t>
  </si>
  <si>
    <t>In the light of changing demographics this article seeks to identify whether 'older' consumers are innovative in their consumption behaviour A domain specific scale is used among up-market consumers for leisure and tourism services. This scale has been extensively applied to consumers to identify predisposition towards innovative behaviour for specific products and services. A postal survey identified 'older' consumers as having a relatively high level of domain specific innovativeness. The authors suggest that as people age they do not necessarily become less interested in consumption and it is a mistake to ignore or alienate such a potentially lucrative market.</t>
  </si>
  <si>
    <t>Univ Birmingham, Sch Business, Birmingham B15 2TT, W Midlands, England</t>
  </si>
  <si>
    <t>RLUK- Research Libraries UK; University of Birmingham</t>
  </si>
  <si>
    <t>Szmigin, I (corresponding author), Univ Birmingham, Sch Business, Birmingham B15 2TT, W Midlands, England.</t>
  </si>
  <si>
    <t>Szmigin, Isabelle/AAS-1643-2020; Szmigin, Isabelle/AFR-9113-2022</t>
  </si>
  <si>
    <t>Carrigan, Marylyn/0000-0002-4487-029X</t>
  </si>
  <si>
    <t>FRANK CASS CO LTD</t>
  </si>
  <si>
    <t>ESSEX</t>
  </si>
  <si>
    <t>NEWBURY HOUSE, 900 EASTERN AVE, NEWBURY PARK, ILFORD, ESSEX IG2 7HH, ENGLAND</t>
  </si>
  <si>
    <t>10.1080/714005039</t>
  </si>
  <si>
    <t>461VC</t>
  </si>
  <si>
    <t>WOS:000170383300007</t>
  </si>
  <si>
    <t>Flaig, G; Stadler, M</t>
  </si>
  <si>
    <t>On the dynamics of product and process innovations - A bivariate random effects probit model</t>
  </si>
  <si>
    <t>JAHRBUCHER FUR NATIONALOKONOMIE UND STATISTIK</t>
  </si>
  <si>
    <t>R-AND-D; MARKET-STRUCTURE; TECHNOLOGICAL OPPORTUNITY; SPILLOVERS; EVOLUTION; FIRMS</t>
  </si>
  <si>
    <t>Based on a stochastic dynamic model of a firm's optimal innovative behavior we derive a simultaneous equation system for product and process innovations with intertemporal spillover effects. We estimate various versions of the model with dichotomous innovation data at the firm level by using a bivariate dynamic random effects probit model. The data set, provided by the Ifo-Institute, covers the period between 1981 and 1989 and includes 586 firms of the West German manufacturing sector. It turns out that the firms probabilities of product and process innovations depend positively on dynamic spillover effects even if one controls for firm size, market concentration, demand expectations, labor cost, unobserved heterogeneity and potential endogeneity of the explanatory variables.</t>
  </si>
  <si>
    <t>Univ Munich, D-80539 Munich, Germany; Univ Tubingen, D-72074 Tubingen, Germany</t>
  </si>
  <si>
    <t>University of Munich; Eberhard Karls University of Tubingen</t>
  </si>
  <si>
    <t>Flaig, G (corresponding author), Univ Munich, Schackstr 4-1, D-80539 Munich, Germany.</t>
  </si>
  <si>
    <t>LUCIUS LUCIUS VERLAG MBH</t>
  </si>
  <si>
    <t>STUTTGART</t>
  </si>
  <si>
    <t>GEROKSTR 51, D-70184 STUTTGART, GERMANY</t>
  </si>
  <si>
    <t>0021-4027</t>
  </si>
  <si>
    <t>JAHRB NATL STAT</t>
  </si>
  <si>
    <t>Jahrb. Natl. Okon. Stat.</t>
  </si>
  <si>
    <t>Economics; Social Sciences, Mathematical Methods</t>
  </si>
  <si>
    <t>Business &amp; Economics; Mathematical Methods In Social Sciences</t>
  </si>
  <si>
    <t>106VL</t>
  </si>
  <si>
    <t>WOS:000075171100001</t>
  </si>
  <si>
    <t>FOREHAND, GA</t>
  </si>
  <si>
    <t>ASSESSMENTS OF INNOVATIVE BEHAVIOR - PARTIAL CRITERIA FOR THE ASSESSMENT OF EXECUTIVE PERFORMANCE</t>
  </si>
  <si>
    <t>10.1037/h0049211</t>
  </si>
  <si>
    <t>CAK63</t>
  </si>
  <si>
    <t>WOS:A1963CAK6300009</t>
  </si>
  <si>
    <t>Mehmood, K; Jabeen, F; Iftikhar, Y; Yan, M; Khan, AN; AlNahyan, MT; Alkindi, HA; Alhammadi, BA</t>
  </si>
  <si>
    <t>Mehmood, Khalid; Jabeen, Fauzia; Iftikhar, Yaser; Yan, Manli; Khan, Ali Nawaz; AlNahyan, Moza Tahnoon; Alkindi, Humaid Ali; Alhammadi, Bader Ahmed</t>
  </si>
  <si>
    <t>Elucidating the effects of organisational practices on innovative work behavior in UAE public sector organisations: The mediating role of employees' wellbeing</t>
  </si>
  <si>
    <t>APPLIED PSYCHOLOGY-HEALTH AND WELL BEING</t>
  </si>
  <si>
    <t>collaborative leadership; high-involvement work practices; innovative work behavior; public sector; United Arab Emirates; wellbeing</t>
  </si>
  <si>
    <t>TRANSFORMATIONAL LEADERSHIP; SERVICE MOTIVATION; COLLABORATIVE LEADERSHIP; HR PRACTICES; PERFORMANCE; EXCHANGE; DISCRETIONARY; CREATIVITY; MANAGEMENT; SYSTEMS</t>
  </si>
  <si>
    <t>In the context of the transitioning economy of the United Arab Emirates, which demands inculcating innovative behavior in public employees, this study investigates the relationship between high-involvement work practices and leaders' collaborative nature with employees' innovative behavior. Drawing on the social exchange and ability-motivation-opportunity theories, this research expounds the mediating effect of employees' wellbeing to examine the mechanisms through which high-involvement work practices and public leaders' collaborative nature affect employees' innovative behavior in public organisations. Using three-wave data from 207 individuals in public service organisations, this study tests the effects of employees' perceptions of high-involvement work practices and leaders' collaborative nature on their wellbeing and innovative work behaviors. Our findings have theoretical and practical implications for research on innovative work behavior in the milieu of public organisations.</t>
  </si>
  <si>
    <t>[Mehmood, Khalid; Khan, Ali Nawaz] Hubei Engn Univ, Res Ctr Hubei Micro &amp; Small Enterprises Dev, Sch Econ &amp; Management, Xiaogan 432100, Peoples R China; [Jabeen, Fauzia; AlNahyan, Moza Tahnoon; Alkindi, Humaid Ali; Alhammadi, Bader Ahmed] Abu Dhabi Univ, Coll Business, Abu Dhabi, U Arab Emirates; [Iftikhar, Yaser] Natl Univ Med Sci, AFPGMI, Rawalpindi, Pakistan; [Yan, Manli] Tongji Univ, Sch Econ &amp; Management, Shanghai, Peoples R China</t>
  </si>
  <si>
    <t>Hubei Engineering University; Abu Dhabi University; Tongji University</t>
  </si>
  <si>
    <t>Khan, AN (corresponding author), Hubei Engn Univ, Res Ctr Hubei Micro &amp; Small Enterprises Dev, Sch Econ &amp; Management, Xiaogan 432100, Peoples R China.</t>
  </si>
  <si>
    <t>alisial@mail.ustc.edu.cn</t>
  </si>
  <si>
    <t>Jabeen, Fauzia/B-2327-2012</t>
  </si>
  <si>
    <t>Jabeen, Fauzia/0000-0002-3505-5955</t>
  </si>
  <si>
    <t>China Postdoctoral Science Foundation [2020M671236]; National Natural Science Foundation of China [71672053]; Abu Dhabi University Office of Research and sponsored program [1930058]</t>
  </si>
  <si>
    <t>China Postdoctoral Science Foundation(China Postdoctoral Science Foundation); National Natural Science Foundation of China(National Natural Science Foundation of China (NSFC)); Abu Dhabi University Office of Research and sponsored program</t>
  </si>
  <si>
    <t>China Postdoctoral Science Foundation, Grant/Award Number: 2020M671236; National Natural Science Foundation of China, Grant/Award Number: 71672053; Abu Dhabi University Office of Research and sponsored program, Grant/Award Number: 1930058</t>
  </si>
  <si>
    <t>1758-0846</t>
  </si>
  <si>
    <t>1758-0854</t>
  </si>
  <si>
    <t>APPL PSYCHOL-HLTH WE</t>
  </si>
  <si>
    <t>Appl. Psychol.-Health Well Being</t>
  </si>
  <si>
    <t>10.1111/aphw.12343</t>
  </si>
  <si>
    <t>FEB 2022</t>
  </si>
  <si>
    <t>3M7LI</t>
  </si>
  <si>
    <t>WOS:000750213300001</t>
  </si>
  <si>
    <t>Xu, XB; Xia, MY; Pang, WG</t>
  </si>
  <si>
    <t>Xu, Xiaobo; Xia, Mengya; Pang, Weiguo</t>
  </si>
  <si>
    <t>Do all roads lead to Rome? Authenticity, openness to experience, and risk-taking relate to general and malevolent creativity differently</t>
  </si>
  <si>
    <t>Article; Early Access</t>
  </si>
  <si>
    <t>Authenticity; Openness to experience; Risk-taking; General creativity; Malevolent creativity</t>
  </si>
  <si>
    <t>DARK TRIAD; PERSONALITY; INTELLIGENCE; MODEL; DETERMINANTS; PROPENSITY; STABILITY; BEHAVIOR; TRAITS</t>
  </si>
  <si>
    <t>To provide a more comprehensive understanding of the relationship between personality and creativity, the present study discriminated the general and malevolent facets of creativity and examined their associations with three personality traits-authenticity, openness to experience, and risk-taking-that vary in moral preferences. Three hundred Chinese individuals (82% were female; mean age was 20.36 years) voluntarily participated in our online survey in which they were instructed to complete several demographical questions, the Authenticity Scale, the Openness subscale of the NEO Five-Factor Inventory-3, a risk-taking question, the Innovative Behavior Scale (i.e., general creativity), the Malevolent Creative Behavior Scale (i.e., malevolent creativity), and two alternative uses tasks (i.e., creative potential and malevolent response tendency). The results revealed that, when controlling for individuals' creative potential and malevolent response tendency, authenticity, openness to experience, and risk-taking were all positively correlated with general creativity; however, they predicted malevolent creativity in markedly different ways, demonstrating negative, non-significant, and positive associations, respectively. The results indicate that personality traits could relate to general and malevolent creativity differently. The implications, limitations, and directions for future research are discussed.</t>
  </si>
  <si>
    <t>[Xu, Xiaobo] Shanghai Normal Univ, Dept Psychol, Shanghai, Peoples R China; [Xia, Mengya] Univ Alabama, Dept Psychol, Box 870348, Tuscaloosa, AL 35487 USA; [Pang, Weiguo] East China Normal Univ, Sch Psychol &amp; Cognit Sci, 3663 North ZhongShan Rd, Shanghai 200062, Peoples R China</t>
  </si>
  <si>
    <t>Shanghai Normal University; University of Alabama System; University of Alabama Tuscaloosa; East China Normal University</t>
  </si>
  <si>
    <t>Pang, WG (corresponding author), East China Normal Univ, Sch Psychol &amp; Cognit Sci, 3663 North ZhongShan Rd, Shanghai 200062, Peoples R China.</t>
  </si>
  <si>
    <t>wgpang@psy.ecnu.edu.cn</t>
  </si>
  <si>
    <t>Xia, Mengya/S-9150-2019</t>
  </si>
  <si>
    <t>Xia, Mengya/0000-0001-6413-353X</t>
  </si>
  <si>
    <t>Program of Shanghai Humanities and Social Sciences Key Research Base of Psychology [13200-412224-21A18/003]; Program for Professor of Special Appointment at Shanghai Insitutions of Higher Education [TP2020013]</t>
  </si>
  <si>
    <t>Program of Shanghai Humanities and Social Sciences Key Research Base of Psychology; Program for Professor of Special Appointment at Shanghai Insitutions of Higher Education</t>
  </si>
  <si>
    <t>This study was supported by Program of Shanghai Humanities and Social Sciences Key Research Base of Psychology (13200-412224-21A18/003) and Program for Professor of Special Appointment at Shanghai Insitutions of Higher Education (TP2020013).</t>
  </si>
  <si>
    <t>10.1007/s12144-021-02567-w</t>
  </si>
  <si>
    <t>YG1HH</t>
  </si>
  <si>
    <t>WOS:000742246400004</t>
  </si>
  <si>
    <t>Huang, XH; Lin, CH; Sun, MY; Peng, X</t>
  </si>
  <si>
    <t>Huang, Xianhan; Chin-Hsi, Lin; Mingyao, Sun; Peng, Xu</t>
  </si>
  <si>
    <t>What drives teaching for creativity? Dynamic componential modelling of the school environment, teacher enthusiasm, and metacognition</t>
  </si>
  <si>
    <t>TEACHING AND TEACHER EDUCATION</t>
  </si>
  <si>
    <t>Teaching for creativity; Metacognition; Enthusiasm; Dynamic componential model of creativity; School environment</t>
  </si>
  <si>
    <t>SELF-DETERMINATION THEORY; TRANSFORMATIONAL LEADERSHIP; PSYCHOLOGICAL SAFETY; EMPLOYEE CREATIVITY; INNOVATIVE BEHAVIOR; JOB-SATISFACTION; TEAM CREATIVITY; MEDIATING ROLE; DUAL PATHWAY; WORK</t>
  </si>
  <si>
    <t>Drawing on the dynamic componential model of creativity, this study examined how school-level factors (i.e., general collaboration in teaching, participation in school decision making, available equipment and resources, and colleague innovation) and individual-level factors (i.e., metacognition and enthusiasm) are associated with teaching for creativity. The study involved an online questionnaire completed by 7187 teachers in China. The results of structural equation modelling and bootstrapping showed that metacognition and enthusiasm served as strong predictors of teaching for creativity. General collaboration in teaching had the strongest association with teaching for creativity, followed by colleague innovation and available equipment and resources. Teachers' participation in school decision making was negatively related to teaching for creativity. (C) 2021 Elsevier Ltd. All rights reserved.</t>
  </si>
  <si>
    <t>[Huang, Xianhan; Chin-Hsi, Lin; Mingyao, Sun] Univ Hong Kong, Fac Educ, Hong Kong, Peoples R China; [Peng, Xu] Northeast Normal Univ, Coll Literature, Changchun, Peoples R China</t>
  </si>
  <si>
    <t>University of Hong Kong; Northeast Normal University - China</t>
  </si>
  <si>
    <t>Huang, XH (corresponding author), Univ Hong Kong, Pokfulam, Hong Kong Isl, Room 628, Hong Kong, Peoples R China.</t>
  </si>
  <si>
    <t>yxhhuang@hku.hk</t>
  </si>
  <si>
    <t>Huang, Xianhan/0000-0002-6182-1211</t>
  </si>
  <si>
    <t>0742-051X</t>
  </si>
  <si>
    <t>1879-2480</t>
  </si>
  <si>
    <t>TEACH TEACH EDUC</t>
  </si>
  <si>
    <t>Teach. Teach. Educ.</t>
  </si>
  <si>
    <t>10.1016/j.tate.2021.103491</t>
  </si>
  <si>
    <t>WD8TB</t>
  </si>
  <si>
    <t>WOS:000705206000003</t>
  </si>
  <si>
    <t>Jonsson, TF; Bahat, E; Barattucci, M</t>
  </si>
  <si>
    <t>Jonsson, Thomas Faurholt; Bahat, Esther; Barattucci, Massimiliano</t>
  </si>
  <si>
    <t>How are empowering leadership, self-efficacy and innovative behavior related to nurses' agency in distributed leadership in Denmark, Italy and Israel?</t>
  </si>
  <si>
    <t>distributed leadership agency; empowering leadership; innovation; self&amp;#8208; efficacy</t>
  </si>
  <si>
    <t>Aim The purpose of the study was to introduce the concept of distributed leadership to international nursing management by conducting a cross-national investigation of its relationships with empowering nursing leadership, nurses' work self-efficacy and nurses' innovative behaviour. Background Distributed leadership theory suggests that when more people lead processes together, innovation will be superior to solo leadership. However, we need knowledge about how nurse managers may enhance nurses' distributed leadership agency (DLA), and whether such results are generalizable across countries. Method The cross-national survey with an overall purposeful sampling method used questionnaire data from hospital nurses from Israel (n = 239), Italy (n = 226) and Denmark (n = 709). We used validated scales measuring Empowering Leadership, Self-efficacy, Innovative Work Behavior and DLA. Results The results from all three countries showed that empowering leadership and work self-efficacy were positively related to DLA, which, in turn, was also related to more innovation. Conclusion The results may imply that nursing managers can increase workplace innovativeness by adopting an empowering leadership style that supports nurses' self-efficacy and distributes leadership tasks. Implications for Nursing Management The cross-country robustness of the results may encourage further research in distributed leadership in nurse management, notably with a focus on causal mechanisms.</t>
  </si>
  <si>
    <t>[Jonsson, Thomas Faurholt] Aarhus Univ, Aarhus Sch Business &amp; Social Sci, Dept Psychol &amp; Behav Sci, Bartholins Alle 11, DK-8000 Aarhus C, Denmark; [Bahat, Esther] Univ Haifa, Israel Acad Coll, Haifa, Israel; [Barattucci, Massimiliano] E Campus Univ, Fac Psychol, Novedrate, Italy</t>
  </si>
  <si>
    <t>Aarhus University; University of Haifa; Universita Ecampus</t>
  </si>
  <si>
    <t>Jonsson, TF (corresponding author), Aarhus Univ, Aarhus Sch Business &amp; Social Sci, Dept Psychol &amp; Behav Sci, Bartholins Alle 11, DK-8000 Aarhus C, Denmark.</t>
  </si>
  <si>
    <t>thomasj@psy.au.dk</t>
  </si>
  <si>
    <t>Barattucci, Massimiliano/C-5798-2016</t>
  </si>
  <si>
    <t>Barattucci, Massimiliano/0000-0003-2650-3661; Jonsson, Thomas Faurholt/0000-0002-9161-4459</t>
  </si>
  <si>
    <t>Velux Foundation</t>
  </si>
  <si>
    <t>Velux Foundation(Velux Fonden)</t>
  </si>
  <si>
    <t>This study was partially funded by the Velux Foundation.</t>
  </si>
  <si>
    <t>10.1111/jonm.13298</t>
  </si>
  <si>
    <t>UV9VU</t>
  </si>
  <si>
    <t>gold, Green Accepted</t>
  </si>
  <si>
    <t>WOS:000630322900001</t>
  </si>
  <si>
    <t>Fatemi, SZ; Sadeghian, S; Ganji, SFG; Johnson, LW</t>
  </si>
  <si>
    <t>Fatemi, Seyedeh Zahra; Sadeghian, Samaneh; Ganji, S. Fatemeh Ghasempour; Johnson, Lester W.</t>
  </si>
  <si>
    <t>Do different genders' knowledge sharing behaviors drive different innovative behavior? The moderating effect of social capital</t>
  </si>
  <si>
    <t>Sharing mistakes; Innovative behavior; Social capital; Knowledge sharing; Knowledge management</t>
  </si>
  <si>
    <t>PERFORMANCE; ORGANIZATIONS; ANTECEDENTS; CREATIVITY; VARIABLES; LESSONS</t>
  </si>
  <si>
    <t>Purpose Considering the importance of innovation in organizations and the formation of innovative behaviors (IBs) in the life of the organization, the authors study the effect of moderating social capital (SC) and gender in the link between knowledge sharing (KS), including sharing best practices and sharing mistakes with IB. Design/methodology/approach In this research, a random sampling method was used. A questionnaire was completed by 310 employees working in five prestigious companies in the energy sector located in Mashhad province, Iran. Findings The findings of the research indicate the influence of KS on IB. Also, SC moderates the effect of KS on IB. However, the moderating effect of gender was not significant, sharing best practices more likely to lead IB in women. Moreover, the men are more likely to show IB as they share their mistakes in comparison with women. Originality/value This research aims to break the black box on the link between employee KS and his/her own innovativeness, which is not frequently investigated. To the authors' best knowledge, there is a lack of deep empirical study that has delved into analyzing the impact of gender-groups and SC on this relation.</t>
  </si>
  <si>
    <t>[Fatemi, Seyedeh Zahra; Sadeghian, Samaneh] Tabaran Inst Higher Educ, Mashhad, Razavi Khorasan, Iran; [Ganji, S. Fatemeh Ghasempour] Ferdowsi Univ Mashhad, Mashhad, Razavi Khorasan, Iran; [Johnson, Lester W.] Swinburne Univ Technol, Melbourne, Vic, Australia</t>
  </si>
  <si>
    <t>Ferdowsi University Mashhad; Swinburne University of Technology</t>
  </si>
  <si>
    <t>Sadeghian, S (corresponding author), Tabaran Inst Higher Educ, Mashhad, Razavi Khorasan, Iran.</t>
  </si>
  <si>
    <t>Fatemi_zahra@yahoo.com; sa.sadeghian1367@gmail.com; fa.ghasempour@mail.um.ac.ir; lwjohnson@swin.edu.au</t>
  </si>
  <si>
    <t>Ganji, Seyedeh Fatemeh Ghasempour/AAP-1986-2020; sadeghian, samaneh/HKV-7184-2023</t>
  </si>
  <si>
    <t>Ganji, Seyedeh Fatemeh Ghasempour/0000-0002-4401-1209; sadeghian, samaneh/0000-0001-8571-0965; Johnson, Lester/0000-0003-3577-2804</t>
  </si>
  <si>
    <t>FEB 16</t>
  </si>
  <si>
    <t>10.1108/EJIM-07-2020-0305</t>
  </si>
  <si>
    <t>FEB 2021</t>
  </si>
  <si>
    <t>ZH0NG</t>
  </si>
  <si>
    <t>WOS:000616126300001</t>
  </si>
  <si>
    <t>Wen, QX; Wu, YX; Long, J</t>
  </si>
  <si>
    <t>Wen, Qiuxiang; Wu, Yingxuan; Long, Jing</t>
  </si>
  <si>
    <t>Influence of Ethical Leadership on Employees' Innovative Behavior: The Role of Organization-Based Self-Esteem and Flexible Human Resource Management</t>
  </si>
  <si>
    <t>ethical leadership; organization-based self-esteem; employees&amp;#8217; innovative behavior; flexible human resource management</t>
  </si>
  <si>
    <t>WORK ARRANGEMENTS; JOB-PERFORMANCE; FLEXIBILITY; ENGAGEMENT; EXCHANGE; PREDICTORS; OUTCOMES; CONTEXT</t>
  </si>
  <si>
    <t>Employees' innovative behavior is a vital source for promoting the sustainable survival and development of enterprises. Innovation is a complicated and high-risk mental process, where in each stage employees' innovative attitude and behavior will be affected by the varying behaviors of their direct leaders. Therefore, exploring the intricate relationship between leadership behavior and employees' innovative behavior is necessary. Based on social exchange theory, this study builds a cross-level moderation model to investigate the impact of ethical leadership on employees' innovative behavior and the mediating role of organization-based self-esteem and the moderating role of flexible human resource management. On the basis of a questionnaire survey of 146 supervisors and 365 subordinates in the mainland of China, the empirical results show that: (a) Ethical leadership positively affects employees' innovative behavior significantly; (b) Organization-based self-esteem has a partial mediating relationship between ethical leadership and employees' innovative behavior; and (c) flexible human resource management plays a positive moderating role in the relationship between organization-based self-esteem and employees' innovative behavior, and it also positively moderates the mediating effect of organization-based self-esteem on the relationship between ethical leadership and employees' innovative behavior. The findings reveal the internal mechanism and boundary condition of ethical leadership influencing employees' innovative behavior, which provide a reference for enterprises to encourage employees to innovate, and have important practical significance for employees to actively pursue innovative activities in the workplace.</t>
  </si>
  <si>
    <t>[Wen, Qiuxiang; Long, Jing] Nanjing Univ, Sch Business, Nanjing 210093, Peoples R China; [Wu, Yingxuan] Nanjing Univ Informat Sci &amp; Technol, Dev Inst Jiangbei New Area, Sch Business, Nanjing 210044, Peoples R China</t>
  </si>
  <si>
    <t>Nanjing University; Nanjing University of Information Science &amp; Technology</t>
  </si>
  <si>
    <t>Long, J (corresponding author), Nanjing Univ, Sch Business, Nanjing 210093, Peoples R China.;Wu, YX (corresponding author), Nanjing Univ Informat Sci &amp; Technol, Dev Inst Jiangbei New Area, Sch Business, Nanjing 210044, Peoples R China.</t>
  </si>
  <si>
    <t>qx_wenaut@163.com; yingxuanwunju@163.com; longjing@nju.edu.cn</t>
  </si>
  <si>
    <t>National Natural Science Foundation of China [71672080]</t>
  </si>
  <si>
    <t>This study was funded by the National Natural Science Foundation of China (grant number: 71672080).</t>
  </si>
  <si>
    <t>10.3390/su13031359</t>
  </si>
  <si>
    <t>QD6NH</t>
  </si>
  <si>
    <t>WOS:000615631800001</t>
  </si>
  <si>
    <t>Tian, GX; Zhang, Z</t>
  </si>
  <si>
    <t>Tian, Guixian; Zhang, Zhuo</t>
  </si>
  <si>
    <t>Linking empowering leadership to employee innovation: The mediating role of work engagement</t>
  </si>
  <si>
    <t>empowering leadership; leadership style; work engagement; employee innovation; innovative behavior; leader-follower relationship</t>
  </si>
  <si>
    <t>MODERATING ROLE; JOB RESOURCES; BEHAVIOR; CREATIVITY; PERFORMANCE; MEANINGFULNESS; MODEL</t>
  </si>
  <si>
    <t>We investigated empowering leadership as a predictor of employee innovative behavior, with work engagement as a mediator in this relationship. Data were collected from 318 employees and their supervisors in China, and we used structural equation modeling to evaluate our hypotheses. The results suggest that empowering leadership was positively related to employee innovative behavior, and that work engagement partially mediated this relationship. Our findings provide new insight into the effects of empowering leadership on employee innovation, and indicate that it is beneficial for leaders to pay attention to empowering behavior and, in doing so, consider employees' engagement at work.</t>
  </si>
  <si>
    <t>[Tian, Guixian] Zhejiang Wanli Univ, Sch Business, Ningbo, Peoples R China; [Zhang, Zhuo] Macau Univ Sci &amp; Technol, Sch Business, Macau, Peoples R China</t>
  </si>
  <si>
    <t>Zhejiang Wanli University; Macau University of Science &amp; Technology</t>
  </si>
  <si>
    <t>Zhang, Z (corresponding author), Macau Univ Sci &amp; Technol, Sch Business, Ave Wai Long, Taipa, Macao, Peoples R China.</t>
  </si>
  <si>
    <t>zzhang@must.edu.mo</t>
  </si>
  <si>
    <t>e9320</t>
  </si>
  <si>
    <t>10.2224/sbp.9320</t>
  </si>
  <si>
    <t>NZ4SB</t>
  </si>
  <si>
    <t>WOS:000577084600006</t>
  </si>
  <si>
    <t>Hu, WN; Luo, JL; Chen, ZJ; Zhong, J</t>
  </si>
  <si>
    <t>Hu, Wenan; Luo, Jinlian; Chen, Zhijun; Zhong, Jing</t>
  </si>
  <si>
    <t>Ambidextrous leaders helping newcomers get on board: Achieving adjustment and proaction through distinct pathways</t>
  </si>
  <si>
    <t>Leader ambidexterity; Newcomer adjustment; Innovative behavior; Creative self-efficacy; Role clarity</t>
  </si>
  <si>
    <t>CREATIVE SELF-EFFICACY; ORGANIZATIONAL SOCIALIZATION; MEDIATING ROLE; ANTECEDENTS; INFORMATION; PERFORMANCE; BEHAVIOR; OUTCOMES; JOB; AMBIDEXTERITY</t>
  </si>
  <si>
    <t>As they socialize into a new workplace, newcomers must pursue role adjustment and role innovation simultaneously. To facilitate their socialization, the newcomer literature must explain how organizational insiders, such as an immediate supervisor, can support newcomers in accomplishing both purposes. Drawing on the social information processing perspective, this study focuses on ambidextrous leadership, which consists of two seemingly opposite yet potentially complementary behaviors-opening and closing leadership-and investigates their interaction effect on newcomer task performance and innovative behavior. A field study based on 377 newcomers and their immediate supervisors showed that opening leadership and closing leadership exhibited a mutually strengthening interaction effect on newcomer innovation through individual creative self-efficacy. Meanwhile, the interaction effect between opening leadership and closing leadership on individual task performance was transmitted through newcomers' role clarity. Finally, we discussed the implications of our study, accordingly.</t>
  </si>
  <si>
    <t>[Hu, Wenan; Luo, Jinlian; Zhong, Jing] Tongji Univ, Sch Econ &amp; Management, 1239 Siping Rd, Shanghai 200092, Peoples R China; [Chen, Zhijun] Shanghai Univ Finance &amp; Econ, Coll Business, 100 Wudong Rd, Shanghai 200433, Peoples R China</t>
  </si>
  <si>
    <t>Tongji University; Shanghai University of Finance &amp; Economics</t>
  </si>
  <si>
    <t>Chen, ZJ (corresponding author), Shanghai Univ Finance &amp; Econ, Coll Business, 100 Wudong Rd, Shanghai 200433, Peoples R China.</t>
  </si>
  <si>
    <t>huwenan999@163.com; luojl@tjhrd.com; chen.zhijun@mail.shufe.edu.cn; zhongjing@tongji.edu.cn</t>
  </si>
  <si>
    <t>Humanities and Social Sciences of Ministry of Education Youth Planning Fund of China [20YJC630042]; Shanghai Philosophy and Social Science Foundation [2019EGL015]; China Postdoctoral Science Foundation [2019 M651593]; Natural Science Foundation of China [71772138, 71472137, 71672012]; Humanities and Social Sciences of Ministry of Education Planning Fund of China [19YJA630125]</t>
  </si>
  <si>
    <t>Humanities and Social Sciences of Ministry of Education Youth Planning Fund of China; Shanghai Philosophy and Social Science Foundation; China Postdoctoral Science Foundation(China Postdoctoral Science Foundation); Natural Science Foundation of China(National Natural Science Foundation of China (NSFC)); Humanities and Social Sciences of Ministry of Education Planning Fund of China</t>
  </si>
  <si>
    <t>This work was supported by the Humanities and Social Sciences of Ministry of Education Youth Planning Fund of China [grant number 20YJC630042]; the Shanghai Philosophy and Social Science Foundation [grant number 2019EGL015]; the China Postdoctoral Science Foundation [grant number 2019 M651593]; the Natural Science Foundation of China [grant numbers 71772138, 71472137, 71672012], and the Humanities and Social Sciences of Ministry of Education Planning Fund of China [grant number 19YJA630125]. The authors would like to thank the editor and the reviewers for their helpful suggestions.</t>
  </si>
  <si>
    <t>10.1016/j.jbusres.2020.06.064</t>
  </si>
  <si>
    <t>NK5DV</t>
  </si>
  <si>
    <t>WOS:000566752500034</t>
  </si>
  <si>
    <t>Schweisfurth, TG; Raasch, C</t>
  </si>
  <si>
    <t>Schweisfurth, Tim G.; Raasch, Christina</t>
  </si>
  <si>
    <t>Caught between the users and the firm: How does identity conflict affect employees' innovative behavior</t>
  </si>
  <si>
    <t>boundary spanner; identification; innovation; job satisfaction; user innovation</t>
  </si>
  <si>
    <t>COMMON METHOD VARIANCE; EMBEDDED LEAD USERS; SOCIAL IDENTITY; WORK BEHAVIOR; MULTIPLE IDENTITIES; ORGANIZATIONAL IDENTIFICATION; PROFESSIONAL IDENTIFICATION; RELATIONAL EMBEDDEDNESS; INDIVIDUAL INNOVATION; CUSTOMER ORIENTATION</t>
  </si>
  <si>
    <t>Absorbing external knowledge is crucial for innovation within the organization. One way of tapping external knowledge sources is to rely on employees who reach out across the firm's boundary to external stakeholders and address knowledge sets located beyond the organizational boundary. However, such employees are likely to identify with the stakeholders they reach out to which exposes them to potentially conflicting demands-with positive or negative effects for their employing organization. We investigate whether and how their dual identification with the organization and with users, and the potential identity conflicts this engenders, affects their job satisfaction and innovativeness. We study a sample of 243 employees in two industries, revealing that perceived conflict between organizational identification and user identification detracts from job satisfaction if and only if employees are strongly identified with both targets. We find also that identity conflict is indirectly and negatively related to innovative work behavior through job satisfaction. Our paper contributes to the literature on the benefits and risks of employee ties to external stakeholders. We contribute also to research on embedded users by elucidating under what conditions they are most valuable to their employing organizations.</t>
  </si>
  <si>
    <t>[Schweisfurth, Tim G.] Univ Southern Denmark, Technol Innovat &amp; Entrepreneurship, Sonderborg, Denmark; [Raasch, Christina] Kuhne Logist Univ, Hamburg, Germany</t>
  </si>
  <si>
    <t>University of Southern Denmark; Kuhne Logistics University</t>
  </si>
  <si>
    <t>Schweisfurth, TG (corresponding author), Univ Southern Denmark, Technol Innovat &amp; Entrepreneurship, Sonderborg, Denmark.</t>
  </si>
  <si>
    <t>schweisfurth@mci.sdu.dk</t>
  </si>
  <si>
    <t>Schweisfurth, Tim/P-4132-2018</t>
  </si>
  <si>
    <t>Schweisfurth, Tim/0000-0002-6774-3912</t>
  </si>
  <si>
    <t>Inproreg Interreg 5A Deutschland-Danmark [DD01-004]</t>
  </si>
  <si>
    <t>Inproreg Interreg 5A Deutschland-Danmark</t>
  </si>
  <si>
    <t>Inproreg Interreg 5A Deutschland-Danmark, Grant/Award Number: DD01-004</t>
  </si>
  <si>
    <t>10.1111/caim.12380</t>
  </si>
  <si>
    <t>MZ8AP</t>
  </si>
  <si>
    <t>WOS:000530079700001</t>
  </si>
  <si>
    <t>Kung, CW; Uen, JF; Lin, SC</t>
  </si>
  <si>
    <t>Kung Ching-Wen; Uen, Jin Feng; Lin Shou-Chi</t>
  </si>
  <si>
    <t>Ambidextrous leadership and employee innovation in public museums</t>
  </si>
  <si>
    <t>Ambidextrous leadership; Organizational climate for innovation; Innovative behavior; Public museums</t>
  </si>
  <si>
    <t>PROCEDURAL JUSTICE CLIMATE; ORGANIZATIONAL-CLIMATE; WORK; CREATIVITY; EXPLOITATION; CAPABILITIES; ANTECEDENTS; EXPLORATION; PERFORMANCE; ATTITUDES</t>
  </si>
  <si>
    <t>Purpose The purpose of this paper is to explore the impact of ambidextrous leadership on employees' innovative behaviors in public museums based on the ambidexterity theory of leadership for innovation. It also examines the mediating mechanism of organizational climate for innovation in public museums. Design/methodology/approach Multisource survey data were obtained from 30 human resource managers, 74 department managers and 237 employees of Taiwanese public museums. Multilevel path analysis was conducted to test the proposed model. Findings Ambidextrous leadership has the most significant effect on employees' innovative behaviors. Moreover, organizational climate for innovation has a mediating effect on the relationship between ambidextrous leadership and employees' innovative behaviors. Practical implications This study provides a new perspective on dynamic and complementary ambidextrous leadership, thereby providing important practical implications for innovation management in public museums. Specifically, leaders should apply ambidextrous leadership behaviors in their daily operations to develop an organizational climate for innovation and facilitate employees' innovative behaviors. Originality/value This study is the first to explore the influence of ambidextrous leadership in a museum. In addition, it examines the mediating effect of organizational climate for innovation to explain the effect of ambidextrous leadership on employees' innovative behaviors. The findings provide valuable insights for both researchers and managers of public and private entities.</t>
  </si>
  <si>
    <t>[Kung Ching-Wen; Lin Shou-Chi] Natl Sun Yat Sen Univ, Kaohsiung, Taiwan; [Uen, Jin Feng] Natl Chiao Tung Univ, Hsinchu, Taiwan</t>
  </si>
  <si>
    <t>National Sun Yat Sen University; National Yang Ming Chiao Tung University</t>
  </si>
  <si>
    <t>Lin, SC (corresponding author), Natl Sun Yat Sen Univ, Kaohsiung, Taiwan.</t>
  </si>
  <si>
    <t>cwkung@mail.nstm.gov.tw; uen@nctu.edu.tw; kimongi@hotmail.com</t>
  </si>
  <si>
    <t>JUL 21</t>
  </si>
  <si>
    <t>10.1108/CMS-05-2018-0523</t>
  </si>
  <si>
    <t>NF8VP</t>
  </si>
  <si>
    <t>WOS:000529317800001</t>
  </si>
  <si>
    <t>Cusson, RM; Meehan, C; Bourgault, A; Kelley, T</t>
  </si>
  <si>
    <t>Cusson, Regina M.; Meehan, Christine; Bourgault, Anna; Kelley, Tiffany</t>
  </si>
  <si>
    <t>Educating the next generation of nurses to be innovators and change agents</t>
  </si>
  <si>
    <t>JOURNAL OF PROFESSIONAL NURSING</t>
  </si>
  <si>
    <t>Innovation; Health care innovation; Nursing education; Nursing practice; Innovative behaviors; Nursing leadership</t>
  </si>
  <si>
    <t>LEADERS</t>
  </si>
  <si>
    <t>With over 4 million nurses in the United States and an ever changing health care environment, undergraduate nursing faculty must consider proactively educating students on essential principles of innovation within the core curriculum. New nurses must be prepared to identify and facilitate innovations to enhance patient and populations outcomes. The purpose of this paper is to describe an approach to prepare the next generation of registered nurses to be innovators and change agents through a Health Care Innovation Program within an undergraduate nursing program. The paper describes the importance of innovations within nursing and provides details on the curriculum and approach used to incorporate health care innovations content and application. Examples of health care innovation student projects are provided. An evaluation of the program after three years of implementation assessed graduates' use of taught innovation principles and their own innovative behaviors. The majority of graduates described using innovation principles taught in the Program and scored high on innovation self-efficacy. Graduates with higher average innovation scores were more likely to engage in innovative behavior. A national conversation is encouraged to ensure our educational programs are effectively preparing the future generation of nurses to be innovators and change agents.</t>
  </si>
  <si>
    <t>[Cusson, Regina M.; Meehan, Christine; Bourgault, Anna; Kelley, Tiffany] Univ Connecticut, Sch Nursing, U-4026, Storrs, CT 06269 USA</t>
  </si>
  <si>
    <t>University of Connecticut</t>
  </si>
  <si>
    <t>Cusson, RM (corresponding author), Univ Connecticut, Sch Nursing, U-4026, Storrs, CT 06269 USA.</t>
  </si>
  <si>
    <t>Regina.Cusson@UConn.edu</t>
  </si>
  <si>
    <t>Kelley, Tiffany/0000-0002-8220-3084</t>
  </si>
  <si>
    <t>VentureWell Foundation's Faculty Grants program [15444-16]; University of Connecticut Vice-President for Research's Scholarship Facilitation Fund [4636540]</t>
  </si>
  <si>
    <t>VentureWell Foundation's Faculty Grants program; University of Connecticut Vice-President for Research's Scholarship Facilitation Fund</t>
  </si>
  <si>
    <t>This work was supported by the VentureWell Foundation's Faculty Grants program (Grant #15444-16) and by the University of Connecticut Vice-President for Research's Scholarship Facilitation Fund (Grant #4636540). We thank them for their support.</t>
  </si>
  <si>
    <t>8755-7223</t>
  </si>
  <si>
    <t>1532-8481</t>
  </si>
  <si>
    <t>J PROF NURS</t>
  </si>
  <si>
    <t>J. Prof. Nurs.</t>
  </si>
  <si>
    <t>10.1016/j.profnurs.2019.07.004</t>
  </si>
  <si>
    <t>LG0TA</t>
  </si>
  <si>
    <t>WOS:000527823200003</t>
  </si>
  <si>
    <t>Guillen, L; Kunze, F</t>
  </si>
  <si>
    <t>Guillen, Laura; Kunze, Florian</t>
  </si>
  <si>
    <t>When age does not harm innovative behavior and perceptions of competence: Testing interdepartmental collaboration as a social buffer</t>
  </si>
  <si>
    <t>age; age stereotypes; innovative behavior; interdepartmental collaboration; performance appraisal; promotability</t>
  </si>
  <si>
    <t>RADICAL INNOVATION; PERFORMANCE-EVALUATION; FAIRNESS PERCEPTIONS; COMMON STEREOTYPES; OLDER WORKERS; KNOWLEDGE; CREATIVITY; EXPERIENCE; COMMUNICATION; LEADERSHIP</t>
  </si>
  <si>
    <t>Can older managers overcome stereotypes relating age to low competence? We integrate the literature on age and cognitive ability with research on innovation to explore whether-and if so, when-employees' age harms performance and promotability appraisals made by their supervisors. Multisource, time-lag data from 305 project managers indicate that the negative stereotypes can be explained through decreased innovative behavior. However, older employees are not always seen as poorer performers with less potential to be promoted due to their reduced innovative behavior. Rather, interdepartmental collaboration moderates these effects. Specifically, older employees with low interdepartmental collaboration are less innovative and receive worse performance and promotability appraisals than younger employees, but the age handicap vanishes when older employees collaborate with members of other departments. Organizations should foster formal or informal collaboration among units to prevent negative consequences of an aging workforce.</t>
  </si>
  <si>
    <t>[Guillen, Laura] ESMT Berlin, Org Behav, Berlin, Germany; [Kunze, Florian] Univ Konstanz, Org Studies, Constance, Germany</t>
  </si>
  <si>
    <t>European School of Management &amp; Technology; University of Konstanz</t>
  </si>
  <si>
    <t>Guillen, L (corresponding author), ESMT Berlin, Schlosspl 1, D-10178 Berlin, Germany.</t>
  </si>
  <si>
    <t>laura.guillen@esmt.org</t>
  </si>
  <si>
    <t>Guillén, Laura/ABF-4465-2020</t>
  </si>
  <si>
    <t>Guillen, Laura/0000-0003-1945-2923</t>
  </si>
  <si>
    <t>10.1002/hrm.21953</t>
  </si>
  <si>
    <t>HW0NR</t>
  </si>
  <si>
    <t>WOS:000466378600005</t>
  </si>
  <si>
    <t>Liu, F; Chow, IHS; Gong, YY; Wang, H</t>
  </si>
  <si>
    <t>Liu, Fang; Chow, Irene Hau-Siu; Gong, Yuanyuan; Wang, Hao</t>
  </si>
  <si>
    <t>Mediating links between HRM bundle and individual innovative behavior</t>
  </si>
  <si>
    <t>HRM bundle; psychological empowerment; perceived organizational support; individual innovative behavior; mediating links</t>
  </si>
  <si>
    <t>PERFORMANCE WORK SYSTEMS; PERCEIVED ORGANIZATIONAL SUPPORT; RESOURCE MANAGEMENT-PRACTICES; SOCIAL-EXCHANGE; PSYCHOLOGICAL EMPOWERMENT; EMPLOYEE CREATIVITY; IMPACT; WORKPLACE; MODEL; RECIPROCATION</t>
  </si>
  <si>
    <t>Using multi-level analysis, the present study proposes that psychological empowerment and perceived organizational support serve as mediators of the effects of human resource management (HRM) bundle on individual innovative behavior. We tested the model using data from 705 employees of 162 firms in China. The results revealed that both psychological empowerment and perceived organizational support partially mediate the relationship between HRM bundle and individual innovative behavior. This study contributes to the understanding of how HRM bundle impact on individual innovative behavior.</t>
  </si>
  <si>
    <t>[Liu, Fang] Guangzhou Univ, Sch Business, Guangzhou, Guangdong, Peoples R China; [Chow, Irene Hau-Siu] Hang Seng Management Coll, Dept Mkt &amp; Management, Shatin, Hong Kong, Peoples R China; [Gong, Yuanyuan] Nanjing Univ, Sch Business, Nanjing, Jiangsu, Peoples R China; [Wang, Hao] South China Agr Univ, Coll Econ &amp; Management, Guangzhou, Guangdong, Peoples R China</t>
  </si>
  <si>
    <t>Guangzhou University; Hang Seng University of Hong Kong; Nanjing University; South China Agricultural University</t>
  </si>
  <si>
    <t>Liu, F (corresponding author), Guangzhou Univ, Sch Business, Guangzhou, Guangdong, Peoples R China.</t>
  </si>
  <si>
    <t>l_fang@foxmail.com</t>
  </si>
  <si>
    <t>Ministry of Education in China Project of Humanities and Social Sciences [15YJC630072]; PhD Start-up Fund of Natural Science Foundation of Guangdong Province, China [2015A030310192]; National Natural Science Foundation of China [71502078]</t>
  </si>
  <si>
    <t>Ministry of Education in China Project of Humanities and Social Sciences; PhD Start-up Fund of Natural Science Foundation of Guangdong Province, China(National Natural Science Foundation of China (NSFC)); National Natural Science Foundation of China(National Natural Science Foundation of China (NSFC))</t>
  </si>
  <si>
    <t>This research was supported by the Ministry of Education in China Project of Humanities and Social Sciences (grant no. 15YJC630072), the PhD Start-up Fund of Natural Science Foundation of Guangdong Province, China (grant no. 2015A030310192), and the National Natural Science Foundation of China (grant no. 71502078).</t>
  </si>
  <si>
    <t>10.1017/jmo.2016.47</t>
  </si>
  <si>
    <t>WOS:000459894400010</t>
  </si>
  <si>
    <t>Zhang, Y; Zhang, J; Forest, J; Chen, CX</t>
  </si>
  <si>
    <t>Zhang, Ying; Zhang, Jian; Forest, Jacques; Chen, Chunxiao</t>
  </si>
  <si>
    <t>The Negative and Positive Aspects of Employees' Innovative Behavior: Role of Goals of Employees and Supervisors</t>
  </si>
  <si>
    <t>innovative behaviors; relationship conflict; in-role job performance; extrinsic goals; performance goals</t>
  </si>
  <si>
    <t>SELF-DETERMINATION THEORY; JOB-PERFORMANCE; ACHIEVEMENT GOALS; LIFE GOALS; DARK SIDE; EXTRINSIC GOALS; AMERICAN-DREAM; TASK CONFLICT; CREATIVITY; ORIENTATIONS</t>
  </si>
  <si>
    <t>We aim to examine the negative (relationship conflict) and positive (in-role job performance) outcomes of employees' innovative behavior and explore the moderation effect of employees' goal content and supervisors' achievement goal orientation in these relationships. Data from 218 employees and their immediate supervisors were collected in companies in China and results show that employees' innovative behaviors are positively related to their relationship conflict and in-role job performance, and employees' extrinsic goals and supervisors' performance goal moderate these relationships. Specifically, employees' innovative behaviors were significantly and positively related to relationship conflict when either employees have high extrinsic goals or supervisor have high performance goals or both; and when supervisor have low level of performance goals, employees' innovative behaviors were significantly and positively related to their in-role job performance. We contribute in showing when there are positive and negative outcomes of employees' innovative behaviors and document the effect of moderating factors that may strengthen these benefits and lower the conflicts.</t>
  </si>
  <si>
    <t>[Zhang, Ying; Zhang, Jian; Chen, Chunxiao] Univ Sci &amp; Technol Beijing, Donlinks Sch Econ &amp; Management, Beijing, Peoples R China; [Forest, Jacques] Univ Quebec Montreal, Dept Org &amp; Human Resource Management, Montreal, PQ, Canada</t>
  </si>
  <si>
    <t>University of Science &amp; Technology Beijing; University of Quebec; University of Quebec Montreal</t>
  </si>
  <si>
    <t>Zhang, J (corresponding author), Univ Sci &amp; Technol Beijing, Donlinks Sch Econ &amp; Management, Beijing, Peoples R China.</t>
  </si>
  <si>
    <t>zhangj67@manage.ustb.edu.cn</t>
  </si>
  <si>
    <t>Natural Science Foundation of China [71771022]; Ministry of Education of Humanities and Social Science Project [15YJA630099]; China Scholarship Council (CSC)</t>
  </si>
  <si>
    <t>Natural Science Foundation of China(National Natural Science Foundation of China (NSFC)); Ministry of Education of Humanities and Social Science Project; China Scholarship Council (CSC)(China Scholarship Council)</t>
  </si>
  <si>
    <t>The research was supported by grants from the Natural Science Foundation of China (Project Number #71771022), the Ministry of Education of Humanities and Social Science Project (Project Number #15YJA630099), and the YZ also received the grant from China Scholarship Council (CSC).</t>
  </si>
  <si>
    <t>10.3389/fpsyg.2018.01871</t>
  </si>
  <si>
    <t>GV4XH</t>
  </si>
  <si>
    <t>WOS:000446104300001</t>
  </si>
  <si>
    <t>McKiernan, P</t>
  </si>
  <si>
    <t>McKiernan, Peter</t>
  </si>
  <si>
    <t>Prospective thinking; scenario planning meets neuroscience</t>
  </si>
  <si>
    <t>Conference on Improving Scenario Methodology - Theory and Practice</t>
  </si>
  <si>
    <t>DEC 14-15, 2015</t>
  </si>
  <si>
    <t>Warwick Business Sch, Coventry, ENGLAND</t>
  </si>
  <si>
    <t>Warwick Business Sch</t>
  </si>
  <si>
    <t>CONSTRUCTIVE EPISODIC SIMULATION; COGNITIVE NEUROSCIENCE; INNOVATIVE BEHAVIOR; FUTURE; MEMORY; MANAGEMENT; STRATEGY; PERCEPTIONS; EVOLUTION; EVENTS</t>
  </si>
  <si>
    <t>The Intuitive Logics (IL) scenario planning process is grounded in the work of Hermann Kahn and Pierre Wack in the 1960s and 1970s. Its broad adoption and sustained use over 50 years have taken it beyond the typical management fashion or fad. It has helped shape the strategies of many types of institutions and organisations. The process encourages individuals to recall past events and to imagine future happenings. But, little is known about neither how they do this nor the contextual conditions that shape how they do it and how they might do it better. Recent developments in cognitive psychology and neuroscience have had success in several management domains e.g., marketing, information systems, leadership, economics and finance. However, little attention has been paid to their application in strategic management and, in particular, in scenario planning. The paper provides a critical coverage of the pertinent cognitive sciences literature and explores opportunities for co-joint research between scenario planners and cognitive psychologists that might help to further foster and support the IL process. (C) 2016 Published by Elsevier Inc.</t>
  </si>
  <si>
    <t>[McKiernan, Peter] Univ Strathclyde, Glasgow, Lanark, Scotland</t>
  </si>
  <si>
    <t>University of Strathclyde</t>
  </si>
  <si>
    <t>McKiernan, P (corresponding author), Univ Strathclyde, Glasgow, Lanark, Scotland.</t>
  </si>
  <si>
    <t>McKiernan, Peter/0000-0002-0205-9124</t>
  </si>
  <si>
    <t>10.1016/j.techfore.2016.10.069</t>
  </si>
  <si>
    <t>FK3KP</t>
  </si>
  <si>
    <t>WOS:000413384300007</t>
  </si>
  <si>
    <t>Stea, D; Pedersen, T</t>
  </si>
  <si>
    <t>Stea, Diego; Pedersen, Torben</t>
  </si>
  <si>
    <t>Not all brokers are alike: Creative implications of brokering networks in different work functions</t>
  </si>
  <si>
    <t>creativity; environmental stressor; research and development; social network</t>
  </si>
  <si>
    <t>SOCIAL NETWORKS; INFORMATION OVERLOAD; INNOVATIVE BEHAVIOR; SELF-DETERMINATION; STRUCTURAL HOLES; PERFORMANCE; MOTIVATION; ATTENTION; KNOWLEDGE; NOISE</t>
  </si>
  <si>
    <t>Brokers are expected to be more creative than employees embedded in closed social structures because they occupy a position in the social space that provides them with access to non-redundant knowledge. However, the extant research provides partly inconsistent findings on the creative implications of brokerage, which raises important questions about when and how brokering between otherwise disconnected colleagues leads to individual creativity. We advance the relational perspective on individual creativity by adopting a contingency view, and showing that a curvilinear ( inverted U-shape) specification of the relationship between brokerage and creativity applies particularly when brokers work in research and development, as they are more likely to intensively exploit their structural opportunities. In addition, we show that brokers who work in research and development are more sensitive to work environments that protect their cognitive resources, such that they exhibit greater creativity when the work environment is free from environmental stressors, such as noise and disturbances. Thus, environmental stressors are particularly harmful for those employees who are most likely to exploit the opportunity to broker across otherwise disconnected colleagues.</t>
  </si>
  <si>
    <t>[Stea, Diego] Copenhagen Business Sch, Dept Strateg Management &amp; Globalizat, Kilevej 14, DK-2000 Frederiksberg, Denmark; [Pedersen, Torben] Bocconi Univ, Dept Management &amp; Technol, Milan, Italy</t>
  </si>
  <si>
    <t>Copenhagen Business School; Bocconi University</t>
  </si>
  <si>
    <t>Stea, D (corresponding author), Copenhagen Business Sch, Dept Strateg Management &amp; Globalizat, Kilevej 14, DK-2000 Frederiksberg, Denmark.</t>
  </si>
  <si>
    <t>ds.smg@cbs.dk; torben.pedersen@unibocconi.it</t>
  </si>
  <si>
    <t>Pedersen, Torben/N-2934-2017</t>
  </si>
  <si>
    <t>Pedersen, Torben/0000-0001-7541-9365; Stea, Diego/0000-0003-0289-4151</t>
  </si>
  <si>
    <t>10.1177/0018726716672921</t>
  </si>
  <si>
    <t>EW9NC</t>
  </si>
  <si>
    <t>WOS:000402845500002</t>
  </si>
  <si>
    <t>Arbilly, M; Laland, KN</t>
  </si>
  <si>
    <t>Arbilly, Michal; Laland, Kevin N.</t>
  </si>
  <si>
    <t>The magnitude of innovation and its evolution in social animals</t>
  </si>
  <si>
    <t>innovation; creativity; cognition; social learning</t>
  </si>
  <si>
    <t>PROBLEM-SOLVING PERFORMANCE; RANK; INTELLIGENCE; INDIVIDUALS; COEVOLUTION; NEOPHOBIA; ABILITY; SEX; AGE</t>
  </si>
  <si>
    <t>Innovative behaviour in animals, ranging from invertebrates to humans, is increasingly recognized as an important topic for investigation by behavioural researchers. However, what constitutes an innovation remains controversial, and difficult to quantify. Drawing on a broad definition whereby any behaviour with a new component to it is an innovation, we propose a quantitative measure, which we call the magnitude of innovation, to describe the extent to which an innovative behaviour is novel. This allows us to distinguish between innovations that are a slight change to existing behaviours (low magnitude), and innovations that are substantially different (high magnitude). Using mathematical modelling and evolutionary computer simulations, we explored how aspects of social interaction, cognition and natural selection affect the frequency and magnitude of innovation. We show that high-magnitude innovations are likely to arise regularly even if the frequency of innovation is low, as long as this frequency is relatively constant, and that the selectivity of social learning and the existence of social rewards, such as prestige and royalties, are crucial for innovative behaviour to evolve. We suggest that consideration of the magnitude of innovation may prove a useful tool in the study of the evolution of cognition and of culture.</t>
  </si>
  <si>
    <t>[Arbilly, Michal] Emory Univ, Dept Biol, Atlanta, GA 30322 USA; [Laland, Kevin N.] Univ St Andrews, Sch Biol, Harold Mitchell Bldg, St Andrews KY16 9TH, Fife, Scotland</t>
  </si>
  <si>
    <t>Emory University; RLUK- Research Libraries UK; University of St Andrews</t>
  </si>
  <si>
    <t>Arbilly, M (corresponding author), Emory Univ, Dept Biol, Atlanta, GA 30322 USA.</t>
  </si>
  <si>
    <t>michalarbilly@gmail.com</t>
  </si>
  <si>
    <t>Laland, Kevin N/C-9482-2011</t>
  </si>
  <si>
    <t>Lala, Kevin/0000-0002-2457-0900</t>
  </si>
  <si>
    <t>John Templeton Foundation</t>
  </si>
  <si>
    <t>The study was funded by The John Templeton Foundation.</t>
  </si>
  <si>
    <t>FEB 8</t>
  </si>
  <si>
    <t>10.1098/rspb.2016.2385</t>
  </si>
  <si>
    <t>EK2IC</t>
  </si>
  <si>
    <t>Bronze, Green Published</t>
  </si>
  <si>
    <t>WOS:000393750000013</t>
  </si>
  <si>
    <t>Bosi, F; Misseroni, D; Dal Corso, F; Neukirch, S; Bigoni, D</t>
  </si>
  <si>
    <t>Bosi, F.; Misseroni, D.; Dal Corso, F.; Neukirch, S.; Bigoni, D.</t>
  </si>
  <si>
    <t>Asymptotic self-restabilization of a continuous elastic structure</t>
  </si>
  <si>
    <t>PHYSICAL REVIEW E</t>
  </si>
  <si>
    <t>INSTABILITY</t>
  </si>
  <si>
    <t>A challenge in soft robotics and soft actuation is the determination of an elastic system that spontaneously recovers its trivial path during postcritical deformation after a bifurcation. The interest in this behavior is that a displacement component spontaneously cycles around a null value, thus producing a cyclic soft mechanism. An example of such a system is theoretically proven through the solution of the elastica and a stability analysis based on dynamic perturbations. It is shown that the asymptotic self-restabilization is driven by the development of a configurational force, of similar nature to the Peach-Koehler interaction between dislocations in crystals, which is derived from the principle of least action. A proof-of-concept prototype of the discovered elastic system is designed, realized, and tested, showing that this innovative behavior can be obtained in a real mechanical apparatus.</t>
  </si>
  <si>
    <t>[Bosi, F.; Misseroni, D.; Dal Corso, F.; Bigoni, D.] Univ Trento, DICAM, Via Mesiano 77, I-38123 Trento, Italy; [Neukirch, S.] UPMC Univ Paris 06, Sorbonne Univ, CNRS, Inst Jean Rond Alembert,UMR 7190, F-75005 Paris, France</t>
  </si>
  <si>
    <t>University of Trento; Centre National de la Recherche Scientifique (CNRS); CNRS - Institute for Engineering &amp; Systems Sciences (INSIS); UDICE-French Research Universities; Sorbonne Universite</t>
  </si>
  <si>
    <t>Bigoni, D (corresponding author), Univ Trento, DICAM, Via Mesiano 77, I-38123 Trento, Italy.</t>
  </si>
  <si>
    <t>bigoni@unitn.it</t>
  </si>
  <si>
    <t>Bosi, Federico/AAY-1166-2020; Misseroni, Diego/G-7695-2014; Dal Corso, Francesco/A-2636-2011</t>
  </si>
  <si>
    <t>Bosi, Federico/0000-0002-3638-5307; Dal Corso, Francesco/0000-0001-9045-8418; Misseroni, Diego/0000-0002-7375-671X</t>
  </si>
  <si>
    <t>ERC [ERC-2013-AdG-340561-INSTABILITIES]; french Agence Nationale de la Recherche [ANR-14-CE07-0023]</t>
  </si>
  <si>
    <t>ERC(European Research Council (ERC)European Commission); french Agence Nationale de la Recherche(French National Research Agency (ANR))</t>
  </si>
  <si>
    <t>The authors gratefully acknowledge financial support from the ERC, Advanced Grant Instabilities and nonlocal multiscale modeling of materials No. ERC-2013-AdG-340561-INSTABILITIES (2014-2019). S.N. also acknowledges funding from the french Agence Nationale de laRecherche (Grant No. ANR-14-CE07-0023).</t>
  </si>
  <si>
    <t>AMER PHYSICAL SOC</t>
  </si>
  <si>
    <t>COLLEGE PK</t>
  </si>
  <si>
    <t>ONE PHYSICS ELLIPSE, COLLEGE PK, MD 20740-3844 USA</t>
  </si>
  <si>
    <t>2470-0045</t>
  </si>
  <si>
    <t>2470-0053</t>
  </si>
  <si>
    <t>PHYS REV E</t>
  </si>
  <si>
    <t>Phys. Rev. E</t>
  </si>
  <si>
    <t>10.1103/PhysRevE.94.063005</t>
  </si>
  <si>
    <t>Physics, Fluids &amp; Plasmas; Physics, Mathematical</t>
  </si>
  <si>
    <t>Physics</t>
  </si>
  <si>
    <t>EG4MN</t>
  </si>
  <si>
    <t>WOS:000391018500013</t>
  </si>
  <si>
    <t>Yamazaki, Y; Hikishima, K; Saiki, M; Inada, M; Sasaki, E; Lemon, RN; Price, CJ; Okano, H; Iriki, A</t>
  </si>
  <si>
    <t>Yamazaki, Y.; Hikishima, K.; Saiki, M.; Inada, M.; Sasaki, E.; Lemon, R. N.; Price, C. J.; Okano, H.; Iriki, A.</t>
  </si>
  <si>
    <t>Neural changes in the primate brain correlated with the evolution of complex motor skills</t>
  </si>
  <si>
    <t>SCIENTIFIC REPORTS</t>
  </si>
  <si>
    <t>MIDDLE TEMPORAL AREA; TOOL-USE; INTRINSIC MOTIVATION; COHERENT MOTION; NEURONS; CORTEX; PERFORMANCE; MARMOSETS; MONKEYS; MODEL</t>
  </si>
  <si>
    <t>Complex motor skills of eventual benefit can be learned after considerable trial and error. What do structural brain changes that accompany such effortful long-term learning tell us about the mechanisms for developing innovative behavior? Using MRI, we monitored brain structure before, during and after four marmosets learnt to use a rake, over a long period of 10-13 months. Throughout learning, improvements in dexterity and visuo-motor co-ordination correlated with increased volume in the lateral extrastriate cortex. During late learning, when the most complex behavior was maintained by sustained motivation to acquire the skill, the volume of the nucleus accumbens increased. These findings reflect the motivational state required to learn, and show accelerated function in higher visual cortex that is consistent with neurocognitive divergence across a spectrum of primate species.</t>
  </si>
  <si>
    <t>[Yamazaki, Y.] Keio Univ, Adv Res Ctr, Shinjuku Ku, 35 Shinanomachi, Tokyo 1608582, Japan; [Yamazaki, Y.; Saiki, M.; Inada, M.; Iriki, A.] RIKEN, Brain Sci Inst, Lab Symbol Cognit Dev, 2-1 Hirosawa, Wako, Saitama 3510198, Japan; [Hikishima, K.; Sasaki, E.; Okano, H.] Keio Univ, Sch Med, Dept Physiol, Shinjuku Ku, 35 Shinanomachi, Tokyo 1608582, Japan; [Hikishima, K.; Sasaki, E.] Cent Inst Expt Anim, Kawasaki Ku, 3-25-12 Tonomachi, Kawasaki, Kanagawa 2100821, Japan; [Lemon, R. N.] UCL Inst Neurol, Sobell Dept Motor Neurosci &amp; Movement Disorders, London WC1N 3BG, England; [Price, C. J.] UCL, Wellcome Trust Ctr Neuroimaging, London WC1N 3BG, England; [Okano, H.] RIKEN, Brain Sci Inst, Lab Marmoset Neural Architecture, 2-1 Hirosawa, Wako, Saitama 3510198, Japan</t>
  </si>
  <si>
    <t>Keio University; RIKEN; Keio University; RLUK- Research Libraries UK; University of London; University College London; RLUK- Research Libraries UK; University of London; University College London; RIKEN</t>
  </si>
  <si>
    <t>Iriki, A (corresponding author), RIKEN, Brain Sci Inst, Lab Symbol Cognit Dev, 2-1 Hirosawa, Wako, Saitama 3510198, Japan.;Okano, H (corresponding author), Keio Univ, Sch Med, Dept Physiol, Shinjuku Ku, 35 Shinanomachi, Tokyo 1608582, Japan.;Okano, H (corresponding author), RIKEN, Brain Sci Inst, Lab Marmoset Neural Architecture, 2-1 Hirosawa, Wako, Saitama 3510198, Japan.</t>
  </si>
  <si>
    <t>hidokano@a2.keio.jp; iriki@brain.riken.jp</t>
  </si>
  <si>
    <t>Okano, Hideyuki/I-7584-2019; Okano, Hideyuki/X-9131-2019; Hikishima, Keigo/AAP-9586-2020; Hikishima, Keigo/L-1202-2013</t>
  </si>
  <si>
    <t>Okano, Hideyuki/0000-0001-7482-5935; Hikishima, Keigo/0000-0003-1133-1297; Hikishima, Keigo/0000-0003-1133-1297; Yamazaki, Yumiko/0000-0002-7407-2117</t>
  </si>
  <si>
    <t>Funding Program for World-leading Innovative R&amp;D on Science and Technology (FIRST) from Ministry of Education, Culture, Sports, Science, and Technology of Japan (MEXT); Brain Mapping by Integrated Neurotechnologies for Disease Studies (Brain/MINDS) from Ministry of Education, Culture, Sports, Science, and Technology of Japan (MEXT); Japan Agency for Medical Research and Development, AMED, at RIKEN, Japan</t>
  </si>
  <si>
    <t>Funding Program for World-leading Innovative R&amp;D on Science and Technology (FIRST) from Ministry of Education, Culture, Sports, Science, and Technology of Japan (MEXT); Brain Mapping by Integrated Neurotechnologies for Disease Studies (Brain/MINDS) from Ministry of Education, Culture, Sports, Science, and Technology of Japan (MEXT); Japan Agency for Medical Research and Development, AMED, at RIKEN, Japan(Japan Agency for Medical Research and Development (AMED))</t>
  </si>
  <si>
    <t>This work was supported by the Funding Program for World-leading Innovative R&amp;D on Science and Technology (FIRST) and Brain Mapping by Integrated Neurotechnologies for Disease Studies (Brain/MINDS) from Ministry of Education, Culture, Sports, Science, and Technology of Japan (MEXT), and the Japan Agency for Medical Research and Development, AMED, at RIKEN, Japan.</t>
  </si>
  <si>
    <t>2045-2322</t>
  </si>
  <si>
    <t>SCI REP-UK</t>
  </si>
  <si>
    <t>Sci Rep</t>
  </si>
  <si>
    <t>AUG 8</t>
  </si>
  <si>
    <t>10.1038/srep31084</t>
  </si>
  <si>
    <t>DS8CH</t>
  </si>
  <si>
    <t>WOS:000381009900002</t>
  </si>
  <si>
    <t>Chen, IS</t>
  </si>
  <si>
    <t>Chen, I-Shuo</t>
  </si>
  <si>
    <t>Examining the linkage between creative self-efficacy and work engagement The moderating role of openness to experience</t>
  </si>
  <si>
    <t>Employee relations; Employee attitudes; Job satisfaction</t>
  </si>
  <si>
    <t>BIG-5 PERSONALITY DOMAINS; DEMANDS-RESOURCES MODEL; SOCIAL COGNITIVE THEORY; JOB DEMANDS; EMPLOYEE CREATIVITY; TRANSFORMATIONAL LEADERSHIP; INDIVIDUAL-DIFFERENCES; INNOVATIVE BEHAVIOR; SECONDARY STUDENTS; PERFORMANCE</t>
  </si>
  <si>
    <t>Purpose - The purpose of this paper is to examine the relationship between creative self-efficacy and work engagement using openness to experience as a moderator. The theoretical background is rooted in the resource perspective of the job demands-resources model (JD-R model) of work engagement. Design/methodology/approach - The developed hypotheses were tested in a study of 101 faculty members from a science and technology institute in the USA. Hierarchical regression analysis was used to analyze the data. Findings - The results supported a positive effect of creative self-efficacy on work engagement but did not support a moderating effect of openness to experience on the relationship between creative self-efficacy and work engagement. Originality/value - This study introduces the context of creativity into the work engagement and JD-R model fields. Specifically, through the resource perspective of the JD-R model, it theoretically and empirically extends the contribution and explanatory ability of personal resources to the improvement of work engagement.</t>
  </si>
  <si>
    <t>[Chen, I-Shuo] Wuhan Univ, Wuhan, Peoples R China</t>
  </si>
  <si>
    <t>Wuhan University</t>
  </si>
  <si>
    <t>Chen, IS (corresponding author), Wuhan Univ, Wuhan, Peoples R China.</t>
  </si>
  <si>
    <t>stevencis@163.com</t>
  </si>
  <si>
    <t>10.1108/BJM-04-2015-0107</t>
  </si>
  <si>
    <t>EA7DL</t>
  </si>
  <si>
    <t>WOS:000386788900008</t>
  </si>
  <si>
    <t>Hernandez-Lara, AB; Camelo-Ordaz, C; Valle-Cabrera, R</t>
  </si>
  <si>
    <t>Hernandez-Lara, Ana B.; Camelo-Ordaz, Carmen; Valle-Cabrera, Ramon</t>
  </si>
  <si>
    <t>Does board member stock ownership influence the effect of board composition on innovation?</t>
  </si>
  <si>
    <t>corporate governance; boards of directors; board composition; ownership concentration; innovation</t>
  </si>
  <si>
    <t>CORPORATE GOVERNANCE; INTERNAL GOVERNANCE; PERFORMANCE; DIRECTORS; MANAGEMENT; IMPACT; SIZE; FIRMS; ENTREPRENEURSHIP; INVOLVEMENT</t>
  </si>
  <si>
    <t>This study analyses the influence of board composition on companies' innovation in the Spanish corporate governance system. Drawing from a multi-theoretical perspective, the analysis shows the moderating effect of board member stock ownership on the relationship between board composition and innovation. Using secondary data from a sample of Spanish-quoted companies in technology industries over the 2003-2005 period, the findings demonstrate that board composition influences the innovative behaviour of firms, and that this influence is also conditioned by directors' stock ownership because directors' attitude towards innovation could vary depending on their power and on how many shares they own. These results confirm that innovation increases in firms whose boards have a high proportion of affiliated directors with significant stock ownership. This study also makes some important contributions towards creating a more effective board that can shape companies' strategic orientation, highlighting the need to consider the joint impact of board composition and ownership concentration.</t>
  </si>
  <si>
    <t>[Hernandez-Lara, Ana B.] Univ Rovira &amp; Virgili, Dept Business Management, Reus 43204, Spain; [Camelo-Ordaz, Carmen] Univ Cadiz, Business Dept, Cadiz 11002, Spain; [Valle-Cabrera, Ramon] Pablo de Olavide Univ, Business Dept, Seville 41013, Spain</t>
  </si>
  <si>
    <t>Universitat Rovira i Virgili; Universidad de Cadiz; Universidad Pablo de Olavide</t>
  </si>
  <si>
    <t>Hernandez-Lara, AB (corresponding author), Univ Rovira &amp; Virgili, Dept Business Management, Av Univ 1, Reus 43204, Spain.</t>
  </si>
  <si>
    <t>anabeatriz.hernandez@urv.cat; maricarmen.camelo@uca.es; rvalcab@upo.es</t>
  </si>
  <si>
    <t>Hernández-Lara, Ana Beatriz/U-1425-2019; Hernández-Lara, Ana Beatriz/F-7824-2016; Camelo-Ordaz, Carmen/L-6459-2014</t>
  </si>
  <si>
    <t>Hernández-Lara, Ana Beatriz/0000-0002-8110-9328; Hernández-Lara, Ana Beatriz/0000-0002-8110-9328; Camelo-Ordaz, Carmen/0000-0002-7591-219X</t>
  </si>
  <si>
    <t>10.1504/EJIM.2014.062956</t>
  </si>
  <si>
    <t>AM2JJ</t>
  </si>
  <si>
    <t>WOS:000339676500001</t>
  </si>
  <si>
    <t>Nemerzitski, S; Loogma, K; Heinla, E; Eisenschmidt, E</t>
  </si>
  <si>
    <t>Nemerzitski, S.; Loogma, K.; Heinla, E.; Eisenschmidt, E.</t>
  </si>
  <si>
    <t>Constructing model of teachers' innovative behaviour in school environment</t>
  </si>
  <si>
    <t>TEACHERS AND TEACHING</t>
  </si>
  <si>
    <t>innovative behaviour; school environment; self-efficacy; teaching practices; TALIS; professional development of teachers; social innovation</t>
  </si>
  <si>
    <t>SOCIAL INNOVATION; EFFICACY</t>
  </si>
  <si>
    <t>Teachers' innovative behaviour influences not only their teaching practices and professional habits, but also has an impact on students' creation of novel and original ideas. In spite of the increasing demand for innovative behaviour, and also relatively high academic achievements of Estonian students in international comparison, teachers in Estonia often do not use innovative teaching practices, according to Teaching and Learning International Survey (TALIS). This study explores possible school environmental factors that may support the innovative behaviour of teachers. A model, where self-efficacy as a trait and different types of teaching practices as behaviour, are components of the model of teachers' innovative behaviour. It is supposed that teachers' innovative behaviour appears in school environments and may be supported by the following factors: interaction and involvement, need and freedom for innovation. The study is carried out as a secondary data analysis, based on a sample of TALIS survey. The results indicate that although the three factors mentioned do not constitute the integrated phenomenon, they do describe different aspects of a teachers' innovative behaviour.</t>
  </si>
  <si>
    <t>[Nemerzitski, S.] Tallinn Univ, EE-10120 Tallinn, Estonia; [Loogma, K.] Tallinn Univ, Ctr Educ Res, EE-10120 Tallinn, Estonia; [Heinla, E.] Tallinn Univ, Dept Appl Creat, EE-10120 Tallinn, Estonia; [Eisenschmidt, E.] Tallinn Univ, Haapsalu Coll, EE-10120 Tallinn, Estonia</t>
  </si>
  <si>
    <t>Tallinn University; Tallinn University; Tallinn University; Tallinn University</t>
  </si>
  <si>
    <t>Nemerzitski, S (corresponding author), Tallinn Univ, EE-10120 Tallinn, Estonia.</t>
  </si>
  <si>
    <t>stanisn@tlu.ee</t>
  </si>
  <si>
    <t>Eisenschmidt, Eve/AIB-8026-2022; Santos, Maria/E-8450-2014</t>
  </si>
  <si>
    <t>1354-0602</t>
  </si>
  <si>
    <t>1470-1278</t>
  </si>
  <si>
    <t>TEACH TEACH</t>
  </si>
  <si>
    <t>Teach. Teach.</t>
  </si>
  <si>
    <t>AUG 1</t>
  </si>
  <si>
    <t>10.1080/13540602.2013.770230</t>
  </si>
  <si>
    <t>196EA</t>
  </si>
  <si>
    <t>WOS:000322755000004</t>
  </si>
  <si>
    <t>Schultz, C; Schreyogg, J</t>
  </si>
  <si>
    <t>Schultz, Carsten; Schreyoegg, Jonas</t>
  </si>
  <si>
    <t>The Impact of Network Ties and Resource Input on Research Performance: An Empirical Investigation Among Surgeons in Academic Medical Centers</t>
  </si>
  <si>
    <t>Academic medical centers (AMCs); innovative behavior; network theory; research performance</t>
  </si>
  <si>
    <t>LEAD-USER THEORY; STRATEGIC ALLIANCES; COMPETITIVE ADVANTAGE; CO-AUTHORSHIP; DYNAMIC CAPABILITIES; SELF-CITATIONS; INNOVATION; TRUST; COLLABORATION; DETERMINANTS</t>
  </si>
  <si>
    <t>Our analysis of the underlying mechanisms of research organizations focuses on the effects of strong and weak ties on individual research performance. It follows a contingency approach where these effects depend on access to organizational and individual resources. Building on network theory, relationship management literature, and prior research on individual innovative behavior, we suggest interaction effects between the access to networks and the resource supply. Based on merged objective and survey data from 255 surgeons in 18 medical universities and hospitals in the U. S., we are able to show that the effect of networks depends on tie strength, the organization where a researcher is active, and, finally, on his or her innovation-related characteristics. Strong and weak ties both contribute to individual research performance. However, leading-edge researchers with sufficient access to organizational resources will especially profit from strong ties. Their inexperienced colleagues working in hospitals with less research resources should engage in weak ties.</t>
  </si>
  <si>
    <t>[Schultz, Carsten] Univ Kiel, Inst Innovat Res, D-24118 Kiel, Germany; [Schreyoegg, Jonas] Univ Hamburg, Hamburg Ctr Hlth Econ, D-20146 Hamburg, Germany; [Schreyoegg, Jonas] Stanford Univ, Ctr Primary Care &amp; Outcomes Res, Stanford, CA 94305 USA</t>
  </si>
  <si>
    <t>University of Kiel; University of Hamburg; Stanford University</t>
  </si>
  <si>
    <t>Schultz, C (corresponding author), Univ Kiel, Inst Innovat Res, Olshaussenstr 40, D-24118 Kiel, Germany.</t>
  </si>
  <si>
    <t>schultz@bwl.uni-kiel.de; jonas.schreyoegg@wiso.uni-hamburg.de</t>
  </si>
  <si>
    <t>Schreyögg, Jonas/AAY-6182-2021; Schultz, Carsten/G-5554-2016</t>
  </si>
  <si>
    <t>Schreyögg, Jonas/0000-0001-8030-2161; Schultz, Carsten/0000-0002-5984-9872</t>
  </si>
  <si>
    <t>PISCATAWAY</t>
  </si>
  <si>
    <t>445 HOES LANE, PISCATAWAY, NJ 08855-4141 USA</t>
  </si>
  <si>
    <t>1558-0040</t>
  </si>
  <si>
    <t>10.1109/TEM.2013.2237911</t>
  </si>
  <si>
    <t>186EY</t>
  </si>
  <si>
    <t>WOS:000322026000002</t>
  </si>
  <si>
    <t>Zhang, FZ; Kolmos, A; de Graaf, E</t>
  </si>
  <si>
    <t>Zhang, Fenzhi; Kolmos, Anette; de Graaf, Erik</t>
  </si>
  <si>
    <t>Conceptualizations on Innovation Competency in a Problem- and Project-Based Learning Curriculum: From an Activity Theory Perspective</t>
  </si>
  <si>
    <t>conceptualizations; innovation competency; problem- and project-based curriculum; activity theory</t>
  </si>
  <si>
    <t>PRODUCT DEVELOPMENT TEAMS; MANAGEMENT; DIVERSITY; CREATIVITY; CONFLICT; KNOWLEDGE; TEACHERS</t>
  </si>
  <si>
    <t>Understanding innovation competency is the first step in fostering innovative engineers as conceptualizations can both enhance and inhibit innovative behaviors. Though literature is replete with discussions on conceptualizing innovation competency, there is much disagreement regarding its concepts as well as about how to put into operation the concept in teaching and learning. This paper addresses the disagreement through an empirical study in one problem-and project-based learning (PBL) curriculum. A case study on an engineering master program, Environment Management (EM), in Aalborg University, Denmark, has been conducted to answer the following questions. 1) How have academic staff conceptualized innovation competency in the PBL curriculum? 2) How have students conceptualized innovation competency in the PBL curriculum? 3) What are the similarities and differences between academic staff and students' conceptualizations? 4) How are academic staff and students' conceptualizations on innovation competency differentiated and related in concepts in the literature? This study encompasses eighteen in-depth interviews with academic staff and students. Conceptualizations on innovation competency were identified by analyzing the narratives of interviewees and coding the transcriptions into pre-prepared categories, based on the theoretical framework inspired by activity theory. The analysis of empirical data indicates a collaborative nature of innovation competency in the PBL curriculum; emphasizes the empowerment of individuals during teamwork; displays the interaction between individuals, teams and the social system. Furthermore, it describes innovation competency as a wide range of human abilities and processes, such as personal ability (in finding real-life problems and formulating research questions), interpersonal ability (by being open and responsive to diverse perspectives and intentionally constructing collaborative relationships), and implementing ability (by effectively implementing their ideas in useful projects).</t>
  </si>
  <si>
    <t>[Zhang, Fenzhi; Kolmos, Anette; de Graaf, Erik] Aalborg Univ, UNESCO CHAIR Problem Based Learning, Dept Dev &amp; Planning, Aalborg, Denmark; [Zhang, Fenzhi] Beijing Normal Univ, Int &amp; Comparat Educ Res Inst, Beijing 100875, Peoples R China</t>
  </si>
  <si>
    <t>Aalborg University; Beijing Normal University</t>
  </si>
  <si>
    <t>Zhang, FZ (corresponding author), Aalborg Univ, UNESCO CHAIR Problem Based Learning, Dept Dev &amp; Planning, Aalborg, Denmark.</t>
  </si>
  <si>
    <t>fenzhi@plan.aau.dk; ak@plan.aau.dk; degraaff@plan.aau.dk</t>
  </si>
  <si>
    <t>KOLMOS, Anette/ABH-6707-2020</t>
  </si>
  <si>
    <t>KOLMOS, Anette/0000-0002-0186-2839</t>
  </si>
  <si>
    <t>Erasmus Mundus fund; Department of planning and development, Aalborg University</t>
  </si>
  <si>
    <t>This study is supported by the Erasmus Mundus fund awarded by the Department of planning and development, Aalborg University. I would like to thank all those who participated in this study for their cooperation in enabling me to collect and use the data presented here.</t>
  </si>
  <si>
    <t>291EC</t>
  </si>
  <si>
    <t>WOS:000329809500002</t>
  </si>
  <si>
    <t>Kobayashi, C; Okuyama, Y; Kawazoe, K; Kato, M</t>
  </si>
  <si>
    <t>Kobayashi, Chisato; Okuyama, Yudai; Kawazoe, Kazuhide; Kato, Makoto</t>
  </si>
  <si>
    <t>The evolutionary history of maternal plant-manipulation and larval feeding behaviours in attelabid weevils (Coleoptera; Curculionoidea)</t>
  </si>
  <si>
    <t>MOLECULAR PHYLOGENETICS AND EVOLUTION</t>
  </si>
  <si>
    <t>Attelabidae; Ecology; Evolution; Diversity; Herbivore; Plant manipulation</t>
  </si>
  <si>
    <t>ANCESTRAL CHARACTER STATES; PHYLOGENY; SEQUENCES; QUALITY; MITOCHONDRIAL; ADAPTATION; ALIGNMENT; SHIFTS</t>
  </si>
  <si>
    <t>Attelabid weevils manipulate specific structures of their host plants in a species-specific manner, e.g., cutting a shoot, cutting a leaf, rolling a leaf, or constructing sophisticated wrapped leaf rolls, presumably to secure the survivorship of eggs or larvae. To depict the evolutionary history of maternal plant-manipulation behaviours and larval feeding strategies of the family Attelabidae, molecular phylogenetic analyses were conducted by sequencing the nuclear 18S and 28S ribosomal DNA and the mitochondrial cytochrome oxidase subunit I genes. Our analyses indicated that the attelabid weevils form a monophyletic group, and that maternal plant-cutting behaviour originated in a common ancestor of Attelabidae, but was subsequently lost in several lineages. Monophyly of the subfamily Attelabinae was also recovered with high support, but the subfamily Rhynchitinae was not recovered as monophyletic. By employing maximum-likelihood-based ancestral state reconstructions, larval leaf-blade feeding was inferred to have evolved from boring of cut shoots/petioles. Moreover, maternal leaf-rolling behaviours likely originated independently in the Attelabinae and Byctiscini lineages, and in several Deporaini lineages. As the sophisticated behaviours constructing wrapped leaf rolls of Attelabinae originated only once and has not been lost from the lineage, these complex and innovative behaviours may have contributed to the success and diversification of the lineage. (C) 2012 Elsevier Inc. All rights reserved.</t>
  </si>
  <si>
    <t>[Kobayashi, Chisato] Tohoku Univ, Grad Sch Life Sci, Div Ecol &amp; Evolutionary Biol, Aoba Ku, Sendai, Miyagi 9808578, Japan; [Okuyama, Yudai] Natl Museum Nat &amp; Sci, Dept Bot, Tsukuba, Ibaraki 3050005, Japan; [Kawazoe, Kazuhide; Kato, Makoto] Kyoto Univ, Grad Sch Human &amp; Environm Studies, Sakyo Ku, Kyoto 6068501, Japan</t>
  </si>
  <si>
    <t>Tohoku University; National Museum of Nature and Science; Kyoto University</t>
  </si>
  <si>
    <t>Kobayashi, C (corresponding author), Tohoku Univ, Grad Sch Life Sci, Div Ecol &amp; Evolutionary Biol, Aoba Ku, 3-6 Aoba, Sendai, Miyagi 9808578, Japan.</t>
  </si>
  <si>
    <t>chisato.ck@gmail.com</t>
  </si>
  <si>
    <t>JSPS Research Fellowships for Young Scientists; Grants-in-Aid for Scientific Research [22405009] Funding Source: KAKEN</t>
  </si>
  <si>
    <t>JSPS Research Fellowships for Young Scientists(Ministry of Education, Culture, Sports, Science and Technology, Japan (MEXT)Japan Society for the Promotion of Science); Grants-in-Aid for Scientific Research(Ministry of Education, Culture, Sports, Science and Technology, Japan (MEXT)Japan Society for the Promotion of ScienceGrants-in-Aid for Scientific Research (KAKENHI))</t>
  </si>
  <si>
    <t>We wish to thank Dr. K. Aoki, Dr. A. Kawakita, Dr. H. Nishi, Dr. R. Goto and Y. Kobayashi for supplying weevil samples. We also thank Dr. Y. Kameda, and Dr. A. Kawakita for their helpful advices regarding molecular techniques and the analysis of molecular phylogenies. We are grateful to Dr. H. Kojima for identifying a curculionid weevil. We thank Dr. A.A. Legalov, Dr. A. Riedel, Dr. Y. Sawada and Dr. K. Izawa for providing helpful and detailed information on weevil behaviours and lifestyles. This study was supported by JSPS Research Fellowships for Young Scientists.</t>
  </si>
  <si>
    <t>1055-7903</t>
  </si>
  <si>
    <t>1095-9513</t>
  </si>
  <si>
    <t>MOL PHYLOGENET EVOL</t>
  </si>
  <si>
    <t>Mol. Phylogenet. Evol.</t>
  </si>
  <si>
    <t>10.1016/j.ympev.2012.04.006</t>
  </si>
  <si>
    <t>Biochemistry &amp; Molecular Biology; Evolutionary Biology; Genetics &amp; Heredity</t>
  </si>
  <si>
    <t>960FY</t>
  </si>
  <si>
    <t>WOS:000305374600007</t>
  </si>
  <si>
    <t>DEREN, S; DAVIS, WR; TORTU, S; BEARDSLEY, M; AHLUWALIA, I</t>
  </si>
  <si>
    <t>WOMEN AT HIGH-RISK FOR HIV - PREGNANCY AND RISK BEHAVIORS</t>
  </si>
  <si>
    <t>JOURNAL OF DRUG ISSUES</t>
  </si>
  <si>
    <t>Pregnancy may provide an opportunity for behavior change among women at high risk for HIV. Baseline and six-month follow-up data were collected from a national sample of female injection drug users (IDUs) and sexual partners of injection drug users (SPs), Repeated measures analyses were conducted separately for three groups of IDUs (pregnant at baseline, became pregnant between baseline and follow-up, and not pregnant during the study) and three similar groups of SPs. Results indicated that both pregnant and not pregnant high risk women reported significant levels of risk reductions at follow-up. IDUs who were pregnant or became pregnant reported greater reductions in drug injection rates, were more likely to report entering drug treatment and reported the greatest reduction in sex compared to IDUs who were not pregnant. Results suggest that the period of pregnancy provides an opportunity for changes in risk behaviors, Innovative outreach efforts and increases in treatment options are needed.</t>
  </si>
  <si>
    <t>DEREN, S (corresponding author), NATL DEV &amp; RES INST INC, CTR PROGRAM EVALUAT, INST AIDS RES, 11 BEACH ST, NEW YORK, NY 10013 USA.</t>
  </si>
  <si>
    <t>0022-0426</t>
  </si>
  <si>
    <t>1945-1369</t>
  </si>
  <si>
    <t>J DRUG ISSUES</t>
  </si>
  <si>
    <t>J. Drug Issues</t>
  </si>
  <si>
    <t>10.1177/002204269502500105</t>
  </si>
  <si>
    <t>Substance Abuse</t>
  </si>
  <si>
    <t>QM278</t>
  </si>
  <si>
    <t>WOS:A1995QM27800005</t>
  </si>
  <si>
    <t>CESARATTO, S; MANGANO, S; SIRILLI, G</t>
  </si>
  <si>
    <t>THE INNOVATIVE BEHAVIOR OF ITALIAN FIRMS - A SURVEY ON TECHNOLOGICAL INNOVATION AND RESEARCH-AND-DEVELOPMENT</t>
  </si>
  <si>
    <t>This paper is based on the findings of a survey on technological innovation in the Italian industry. All Italian manufacturing firms were screened in the analysis and, at the end of a screening process, 8,220 of them, which had introduced relevant technological innovations over the period 1981-1985, filled out either a mail questionnaire or were covered through a personal interview. Data and preliminary comments on the following problem-areas are set in the paper type of innovation introduced in the firm (product, process), impact of innovations on the firm's products and sales, cost of innovation, technological relevance of innovations introduced, impact of innovations on the utilization of input factors, factors linked to the introduction of innovation, performance of R &amp; D. Data show that technological innovation is a complex aspect of company life; it relates to both products and production processes: in more than half of the cases firms introduced both product and process innovations, whereas only products or processes were introduced in about 20 per cent of cases, respectively. It is also apparent that the majority of innovations are new only for the firm, and that only a limited share are new for the sector or for the country. Looking at the techno-scientific quality of the innovations introduced, quite often innovations were classified as technical improvements or enhancements, and in a very limited number of cases they were considered as applications of a scientific breakthrough. The breakdown of the innovation costs shows that, on average, more than half of the cost is attributed to investment (machinery, equipment, etc) one fourth to engineering and design activity, one fifth to R &amp; D and the remaining 5 per cent to marketing activities. The most important factor linked to the introduction of innovation appears to be the acquisition of plant and machinery. This confirms the result of previous analyses which show that the introduction of new technologies hinges upon new machinery and equipment, often the sole means for the acquisition of technology produced by other economic agents - a diffusion and adaptation process is occurring. R &amp; D was mentioned in a limited number of cases. In the paper a quantitative and qualitative analysis of the R &amp; D performed by the firm is reported. In particular, it is shown that the number of R &amp; D performing manufacturing firms is more than double that which emerges from the annual survey on research and development activities carried out by the Italian Central Statistical Office.</t>
  </si>
  <si>
    <t>CESARATTO, S (corresponding author), CNR,INST STUDIES SCI RES &amp; DOCUMENTAT,ROME,ITALY.</t>
  </si>
  <si>
    <t>10.1007/BF02019186</t>
  </si>
  <si>
    <t>FM495</t>
  </si>
  <si>
    <t>WOS:A1991FM49500008</t>
  </si>
  <si>
    <t>Kraus, S; Bouncken, RB; Gormar, L; Gonzalez-Serrano, MH; Calabuig, F</t>
  </si>
  <si>
    <t>Kraus, Sascha; Bouncken, Ricarda B.; Gormar, Lars; Gonzalez-Serrano, Maria H.; Calabuig, Ferran</t>
  </si>
  <si>
    <t>Coworking spaces and makerspaces: Mapping the state of research</t>
  </si>
  <si>
    <t>JOURNAL OF INNOVATION &amp; KNOWLEDGE</t>
  </si>
  <si>
    <t>Coworking; Knowledge creation; Innovation; Cluster analysis; Literature analysis; Introduction</t>
  </si>
  <si>
    <t>CO-WORKING; BIBLIOMETRIC ANALYSIS; INNOVATION; COMMUNITY; ECONOMY; ENTREPRENEURSHIP</t>
  </si>
  <si>
    <t>Coworking and its merits and benefits have been under heavy scholarly investigation. Also in practice, the phenomenon with its characteristics and manifestations becomes increasingly relevant on many levels and for many different types of people and organizations. But why is that so, and how are the research activities distributed between researchers, countries, and journals? To answer these questions, we first analyzed existing literature and extracted the focal points of the respective approaches. We conducted a cluster analysis on the existing literature by analyzing data from the Web of Science. With these clusters, we show the development of the research stream and how the studies are connected. The findings point towards the relevance of coworking spaces for innovative behavior and knowledge exchange, making them a place for work and social exchange and a tool for pursuing daily work, innovative ideas, knowledge creation, and interaction. With these findings, we contribute to the understanding of this research stream as a whole and provide a deeper understanding of the available studies and how they are connected. This allows researchers to understand where the interest came from, where it is going and how they can contribute to the topic. Our study indicates that scholars should take a broad approach towards the phenomenon coworking. It set food in many different research areas and all of them are important for a holistic understanding, showing potential for interesting studies. On a practical note, the factors that coworking influences need to be rethought throughout the whole work environment.(c) 2022 The Authors. Published by Elsevier Espana, S.L.U. on behalf of Journal of Innovation &amp; Knowledge. This is an open access article under the CC BY-NC-ND license (http://creativecommons.org/licenses/by-nc-nd/4.0/)</t>
  </si>
  <si>
    <t>[Kraus, Sascha] Free Univ Bozen Bolzano, Fac Econ &amp; Management, Piazza Univ 1, I-39100 Bolzano, Italy; [Kraus, Sascha] Univ Johannesburg, Dept Business Management, Johannesburg, South Africa; [Bouncken, Ricarda B.; Gormar, Lars] Univ Bayreuth, Strateg Management &amp; Org, Univ Str 30, D-95440 Bayreuth, Germany; [Gonzalez-Serrano, Maria H.; Calabuig, Ferran] Univ Valencia, Fac Phys Act &amp; Sports Sci, C Gasco Olia 3, Valencia 46010, Spain</t>
  </si>
  <si>
    <t>Free University of Bozen-Bolzano; University of Johannesburg; University of Bayreuth; University of Valencia</t>
  </si>
  <si>
    <t>Kraus, S (corresponding author), Free Univ Bozen Bolzano, Fac Econ &amp; Management, Piazza Univ 1, I-39100 Bolzano, Italy.;Kraus, S (corresponding author), Univ Johannesburg, Dept Business Management, Johannesburg, South Africa.</t>
  </si>
  <si>
    <t>sascha.kraus@zfke.de</t>
  </si>
  <si>
    <t>Calabuig, Ferran/A-9738-2009</t>
  </si>
  <si>
    <t>Calabuig, Ferran/0000-0002-4538-2976</t>
  </si>
  <si>
    <t>Open Access Publishing Fund, Free University of Bozen-Bolzano</t>
  </si>
  <si>
    <t>This work was supported by the Open Access Publishing Fund provided by the Free University of Bozen-Bolzano</t>
  </si>
  <si>
    <t>ELSEVIER ESPANA</t>
  </si>
  <si>
    <t>CALLE DE ZURBANO, 76-4TH FLR LEFT, MADRID, 28010, SPAIN</t>
  </si>
  <si>
    <t>2530-7614</t>
  </si>
  <si>
    <t>2444-569X</t>
  </si>
  <si>
    <t>J INNOV KNOWL</t>
  </si>
  <si>
    <t>J. Innov. Knowl.</t>
  </si>
  <si>
    <t>JAN-MAR</t>
  </si>
  <si>
    <t>10.1016/j.jik.2022.100161</t>
  </si>
  <si>
    <t>0M4DR</t>
  </si>
  <si>
    <t>WOS:000782107300001</t>
  </si>
  <si>
    <t>Choi, WS; Kang, SW; Choi, SB</t>
  </si>
  <si>
    <t>Choi, Woo-Sung; Kang, Seung-Wan; Choi, Suk Bong</t>
  </si>
  <si>
    <t>Innovative Behavior in the Workplace: An Empirical Study of Moderated Mediation Model of Self-Efficacy, Perceived Organizational Support, and Leader-Member Exchange</t>
  </si>
  <si>
    <t>BEHAVIORAL SCIENCES</t>
  </si>
  <si>
    <t>innovative behavior; leader-member exchange; perceived organizational support; self-efficacy; conservation of resource theory</t>
  </si>
  <si>
    <t>SOCIAL-EXCHANGE; WORK ENGAGEMENT; PSYCHOLOGICAL EMPOWERMENT; HINDRANCE STRESSORS; OCCUPATIONAL STRESS; LMX DIFFERENTIATION; ETHICAL LEADERSHIP; PERFORMANCE; CONSERVATION; RESOURCES</t>
  </si>
  <si>
    <t>Recently, most organizations, from for-profit organizations to nonprofit organizations, are facing a rapidly changing environment and increased uncertainty. Organizational performance now depends on quickly responding and overcoming change through employees' innovative behavior. As the importance of innovative behavior has been highlighted, many organizations are looking for effective ways to encourage employees to adopt innovative behavior. From the resource perspective, innovative behavior can be regarded as high-intensity job demand, and organizations should support innovative behavior by providing and managing employees' resources. Based on the conservation of resource perspective, this study attempted to empirically explore how self-efficacy and perceived organizational support affect the relationship between leader-member exchange (LMX) and innovative behavior. Using two-wave, time-lagged survey data from 337 employees in South Korea, we found that leader-member exchange enhances innovative behavior via the mediation of self-efficacy. Additionally, perceived organizational support positively moderates the relationship between leader-member exchange and self-efficacy. Our findings demonstrate that self-efficacy is a mediating mechanism in the relationship between leader-member exchange and innovative behavior. Furthermore, this study suggests that the higher the level of perceived organizational support, the greater the effect of leader-member exchange on innovative behavior affected by self-efficacy.</t>
  </si>
  <si>
    <t>[Choi, Woo-Sung] Seoul Sch Integrated Sci &amp; Technol, Seoul 03767, South Korea; [Kang, Seung-Wan] Gachon Univ, Coll Business, 1342 Seongnamdaero, Seongnam Si 13120, South Korea; [Choi, Suk Bong] Korea Univ, Coll Global Business, 2511 Sejong Ro, Sejong City 30019, South Korea</t>
  </si>
  <si>
    <t>Kang, SW (corresponding author), Gachon Univ, Coll Business, 1342 Seongnamdaero, Seongnam Si 13120, South Korea.;Choi, SB (corresponding author), Korea Univ, Coll Global Business, 2511 Sejong Ro, Sejong City 30019, South Korea.</t>
  </si>
  <si>
    <t>choikhan_ws@stud.assist.ac.kr; global7@gachon.ac.kr; sukchoi@korea.ac.kr</t>
  </si>
  <si>
    <t>Kang, Seung-Wan/K-5716-2019; CHOI, WOOSUNG/AAC-4240-2022</t>
  </si>
  <si>
    <t>Kang, Seung-Wan/0000-0002-6170-1009; , Suk Bong/0000-0001-8927-3985; Choi, Woo-Sung/0000-0002-0032-2136</t>
  </si>
  <si>
    <t>2076-328X</t>
  </si>
  <si>
    <t>BEHAV SCI-BASEL</t>
  </si>
  <si>
    <t>Behav. Sci.</t>
  </si>
  <si>
    <t>10.3390/bs11120182</t>
  </si>
  <si>
    <t>XW3TI</t>
  </si>
  <si>
    <t>WOS:000735545500001</t>
  </si>
  <si>
    <t>Kim, M; Koo, DW; Han, HS</t>
  </si>
  <si>
    <t>Kim, Minseong; Koo, Dong-Woo; Han, Hye-Sook</t>
  </si>
  <si>
    <t>Innovative behavior motivations among frontline employees: The mediating role of knowledge management</t>
  </si>
  <si>
    <t>Motivation; Knowledge management; Innovation; Service; Self-determination theory</t>
  </si>
  <si>
    <t>HUMAN-RESOURCE MANAGEMENT; SELF-DETERMINATION THEORY; MODERATING ROLE; TRANSFORMATIONAL LEADERSHIP; INTRINSIC MOTIVATION; HIERARCHICAL MODEL; SITUATIONAL MOTIVATION; ORIENTED LEADERSHIP; JOB CHARACTERISTICS; SERVICE INNOVATION</t>
  </si>
  <si>
    <t>Labor-intensive industries face challenges when designing innovative, customer-oriented service strategies at the employee level, since service is mainly produced and delivered to customers not by technology or machines but by human resources. In other words, the role of frontline employees is particularly critical in customers' belief formation of whether a service company is innovative or not. Therefore, this study was conducted to formulate and investigate the psychological process of frontline employees' innovative behaviors. To achieve the purpose, this study collected data from frontline employees in Seoul and Gyeonggi-do, South Korea. This study contributes to the motivation literature in human resources management by adapting and considering a marketing approach based on three aspects of motivation: global, contextual, and situational. This study also examined whether motivation factors may increase knowledge-management capabilities and subsequently stimulate innovative behaviors, which are critical to the successful implementation of service improvements among frontline employees.</t>
  </si>
  <si>
    <t>[Kim, Minseong] Louisiana State Univ, Coll Business, Dept Management &amp; Mkt, Shreveport, LA 71115 USA; [Koo, Dong-Woo] Jeonnam State Univ, Dept Hotel Airline Serv &amp; Tourism, 152 Juknokwon Ro, Damyang Gun 57337, Jeonnam, South Korea; [Han, Hye-Sook] Soongsil Univ, Soongsil Hospitality, 369 Sangdo Dong, Seoul, South Korea</t>
  </si>
  <si>
    <t>Louisiana State University System; Louisiana State University Shreveport; Soongsil University</t>
  </si>
  <si>
    <t>Koo, DW (corresponding author), Jeonnam State Univ, Dept Hotel Airline Serv &amp; Tourism, 152 Juknokwon Ro, Damyang Gun 57337, Jeonnam, South Korea.</t>
  </si>
  <si>
    <t>minseong.kim@lsus.edu; gdw9@naver.com; Dekiru114@ssu.ac.kr</t>
  </si>
  <si>
    <t>10.1016/j.ijhm.2021.103062</t>
  </si>
  <si>
    <t>UX1AC</t>
  </si>
  <si>
    <t>WOS:000700578800015</t>
  </si>
  <si>
    <t>Wang, ZN; Ren, S; Chadee, D; Sun, CW</t>
  </si>
  <si>
    <t>Wang, Zhining; Ren, Shuang; Chadee, Doren; Sun, Chuanwei</t>
  </si>
  <si>
    <t>The influence of exploitative leadership on hospitality employees' green innovative behavior: A moderated mediation model</t>
  </si>
  <si>
    <t>Exploitative leadership; Emotional exhaustion; Perceived organizational support; Green innovative behavior</t>
  </si>
  <si>
    <t>PERCEIVED ORGANIZATIONAL SUPPORT; ABUSIVE SUPERVISION; EMOTIONAL EXHAUSTION; ENVIRONMENTAL-MANAGEMENT; WORKPLACE DEVIANCE; PERFORMANCE; CREATIVITY; COMMITMENT</t>
  </si>
  <si>
    <t>Growing awareness of environmental sustainability in the hospitality sector has made employee green innovative behavior an important element of their establishment's performance. Drawing from ego depletion theory, this paper aims to study how and when exploitative leadership influences hospitality employees' green innovative behavior. We collected data from 467 full-time hospitality employees and their direct leaders in 96 teams, and examined a cross-level moderated mediation model employing multilevel path analysis. The results showed that exploitative leadership in the hospitality sector negatively associates with hospitality employees' green innovative behavior, mediated by their emotional exhaustion. The results further showed that perceived organizational support moderates the influence of exploitative leadership on emotional exhaustion and subsequent green innovative behavior. Implications for theory and practice in the hospitality sector are discussed.</t>
  </si>
  <si>
    <t>[Wang, Zhining; Sun, Chuanwei] China Univ Min &amp; Technol, Sch Econ &amp; Management, Univ Rd, Xuzhou 221116, Jiangsu, Peoples R China; [Ren, Shuang; Chadee, Doren] Deakin Univ, Deakin Business Sch, 70 Elgar Rd, Melbourne, Vic, Australia</t>
  </si>
  <si>
    <t>China University of Mining &amp; Technology; Deakin University</t>
  </si>
  <si>
    <t>Wang, ZN (corresponding author), China Univ Min &amp; Technol, Sch Econ &amp; Management, Univ Rd, Xuzhou 221116, Jiangsu, Peoples R China.</t>
  </si>
  <si>
    <t>wzncumt@126.com; shuang.ren@deakin.edu.au; Doren.chadee@deakin.edu.au; 1350092923@qq.com</t>
  </si>
  <si>
    <t>Fundamental Research Funds for Central Universities in China [2017XKQY087]; Humanities and Social Sciences Research Funds of the Chinese Education Ministry [17YJA630104]; Social science Research Funds of Jiangsu province of China [19GLB014]; Double First-Class Initiative Project for Cultural Evolution and Creation of China University of Mining and Technology [2018WHCC03/05]</t>
  </si>
  <si>
    <t>Fundamental Research Funds for Central Universities in China; Humanities and Social Sciences Research Funds of the Chinese Education Ministry; Social science Research Funds of Jiangsu province of China; Double First-Class Initiative Project for Cultural Evolution and Creation of China University of Mining and Technology</t>
  </si>
  <si>
    <t>This research is partly supported by The Fundamental Research Funds for Central Universities in China (Grant No. 2017XKQY087), The Humanities and Social Sciences Research Funds of the Chinese Education Ministry (Grant No. 17YJA630104), The Social science Research Funds of Jiangsu province of China (Grant No. 19GLB014), and The Double First-Class Initiative Project for Cultural Evolution and Creation of China University of Mining and Technology (Grant No. 2018WHCC03/05).</t>
  </si>
  <si>
    <t>10.1016/j.ijhm.2021.103058</t>
  </si>
  <si>
    <t>WOS:000700578800017</t>
  </si>
  <si>
    <t>Jia, JF; Liu, Z; Zheng, YY</t>
  </si>
  <si>
    <t>Jia, Jianfeng; Liu, Zhi; Zheng, Yuyan</t>
  </si>
  <si>
    <t>How does paradoxical leadership promote bootlegging: a TPB-based multiple mediation model</t>
  </si>
  <si>
    <t>Innovation; Theory of planned behavior; Bootlegging; Paradoxical leadership; Harmonious innovation passion; Role breadth self-efficacy; Perceived error management culture</t>
  </si>
  <si>
    <t>BREADTH SELF-EFFICACY; PLANNED BEHAVIOR; ERROR MANAGEMENT; AUTHENTIC LEADERSHIP; INNOVATIVE BEHAVIOR; SERVANT LEADERSHIP; PROACTIVE BEHAVIOR; MODERATING ROLE; WORK; ENGAGEMENT</t>
  </si>
  <si>
    <t>Purpose This study aims to explore the antecedents of bootlegging from the perspective of paradoxical leadership. Based on the theory of planned behavior (TPB), it examines a multiple mediation model with harmonious innovation passion, role breadth self-efficacy and perceived error management culture as mediators, to interpret why paradoxical leadership influences employee bootlegging. Design/methodology/approach To test the theoretical model, data were collected from 218 full-time employees from enterprises in Chinese cities using a three-wave time-lagged design. Path-analysis and a bootstrapping approach in Mplus7 were used to examine the hypotheses of the theoretical model. Findings The results show that paradoxical leadership has a positive influence on bootlegging. In the multiple mediation model, the effect paths of harmonious innovation passion and role breadth self-efficacy are significant but there is an insignificant difference in their power, while the effect path of perceived error management culture is insignificant, although it has a significant simple mediating effect and sequential mediating effect. Originality/value This study is among the first to show the influence of paradoxical leadership on bootlegging, responding to the research call to use the paradoxical factors to capture the antecedents of innovative behaviors. Second, this study enriches the outcomes of paradoxical leadership, that of bootlegging. Third, this study provides a TPB-based mechanism of how paradoxical leadership promotes bootlegging by increasing employees' harmonious innovation passion, role breadth self-efficacy and perceived error management culture. This provides a new theoretical perspective to explain the relationship between paradoxical leadership and employee bootlegging. It also responds to the call for exploration of the multiple pathways of leadership.</t>
  </si>
  <si>
    <t>[Jia, Jianfeng] Northeastern Univ, Sch Business Adm, Shenyang, Peoples R China; [Liu, Zhi] Nankai Univ, Business Sch, Tianjin, Peoples R China; [Zheng, Yuyan] Univ Sheffield, Management Sch, Sheffield, S Yorkshire, England</t>
  </si>
  <si>
    <t>Northeastern University - China; Nankai University; N8 Research Partnership; RLUK- Research Libraries UK; White Rose University Consortium; University of Sheffield</t>
  </si>
  <si>
    <t>Liu, Z (corresponding author), Nankai Univ, Business Sch, Tianjin, Peoples R China.</t>
  </si>
  <si>
    <t>liuzhi@mail.nankai.edu.cn</t>
  </si>
  <si>
    <t>, Yuyan/0000-0001-9340-4626</t>
  </si>
  <si>
    <t>National Natural Science Foundation of China [71972032, 71672031]; LiaoNing Revitalization Talents Program [XLYC1807218]; Fundamental Research Funds for the Central Universities of China [N2006005]</t>
  </si>
  <si>
    <t>National Natural Science Foundation of China(National Natural Science Foundation of China (NSFC)); LiaoNing Revitalization Talents Program; Fundamental Research Funds for the Central Universities of China(Fundamental Research Funds for the Central Universities)</t>
  </si>
  <si>
    <t>This research was supported by the National Natural Science Foundation of China, Project No. 71972032 and No. 71672031; LiaoNing Revitalization Talents Program, Project No. XLYC1807218; the Fundamental Research Funds for the Central Universities of China, Project No. N2006005.</t>
  </si>
  <si>
    <t>SEP 16</t>
  </si>
  <si>
    <t>10.1108/CMS-09-2020-0418</t>
  </si>
  <si>
    <t>JUN 2021</t>
  </si>
  <si>
    <t>UR2HO</t>
  </si>
  <si>
    <t>WOS:000663247800001</t>
  </si>
  <si>
    <t>Farrukh, M; Ansari, NY; Raza, A; Meng, FC; Wang, H</t>
  </si>
  <si>
    <t>Farrukh, Muhammad; Ansari, Nabeel Yunus; Raza, Ali; Meng, Fanchen; Wang, Hong</t>
  </si>
  <si>
    <t>High-performance work practices do much, but HERO does more: an empirical investigation of employees' innovative behavior from the hospitality industry</t>
  </si>
  <si>
    <t>Employee innovative behavior; High-performance work practices; Psychological capital; HERO = Hope; efficacy; resilience; optimism</t>
  </si>
  <si>
    <t>HUMAN-RESOURCE PRACTICES; MEDIATING ROLE; SERVICE INNOVATION; ORGANIZATIONAL PERFORMANCE; AUTHENTIC LEADERSHIP; DYNAMIC CAPABILITIES; MODERATING ROLE; SELF-EFFICACY; CREATIVITY; SYSTEMS</t>
  </si>
  <si>
    <t>Purpose Drawing motivation from Lawrence Bossidy's quote and leaning on the conservation of resources (COR) theory, in this study, the authors aim to investigate the role of high-performance work practices (HPWPs) and psychological capital (H.E.R.O) in employee innovative work behavior (EIB). Design/methodology/approach The study is banked on a hypothetico-deductive approach. The relationships were measured by gathering data from 375 frontline service employees through structural equation modeling. Findings The study results indicate a positive impact of HPWPs on EIB. Moreover, the association between HPWPs-EIB is mediated by psychological capital (PsyCap). Research limitations/implications The current study contributed to the innovation research stream by determining driving forces that encourage employees to exhibit innovative work behaviors. Originality/value Employee innovative behavior has become imperative for organizational survival and success in an ever-changing global business environment. Owing to this organizational significance, employee innovative behavior continues to gain burgeoning research attention. Despite the rising scholarly interest in studying employee innovative behavior, there is a dearth of knowledge about how innovation can be fostered at the individual level, particularly among frontline service employees. Hence, to bridge this research gap, the present study intends to analyze the influence of high-performance work practices on employee innovative work behavior, mediated by psychological capital.</t>
  </si>
  <si>
    <t>[Farrukh, Muhammad; Meng, Fanchen; Wang, Hong] Beijing Inst Technol, Sch Management &amp; Econ, Beijing, Peoples R China; [Farrukh, Muhammad] Ilma Univ, Dept Business Adm, Fac Management Sci, Karachi, Pakistan; [Ansari, Nabeel Yunus] Air Univ Islamabad, Dept Business Adm, Multan Campus, Multan, Pakistan; [Raza, Ali] Univ Management &amp; Technol, Knowledge Unit Business Econ Accountancy &amp; Commer, Sialkot Campus, Lahore, Sialkot, Pakistan</t>
  </si>
  <si>
    <t>Beijing Institute of Technology; Air University Islamabad; University of Management &amp; Technology (UMT)</t>
  </si>
  <si>
    <t>Farrukh, M (corresponding author), Beijing Inst Technol, Sch Management &amp; Econ, Beijing, Peoples R China.;Farrukh, M (corresponding author), Ilma Univ, Dept Business Adm, Fac Management Sci, Karachi, Pakistan.</t>
  </si>
  <si>
    <t>mfarrukhiqbal@hotmail.com; nabil.ansari@aumc.edu.pk; ali_khawaja818@hotmail.com; meng@bit.edu; wanghongbit@126.com</t>
  </si>
  <si>
    <t>Farrukh, Muhammad/J-2577-2015; Wang, Hong/ABA-4386-2021; Raza, Ali/AAI-8910-2020</t>
  </si>
  <si>
    <t>Farrukh, Muhammad/0000-0002-3569-305X; Raza, Ali/0000-0001-7043-2472; Ansari, Nabeel/0000-0002-2318-9745</t>
  </si>
  <si>
    <t>Ministry of Education China, Humanities and social sciences research fund [17YJA630072]; National Natural Science Foundation of China [71972013]</t>
  </si>
  <si>
    <t>Ministry of Education China, Humanities and social sciences research fund; National Natural Science Foundation of China(National Natural Science Foundation of China (NSFC))</t>
  </si>
  <si>
    <t>Ministry of Education China, Humanities and social sciences research fund, Grant/Award Number: 17YJA630072; National Natural Science Foundation of China, Grant/Award Number: 71972013</t>
  </si>
  <si>
    <t>APR 26</t>
  </si>
  <si>
    <t>10.1108/EJIM-11-2020-0448</t>
  </si>
  <si>
    <t>0S1ZQ</t>
  </si>
  <si>
    <t>WOS:000628663100001</t>
  </si>
  <si>
    <t>De Clercq, D; Sun, W; Belausteguigoitia, I</t>
  </si>
  <si>
    <t>De Clercq, Dirk; Sun, Wei; Belausteguigoitia, Imanol</t>
  </si>
  <si>
    <t>When is job control most useful for idea championing? Role conflict and psychological contract violation effects</t>
  </si>
  <si>
    <t>idea championing; job control; role conflict; psychological contract violation</t>
  </si>
  <si>
    <t>WORK-FAMILY CONFLICT; ORGANIZATIONAL RESEARCH; INNOVATIVE BEHAVIOR; EMPLOYEE VOICE; CONSERVATION; CONSEQUENCES; PERFORMANCE; ENGAGEMENT; RESOURCES; BURNOUT</t>
  </si>
  <si>
    <t>Drawing from conservation of resources theory, this article investigates the relationship between job control (a critical job resource) and idea championing, as well as how this relationship may be augmented by stressful work conditions that can lead to resource losses, such as conflicting work role demands and psychological contract violations. With quantitative data collected from employees of an organization that operates in the chemical sector, this study reveals that job control increases the propensity to champion innovative ideas. This effect is especially salient when employees experience high levels of role conflict and psychological contract violations. For organizations, the results demonstrate that giving employees more control over whether they invest in championing activities will be most beneficial when those employees also face resource-draining work conditions, in the form of either incompatible role expectations or unfilled employer obligations.</t>
  </si>
  <si>
    <t>[De Clercq, Dirk] Brock Univ, Goodman Sch Business, St Catharines, ON, Canada; [Sun, Wei] Xi An Jiao Tong Univ, Sch Management, Xian 710049, Peoples R China; [Belausteguigoitia, Imanol] Inst Tecnol Autonomo Mexico ITAM, Santa Teresa Campus, Mexico City, DF, Mexico</t>
  </si>
  <si>
    <t>Brock University; Xi'an Jiaotong University; Instituto Tecnologico Autonomo de Mexico</t>
  </si>
  <si>
    <t>sunwei@xjtu.edu.cn</t>
  </si>
  <si>
    <t>PII S1833367218000287</t>
  </si>
  <si>
    <t>10.1017/jmo.2018.28</t>
  </si>
  <si>
    <t>TQ9KS</t>
  </si>
  <si>
    <t>WOS:000678595300010</t>
  </si>
  <si>
    <t>Chung, DS; Li, JM</t>
  </si>
  <si>
    <t>Chung, Dong Seop; Li, Jinxi Michelle</t>
  </si>
  <si>
    <t>Curvilinear effect of transformational leadership on innovative behavior among R&amp;D teams in South Korea Moderating role of team learning</t>
  </si>
  <si>
    <t>Transformational leadership; Innovative behaviour; Team learning; Curvilinear relationship</t>
  </si>
  <si>
    <t>CHARISMATIC LEADERSHIP; DESTRUCTIVE LEADERSHIP; WORK-ENVIRONMENT; PERFORMANCE; DETERMINANTS; PERCEPTIONS; MODEL; ORIENTATION; MANAGERS; QUALITY</t>
  </si>
  <si>
    <t>Purpose - The purpose of this paper is to examine the potential consequences of transformational leadership on follower innovative behavior as well as to investigate the moderating effect of team learning on the relationship. It is argued that an excessive level of transformational leadership may even decrease the subordinates' innovative behavior due to their negative emotions derived from the leadership, while an appropriate level of transformational leadership can positively influence innovative behavior. Furthermore, the situational factor of team learning, which reinforces the positive feelings of team members through their improved competency, can amplify the positive impact and diminish the negative impact of transformational leadership on innovative behavior. Design/methodology/approach - Data were collected from R&amp;D teams of large- and mid-sized companies in Korean industries. Survey data from 307 team members and 51 team leaders from 51 project teams were tested using hierarchical linear modeling analysis. Team members evaluated the transformational leadership of their team leaders as well as the perceived level of learning in their teams, and team leaders evaluated the innovative behavior of their team members. Findings - Multi-level analysis confirmed a non-linear relationship (an inverted U shape) between transformational leadership of team leaders and innovative behavior of team members. It means innovative behavior was negatively related to excessive transformational leadership and positively related to a modest level of the leadership. Furthermore, statistical analysis confirmed the positive multi-level moderating effect of team learning. Research limitations/implications - The core dimension of transformational leadership, charisma, was the only measurement of the leadership in this study. Most South Korean companies adopted performance-based compensation systems and charisma is a prevailing leadership behavior at emerging market of the nation. As such, other dimensions of transformational leadership such as individualized consideration or intellectual stimulation are relatively neglected in most companies of South Korea. Future research needs to consider these other dimensions for the generalization in research. Practical implications - Leaders in emerging markets, such as project team leaders or R&amp;D team leaders, should avoid immoderate transformational leadership and should maintain a proper level of transformational leadership. The contemporary leaders also need to utilize team learning to maximize innovative behavior. Originality/value - These findings illustrate the disadvantage of excessive transformational leadership and highlight the neutralization effect of team learning on the negative impact of the excessive leadership. Team learning has the potential to enhance members' innovative behaviors, and it could moderate the perceptions of excessive transformational leadership.</t>
  </si>
  <si>
    <t>[Chung, Dong Seop] Kyungsung Univ, Dept Business Adm, Busan, South Korea; [Li, Jinxi Michelle] Gyeongsang Natl Univ, Dept Business Adm, Jinju, South Korea</t>
  </si>
  <si>
    <t>Kyungsung University; Gyeongsang National University</t>
  </si>
  <si>
    <t>Li, JM (corresponding author), Gyeongsang Natl Univ, Dept Business Adm, Jinju, South Korea.</t>
  </si>
  <si>
    <t>jxlilee@gnu.ac.kr</t>
  </si>
  <si>
    <t>10.1108/JOCM-01-2017-0017</t>
  </si>
  <si>
    <t>QC8QR</t>
  </si>
  <si>
    <t>WOS:000615096600001</t>
  </si>
  <si>
    <t>Boulamatsi, A; Liu, SQ; Lambert, LS; Yao, X; Guo, R; Yin, JF</t>
  </si>
  <si>
    <t>Boulamatsi, Artemis; Liu, Songqi; Lambert, Lisa Schurer; Yao, Xiang; Guo, Rui; Yin, Jingfeng</t>
  </si>
  <si>
    <t>How and when are learning-adaptable newcomers innovative? Examining mechanisms and constraints</t>
  </si>
  <si>
    <t>innovative behavior; learning adaptability; moderated mediation; newcomer socialization; uncertainty avoidance</t>
  </si>
  <si>
    <t>EMPLOYEE CREATIVITY; SOCIALIZATION TACTICS; ORGANIZATIONAL SOCIALIZATION; PROACTIVE BEHAVIOR; EMPOWERING LEADERSHIP; GOAL ORIENTATION; JOB-SATISFACTION; PERFORMANCE; WORK; INFORMATION</t>
  </si>
  <si>
    <t>Higher levels of learning adaptability at work are expected to help performance when individuals encounter an unfamiliar environment, such as during organizational entry. However, little is known about how and when newcomer learning adaptability drives innovative behaviors. Drawing on and extending individual adaptability theory, we propose that two mediating mechanisms, positive framing and task mastery, may transmit the effect of learning adaptability on innovative behavior, with supervisor's tendency to avoid uncertain situations posited as a boundary condition. The proposed hypotheses were tested using multi-source, multi-wave data from three companies. We found that learning adaptability indirectly impacts innovative behavior via positive framing but not via task mastery. In addition, supervisor uncertainty avoidance moderated the relationship between learning adaptability and positive framing, and task mastery moderated the relationship between positive framing and innovative behavior, supporting a pattern of moderated mediation, such that the indirect relationship between learning adaptability and innovative behavior via positive framing was more positive when both moderators were low. The research findings are discussed in terms of implications for socialization research and practice.</t>
  </si>
  <si>
    <t>[Boulamatsi, Artemis; Lambert, Lisa Schurer] Oklahoma State Univ, Spears Sch Business, Dept Management, Stillwater, OK 74078 USA; [Liu, Songqi] Georgia State Univ, J Mack Robinson Coll Business, Dept Management, Atlanta, GA 30303 USA; [Yao, Xiang] Peking Univ, Sch Psychol &amp; Cognit Sci, Beijing, Peoples R China; [Yao, Xiang] Peking Univ, Beijing Key Lab Behav &amp; Mental Hlth, Beijing, Peoples R China; [Guo, Rui] China Univ Geosci Wuhan, Sch Econ &amp; Management, Wuhan, Peoples R China; [Yin, Jingfeng] Univ Illinois, Liautaud Grad Sch Business, Chicago, IL USA</t>
  </si>
  <si>
    <t>Oklahoma State University System; Oklahoma State University - Stillwater; University System of Georgia; Georgia State University; Peking University; Peking University; China University of Geosciences; University of Illinois System; University of Illinois Chicago; University of Illinois Chicago Hospital</t>
  </si>
  <si>
    <t>Yao, X (corresponding author), Peking Univ, Sch Psychol &amp; Cognit Sci, Beijing, Peoples R China.;Guo, R (corresponding author), China Univ Geosci Wuhan, Sch Econ &amp; Management, Wuhan, Peoples R China.</t>
  </si>
  <si>
    <t>xiangyao@pku.edu.cn; ruiguo@cug.edu.cn</t>
  </si>
  <si>
    <t>Liu, Songqi/AAV-6098-2021</t>
  </si>
  <si>
    <t>Boulamatsi, Artemis/0000-0001-9854-1750; Yao, Xiang/0000-0001-8704-7327</t>
  </si>
  <si>
    <t>National Natural Science Foundation of China [71532011, 71772168, 31671121]; Key Project of Jewelry Inheritance and InnovationDevelopment Research Center [CJHIXM-01-202001]</t>
  </si>
  <si>
    <t>National Natural Science Foundation of China(National Natural Science Foundation of China (NSFC)); Key Project of Jewelry Inheritance and InnovationDevelopment Research Center</t>
  </si>
  <si>
    <t>National Natural Science Foundation of China, Grant/Award Numbers: 71532011, 71772168, 31671121; Key Project of Jewelry Inheritance and InnovationDevelopment Research Center, Grant/Award Number: CJHIXM-01-202001</t>
  </si>
  <si>
    <t>10.1111/peps.12435</t>
  </si>
  <si>
    <t>XD0YV</t>
  </si>
  <si>
    <t>WOS:000592250700001</t>
  </si>
  <si>
    <t>Wang, Z</t>
  </si>
  <si>
    <t>Wang, Zhen</t>
  </si>
  <si>
    <t>Seeking performance or control? Tethered party innovation in China's performance evaluation system</t>
  </si>
  <si>
    <t>JOURNAL OF CHINESE GOVERNANCE</t>
  </si>
  <si>
    <t>Bureaucracy; personnel management; performance evaluation; innovation; experimentation</t>
  </si>
  <si>
    <t>POLICY EXPERIMENTATION; REFORM; DIFFUSION; CONVERGENCE; MANAGEMENT; CAMPAIGN; BEHAVIOR; LESSONS</t>
  </si>
  <si>
    <t>In the Xi Jinping era of rising central power and reduced local autonomy, is there still room for policy experimentation? If any, what is the nature of this innovative behavior? This article argues that the party state still allows much room for policy innovation, only that this space for innovation is conditioned by the Party's concern for political control. Drawing on original field research, the article examines two cases of the Chinese Communist Party's innovation in personnel management, with a particular focus on reforming the Performance Evaluation System (PES) to better incentivize cadres to fulfill work targets. The analyses of the systemic changes of the PES resulting from the Party's innovation efforts as well as the nature of such changes show that despite the Party's tireless efforts to reinvent the PES regime so as to better motivate cadres to fulfill work targets, these efforts are undermined at the same time by the Party's pursuit of bureaucratic stability, personnel control, and grip on power. The research seeks to bring findings about the PES into more meaningful conversations with the scholarship on policy innovation and experimentation.</t>
  </si>
  <si>
    <t>[Wang, Zhen] Middle Tennessee State Univ, Dept Polit Sci &amp; Int Relat, Murfreesboro, TN 37130 USA</t>
  </si>
  <si>
    <t>Middle Tennessee State University</t>
  </si>
  <si>
    <t>Wang, Z (corresponding author), Middle Tennessee State Univ, Dept Polit Sci &amp; Int Relat, Murfreesboro, TN 37130 USA.</t>
  </si>
  <si>
    <t>Zhen.Wang@mtsu.edu</t>
  </si>
  <si>
    <t>2381-2346</t>
  </si>
  <si>
    <t>2381-2354</t>
  </si>
  <si>
    <t>J CHIN GOV</t>
  </si>
  <si>
    <t>J. Chin. Gov.</t>
  </si>
  <si>
    <t>10.1080/23812346.2020.1751947</t>
  </si>
  <si>
    <t>PD4JG</t>
  </si>
  <si>
    <t>WOS:000533223800001</t>
  </si>
  <si>
    <t>Barak, M; Watted, A; Haick, H</t>
  </si>
  <si>
    <t>Barak, Miri; Watted, Abeer; Haick, Hossam</t>
  </si>
  <si>
    <t>Establishing the validity and reliability of a modified tool for assessing innovative thinking of engineering students</t>
  </si>
  <si>
    <t>ASSESSMENT &amp; EVALUATION IN HIGHER EDUCATION</t>
  </si>
  <si>
    <t>Engineering education; Higher education; Individual differences; Innovative thinking; Reliability; Validity</t>
  </si>
  <si>
    <t>FIT INDEXES; CREATIVITY</t>
  </si>
  <si>
    <t>The goal of this study was to establish the validity and reliability of a self-report tool for assessing individual differences in innovative thinking, based on a modification of the 'innovative behavior scale'. A five-stage study was conducted among engineering students worldwide, who enrolled in a massive open online course in Nanotechnology and Nanosensors. Content validity was established by a panel of experts in engineering education. Construct validity was established through exploratory and confirmatory factor analysis, indicating a four-factor solution with 13 items loaded above critical level. Known-groups validity revealed differences among learners with distinct expertise. The scale's stability across populations and over time was confirmed, providing there has been no intentional intervention. Finally, the scale's concurrent validity was reinforced through data triangulation with actual practice - the fabrication of innovative nanosensors.</t>
  </si>
  <si>
    <t>[Barak, Miri; Watted, Abeer] Israel Inst Technol, Fac Educ Sci &amp; Technol, Haifa, Israel; [Haick, Hossam] Israel Inst Technol, Fac Chem Engn, Haifa, Israel</t>
  </si>
  <si>
    <t>Technion Israel Institute of Technology; Technion Israel Institute of Technology</t>
  </si>
  <si>
    <t>Barak, M (corresponding author), Israel Inst Technol, Fac Educ Sci &amp; Technol, Haifa, Israel.</t>
  </si>
  <si>
    <t>bmiriam@technion.ac.il</t>
  </si>
  <si>
    <t>Barak, Miri/0000-0002-7756-6171</t>
  </si>
  <si>
    <t>0260-2938</t>
  </si>
  <si>
    <t>1469-297X</t>
  </si>
  <si>
    <t>ASSESS EVAL HIGH EDU</t>
  </si>
  <si>
    <t>Assess. Eval. High. Educ.</t>
  </si>
  <si>
    <t>10.1080/02602938.2019.1620680</t>
  </si>
  <si>
    <t>KB4HZ</t>
  </si>
  <si>
    <t>WOS:000506460000004</t>
  </si>
  <si>
    <t>Li, L; Li, G; Chan, SF</t>
  </si>
  <si>
    <t>Li, Lan; Li, Gang; Chan, Shui F.</t>
  </si>
  <si>
    <t>Corporate responsibility for employees and service innovation performance in manufacturing transformation The mediation role of employee innovative behavior</t>
  </si>
  <si>
    <t>Employee innovative behaviour; Manufacturing transformation; Corporate responsibility for employees; Service innovation performance; Sustainable career</t>
  </si>
  <si>
    <t>PROMOTE INNOVATION; SUCCESS; CSR; ENVIRONMENT; COMPETENCE; EXCHANGE; FAILURE; QUALITY; FIRMS</t>
  </si>
  <si>
    <t>Purpose The purpose of this paper is to examine, within a context of manufacturing transformation, whether corporate responsibility for employees (CRE) promotes the service innovation performance (SIP) of the firm; whether this effect is mediated by employee innovative behavior (EIB), and how two control mechanisms (process-control (PC) and outcome-control mechanism) moderate the relationship. Design/methodology/approach Drawing on social exchange and control mechanism theory, this paper establishes a conceptual model and adopts a hierarchical regression analysis to examine the model with a sample of 110 manufacturing firms from China. Findings The study finds that CRE positively affects SIP. EIB mediates such effect. Output-control weakens the effect of CRE on EIB, and PC does not impact on the relationship. Practical implications - The findings suggest that, facing tremendous pressure in manufacturing transformation, firms must be cautious in treating their employees. Given that EIB is crucial to improving the SIP, and in turn to meet the ever upgrading customer demands, firms ought to actively take responsibilities to protect employees' interests, and cautiously adopt control mechanisms. Thus employees could be motivated to involve in service innovation actively. This effect not only benefits employees with a sustainable career but also help the firm survive in this tough transformation period. Originality/value This study is one of the first (if any) research that examining the impact of CRE on SIP and EIB. The findings are an extension of the existing research, and show the explanation potential of corporate social responsibility on EIB and SIP in a difficult time such as manufacturing transformation.</t>
  </si>
  <si>
    <t>[Li, Lan] Henan Univ Econ &amp; Law, Zhengzhou, Henan, Peoples R China; [Li, Gang] North China Univ Water Resources &amp; Elect Power, Zhengzhou, Henan, Peoples R China; [Chan, Shui F.] Missouri State Univ, LNU MSU Coll Int Business, Springfield, MO USA; [Chan, Shui F.] Liaoning Normal Univ, Dalian, Peoples R China</t>
  </si>
  <si>
    <t>Henan University of Economics &amp; Law; North China University of Water Resources &amp; Electric Power; Missouri State University; Liaoning Normal University</t>
  </si>
  <si>
    <t>Li, G (corresponding author), North China Univ Water Resources &amp; Elect Power, Zhengzhou, Henan, Peoples R China.</t>
  </si>
  <si>
    <t>ligang0840907@163.com</t>
  </si>
  <si>
    <t>Li, Lan/0000-0002-0152-0150</t>
  </si>
  <si>
    <t>10.1108/CDI-04-2018-0109</t>
  </si>
  <si>
    <t>JD7UO</t>
  </si>
  <si>
    <t>WOS:000490187800005</t>
  </si>
  <si>
    <t>Binyamin, G; Friedman, A; Carmeli, A</t>
  </si>
  <si>
    <t>Binyamin, Galy; Friedman, Anat; Carmeli, Abraham</t>
  </si>
  <si>
    <t>Reciprocal Care in Hierarchical Exchange: Implications for Psychological Safety and Innovative Behaviors at Work</t>
  </si>
  <si>
    <t>caring; participative psychological safety; innovative behaviors; relational leadership; leader-member exchange</t>
  </si>
  <si>
    <t>LEADER-MEMBER EXCHANGE; POSITIVE RELATIONSHIPS; MEDIATING ROLE; CREATIVITY; ENGAGEMENT; POWER; LMX; GENERATIVITY; ENVIRONMENT; COMPASSION</t>
  </si>
  <si>
    <t>The emerging literature on relational leadership views leadership as a multidirectional social influence process in which relationships are a key source of leadership effectiveness. The core assumption in this line of research shifts the focus from a top-down influence to a process in which both leaders and followers mutually influence each other's perceptions and actions. In a view complementary to the social exchange perspective, this stream also considers work relationships as generative in nature. This study develops and tests a conceptual model in which reciprocal care in leader-member relationships helps shape the perceived climate of participative psychological safety, which in turn fosters innovative behaviors among employees. The results of time-lagged data collected from both employees and their direct managers lend general support to this model and hypotheses. Specifically, reciprocal care had both a direct and an indirect influence on innovative behaviors through the perceived climate of participative psychological safety. Our model specifies how a humanizing leadership approach in which leaders and members interact in ways that convey a sense of genuine care for each other's inner needs can help foster innovative behaviors through the creation of a holding environment in which members feel psychologically safe to admit errors, voice dissent, and enter into potentially conflictual discussions about alternatives. In so doing, we shed light on how care in relationships can also be linked to negatively valenced dynamics that involve innovative behaviors.</t>
  </si>
  <si>
    <t>[Binyamin, Galy] Ariel Univ, Dept Econ &amp; Business Adm, Ariel, Israel; [Friedman, Anat] Bar Ilan Univ, Interdisciplinary Studies Unit Conflict Managemen, Ramat Gan, Israel; [Carmeli, Abraham] Tel Aviv Univ, Coller Sch Management, Recanti Bldg, IL-69978 Tel Aviv, Israel</t>
  </si>
  <si>
    <t>Ariel University; Bar Ilan University; Tel Aviv University</t>
  </si>
  <si>
    <t>Carmeli, A (corresponding author), Tel Aviv Univ, Coller Sch Management, Recanti Bldg, IL-69978 Tel Aviv, Israel.</t>
  </si>
  <si>
    <t>Henry Crown Institute of Business Research in Israel</t>
  </si>
  <si>
    <t>The editorial comments of Esther Singer are also appreciated. This research was supported, in part, by a grant from the Henry Crown Institute of Business Research in Israel.</t>
  </si>
  <si>
    <t>10.1037/aca0000129</t>
  </si>
  <si>
    <t>GE9PS</t>
  </si>
  <si>
    <t>WOS:000431562600008</t>
  </si>
  <si>
    <t>Ou, ZY; Chen, TT; Li, FL; Tang, PM</t>
  </si>
  <si>
    <t>Ou, Zhanying; Chen, Tingting; Li, Fuli; Tang, Pokman</t>
  </si>
  <si>
    <t>Constructive controversy and creative process engagement: The roles of positive conflict value, cognitive flexibility, and psychological safety</t>
  </si>
  <si>
    <t>EMPLOYEE CREATIVITY; TRANSFORMATIONAL LEADERSHIP; INNOVATIVE BEHAVIOR; GOAL ORIENTATION; PERFORMANCE; TEAMS; ORGANIZATIONS; MANAGEMENT; WORKPLACE; MEDIATION</t>
  </si>
  <si>
    <t>This research explores how and when constructive controversy enhances creative process engagement. We identify positive conflict value and cognitive flexibility as two mediating processes that transmit the effect of constructive controversy on creative process engagement. We further theorize that psychological safety shows opposing moderating effects: It strengthens the positive conflict value-creative process engagement link, whereas weakens the cognitive flexibility-creative process engagement link. Moreover, we propose that psychological safety strengthens and weakens the two mediating pathways through positive conflict value and cognitive flexibility, respectively. Results based on a multiwave data involving 239 employees from the research and development division of a large high-technology company provide support for our hypotheses. Theoretical and practical implications are discussed.</t>
  </si>
  <si>
    <t>[Ou, Zhanying] Guangzhou Univ, Sch Business Adm, Dept Business Adm, Guangzhou, Guangdong, Peoples R China; [Chen, Tingting; Tang, Pokman] Lingnan Univ, Dept Management, 8 Castle Peak Rd, Tuen Mun, Hong Kong, Peoples R China; [Li, Fuli] Xi An Jiao Tong Univ, Sch Management, 28 Xianning West Rd, Xian 710049, Shaanxi, Peoples R China</t>
  </si>
  <si>
    <t>Guangzhou University; Lingnan University; Xi'an Jiaotong University</t>
  </si>
  <si>
    <t>Chen, TT (corresponding author), Lingnan Univ, Dept Management, 8 Castle Peak Rd, Tuen Mun, Hong Kong, Peoples R China.;Li, FL (corresponding author), Xi An Jiao Tong Univ, Sch Management, 28 Xianning West Rd, Xian 710049, Shaanxi, Peoples R China.</t>
  </si>
  <si>
    <t>tingtingchen@ln.edu.hk; fuli@xjtu.edu.cn</t>
  </si>
  <si>
    <t>Guangdong Education Department Scientific Research Project [2013WYM_0068]</t>
  </si>
  <si>
    <t>Guangdong Education Department Scientific Research Project</t>
  </si>
  <si>
    <t>Guangdong Education Department Scientific Research Project, Grant/Award Number: 2013WYM_0068</t>
  </si>
  <si>
    <t>10.1111/jasp.12494</t>
  </si>
  <si>
    <t>FW3DZ</t>
  </si>
  <si>
    <t>WOS:000425187900005</t>
  </si>
  <si>
    <t>Lin, HC; Lee, YD</t>
  </si>
  <si>
    <t>Lin, Hsiu-Chuan; Lee, Yuan-Duen</t>
  </si>
  <si>
    <t>A Study of the Influence of Organizational Learning on Employees' Innovative Behavior and Work Engagement by a Cross-Level Examination</t>
  </si>
  <si>
    <t>EURASIA JOURNAL OF MATHEMATICS SCIENCE AND TECHNOLOGY EDUCATION</t>
  </si>
  <si>
    <t>organizational learning; employees' innovative behavior; work engagement</t>
  </si>
  <si>
    <t>JOB DEMANDS; LEADERSHIP; DETERMINANT; ORIENTATION; TECHNOLOGY; CAPABILITY</t>
  </si>
  <si>
    <t>The purpose of this study is to examine the influence of organizational learning on employee's innovative behavior, and further proposed the mediation effect of work engagement between the relationship of organizational learning and employee's innovative behavior. The study targets on executives and their subordinates by paired samples within the Southern Taiwan Science Park and a total of 21 useful firms collected, including 54 managers and 511 employees, and to evaluate research model by using hierarchical linear modeling (HLM). The empirical results indicated that work engagement fully mediated the relationship between organizational learning and employee's innovative behavior, that is, executives with organizational learning can strengthen the work engagement of employees, thereby affecting employee's innovation behavior. Besides, we further found that work engagement also plays a full mediating role among organizational learning and employee's innovative ideas generation, advocacy, and implementation respectively. This paper suggests managers should take advantage of their learning culture to enhance their employees' work engagement and then this is also beneficial for the generation of innovative behavior of employees.</t>
  </si>
  <si>
    <t>[Lin, Hsiu-Chuan; Lee, Yuan-Duen] Chang Jung Christian Univ, Tainan, Taiwan</t>
  </si>
  <si>
    <t>Chang Jung Christian University</t>
  </si>
  <si>
    <t>Lin, HC (corresponding author), Chang Jung Christian Univ, Dept Business Adm, 1 Changda Rd, Tainan 71101, Taiwan.</t>
  </si>
  <si>
    <t>jane@mail.cjcu.edu.tw</t>
  </si>
  <si>
    <t>MODESTUM LTD</t>
  </si>
  <si>
    <t>STE 124 CHALLENGE HOUSE 616 MITCHAM RD, CROYDON, LONDON, CRO 3AA, ENGLAND</t>
  </si>
  <si>
    <t>1305-8215</t>
  </si>
  <si>
    <t>1305-8223</t>
  </si>
  <si>
    <t>EURASIA J MATH SCI T</t>
  </si>
  <si>
    <t>Eurasia J. Math. Sci. Technol. Educ.</t>
  </si>
  <si>
    <t>10.12973/eurasia.2017.00738a</t>
  </si>
  <si>
    <t>EZ3JS</t>
  </si>
  <si>
    <t>WOS:000404607800038</t>
  </si>
  <si>
    <t>Hess, JL; Fila, ND; Purzer, S</t>
  </si>
  <si>
    <t>Hess, Justin L.; Fila, Nicholas D.; Purzer, Senay</t>
  </si>
  <si>
    <t>The Relationship between Empathic and Innovative Tendencies among Engineering Students</t>
  </si>
  <si>
    <t>20th Annual Conference on Innovation and Technology in Computer Science Education</t>
  </si>
  <si>
    <t>JUL 06-08, 2015</t>
  </si>
  <si>
    <t>Vilnius, LITHUANIA</t>
  </si>
  <si>
    <t>ACM,Vilnius Univ Inst Math &amp; Informat</t>
  </si>
  <si>
    <t>empathy; innovation; empathic design; discovery behaviors</t>
  </si>
  <si>
    <t>INTERPERSONAL REACTIVITY INDEX; MIXED-METHODS; DESIGN; CREATIVITY; EDUCATION; VALIDATION; USERS</t>
  </si>
  <si>
    <t>The study of empathy in engineering education has potential to improve the education of innovative engineers through the application of empathically guided engineering principles and processes. This paper explores the relationship between empathic tendencies and innovation behavioral tendencies among 160 engineering students at a large university in the midwestern United States. We first examined the correlations between four empathic tendencies as measured by the Interpersonal Reactivity Index (perspective taking, fantasy, empathic concern, personal distress) and four innovative behavioral tendencies as measured by the Innovative Behavioral Scales (questioning, idea networking, experimenting, observation). Next, using multiple regression analyses, we explored the unique contributions of the empathic tendencies towards each innovative behavioral tendency. Correlation analysis revealed several significant relationships between empathy and innovation; the greatest relationship was between perspective taking and observation. The collection of multiple regression models indicated that the empathic tendencies contributed to the innovative behaviors in unique ways. Perspective-taking was the strongest predictor in three of the four models, whereas personal distress was a strong negative contributor to each of the innovative behavioral tendencies. We explore these results and their implications for engineering educators.</t>
  </si>
  <si>
    <t>[Hess, Justin L.] IUPUI, STEM Educ Res Inst, Indianapolis, IN USA; [Fila, Nicholas D.; Purzer, Senay] Purdue Univ, Sch Engn Educ, W Lafayette, IN 47907 USA</t>
  </si>
  <si>
    <t>Indiana University System; Indiana University-Purdue University Indianapolis; Purdue University System; Purdue University; Purdue University West Lafayette Campus</t>
  </si>
  <si>
    <t>Hess, JL (corresponding author), IUPUI, STEM Educ Res Inst, Indianapolis, IN USA.</t>
  </si>
  <si>
    <t>hessjl@iupui.edu; nfila@purdue.edu; spurzer@purdue.edu</t>
  </si>
  <si>
    <t>Purzer, Senay/AFP-4041-2022; Hess, Justin/AAB-9371-2019</t>
  </si>
  <si>
    <t xml:space="preserve">Purzer, Senay/0000-0003-0784-6079; </t>
  </si>
  <si>
    <t>Div Of Engineering Education and Centers; Directorate For Engineering [1150874] Funding Source: National Science Foundation</t>
  </si>
  <si>
    <t>Div Of Engineering Education and Centers; Directorate For Engineering(National Science Foundation (NSF)NSF - Directorate for Engineering (ENG))</t>
  </si>
  <si>
    <t>A</t>
  </si>
  <si>
    <t>Science Citation Index Expanded (SCI-EXPANDED); Social Science Citation Index (SSCI); Conference Proceedings Citation Index - Science (CPCI-S)</t>
  </si>
  <si>
    <t>DP7SX</t>
  </si>
  <si>
    <t>WOS:000378700600018</t>
  </si>
  <si>
    <t>Kivipold, K</t>
  </si>
  <si>
    <t>Kivipold, Kurmet</t>
  </si>
  <si>
    <t>Organizational leadership capability - a mechanism of knowledge coordination for inducing innovative behaviour A case study in Estonian service industries</t>
  </si>
  <si>
    <t>Organizational leadership; Corporate social responsibility; Knowledge management; Service industry; Management innovation</t>
  </si>
  <si>
    <t>CORPORATE SOCIAL-RESPONSIBILITY; TRANSFORMATIONAL LEADERSHIP; DYNAMIC CAPABILITIES; MANAGEMENT; PERFORMANCE; AMBIDEXTERITY; ANTECEDENTS; COMPLEXITY; ASSETS; IMPACT</t>
  </si>
  <si>
    <t>Purpose - The purpose of this paper is to explore how organizational leadership capability as a knowledge coordinating mechanism affects service organization activities towards different stakeholder groups. Design/methodology/approach - The subjects in the case study are four Estonian service companies from the banking and retail industry providing high-and low-skill services, respectively. The data for the study were collected using the Organizational Leadership Capability Questionnaire with a total of 375 employees as respondents, and the organizations' web sites to analyse corporate social responsibility (CSR). Assessment and analysis of the data included: the measurement of organizational leadership capability; the measurement of CSR communication; and analysis of the results gained from studying issues pertaining to organizational leadership capability as a knowledge coordination mechanism and innovative behaviour in terms of CSR. Findings - Ultimately, the study reveals that organizations with higher intensity of knowledge use in high-skill service industries have greater ability to coordinate knowledge as expressed in terms of organizational leadership capability, which in turn, allows them to behave more innovatively in terms of CSR towards stakeholders. Research limitations/implications - This study suggests that innovative behaviour in organizations towards different groups of stakeholders depends on organizational leadership capability. However, the results of this study are only valid in the context of the Estonia service sector, and more precisely the retail and banking industry. Originality/value - This paper demonstrates the role of organizational leadership capability in the coordination of knowledge to generate innovative behaviour in terms of CSR in service organizations.</t>
  </si>
  <si>
    <t>[Kivipold, Kurmet] Univ Tartu, Fac Econ &amp; Business Adm, Ulikooli 18, EE-50090 Tartu, Estonia</t>
  </si>
  <si>
    <t>University of Tartu</t>
  </si>
  <si>
    <t>Kivipold, K (corresponding author), Univ Tartu, Fac Econ &amp; Business Adm, Ulikooli 18, EE-50090 Tartu, Estonia.</t>
  </si>
  <si>
    <t>Kurmet.Kivipold@ut.ee</t>
  </si>
  <si>
    <t>Kivipold, Kurmet/0000-0001-5324-2044</t>
  </si>
  <si>
    <t>10.1108/BJM-10-2014-0152</t>
  </si>
  <si>
    <t>DC7QF</t>
  </si>
  <si>
    <t>WOS:000369414600006</t>
  </si>
  <si>
    <t>Zlatanovic, D; Mulej, M</t>
  </si>
  <si>
    <t>Zlatanovic, Dejana; Mulej, Matjaz</t>
  </si>
  <si>
    <t>Soft-systems approaches to knowledge-cum-values management as innovation drivers</t>
  </si>
  <si>
    <t>Innovation; ISO 26000; Social responsibility; Dialectical systems theory; Knowledge-cum-values management; Soft systems approaches</t>
  </si>
  <si>
    <t>CORPORATE SOCIAL-RESPONSIBILITY; THINKING; DYNAMICS; MULTIMETHODOLOGY; PERFORMANCE; ENTERPRISES; METHODOLOGY; SSM</t>
  </si>
  <si>
    <t>Purpose - Respecting the growing importance of interdependence of knowledge, values and social responsibility, the purpose of this paper is to introduce the concept of knowledge-cum-values management and to show how some soft systems approaches can support interdependence of knowledge and human values resulting in socially responsible innovative behavior, hence in success. Design/methodology/approach - The selected soft systems approaches are used to double-check the usefulness of the requisitely holistic approach to knowledge-cum-values management and innovation. The applied methodology for qualitative analysis is the Dialectical Systems Theory. Findings - One-sidedness, unlike the requisite holism, causes oversights and hence disables innovations as a new users' benefit. Requisitely holistic knowledge-cum-values management prevents one-sidedness and therefore many oversights; hence it is a valuable driver of innovation. It is supported by social responsibility (exposing the systemic behavior by suggesting interdependence and holistic approach to one's responsibility for one's influences on society). By including values and by enabling consideration of interdependence of human values and knowledge, some soft systems approaches support innovative behavior with social responsibility. Research limitations/implications - Research is limited to theoretical findings resulting from authors' previous empirical studies. The novel concept knowledge-cum-values erases the human dangerous one-sidedness resulting from the irrational rationalistic division of the two. Social responsibility supports informal use of some soft systems theories and diminishes this danger. Practical implications - The practical application of the selected soft systems approaches and social responsibility offers great possibilities for managers to improve the holism of their innovation processes, driven by knowledge-cum-values management. Fewer oversights are possible and lead to fewer mistakes and more success in the invention-innovation-diffusion processes. No human is rational or emotional only, either as a creator or as a consumer, but this fact is disregarded in the management literature. Social implications - Social responsibility shall be considered as an important novel soft-system approach and part of organizational innovative behavior aimed to replace the one-sided approaches prevailing so far and causing crises: the overseen attributes do not cease, but they still impact life and are out of control. Originality/value - The contribution introduces the new, still insufficiently researched concept of knowledge-cum-values management; it highlights new ways of attaining the requisitely holistic knowledge-cum-values management that enhances enterprise's innovation capacity by requisite holism, supported by social responsibility.</t>
  </si>
  <si>
    <t>[Zlatanovic, Dejana] Univ Kragujevac, Fac Econ, Kragujevac, Serbia; [Mulej, Matjaz] Univ Maribor, Fac Econ &amp; Business, SLO-2000 Maribor, Slovenia</t>
  </si>
  <si>
    <t>University of Kragujevac; University of Maribor</t>
  </si>
  <si>
    <t>Zlatanovic, D (corresponding author), Univ Kragujevac, Fac Econ, Kragujevac, Serbia.</t>
  </si>
  <si>
    <t>dejanaz@kg.ac.rs</t>
  </si>
  <si>
    <t>Zlatanovic, Dejana/0000-0001-6071-955X</t>
  </si>
  <si>
    <t>10.1108/BJM-01-2015-0015</t>
  </si>
  <si>
    <t>WOS:000369414600007</t>
  </si>
  <si>
    <t>Medvedeva, TA</t>
  </si>
  <si>
    <t>Medvedeva, Tatiana A.</t>
  </si>
  <si>
    <t>Developing an Innovative Style of Thinking and Innovative Behavior</t>
  </si>
  <si>
    <t>SYSTEMIC PRACTICE AND ACTION RESEARCH</t>
  </si>
  <si>
    <t>Results of the Russian market reforms; Negative styles of management; An innovative style of thinking; Social innovations; A constructivist approach to education; Technology of participation</t>
  </si>
  <si>
    <t>Russia is currently attempting to create a modern, innovative economy, which requires a new type of worker and a new, more cooperative style of management. Twenty years of Russian market reforms have clearly shown that one of the most serious obstacles to creating an innovative economy in Russia is to change the totalitarian style of thinking. A person needs to be considered as more than a means to achieve economic goals. This paper aims to describe some aspects of the social, economic and organizational changes occurring in Russia and one way out of the current predicament: using a constructivist approach to education in order to develop the innovative competencies of people. In this action research a presumption is made that changes in mentality and patterns of behavior are required for both managers and workers. Style of management in organizations should change in a manner that would support the creation of an innovative society.</t>
  </si>
  <si>
    <t>Siberian State Univ Transport, Dept World Econ &amp; Law, Novosibirsk 630049, Russia</t>
  </si>
  <si>
    <t>Siberian Transport University</t>
  </si>
  <si>
    <t>Medvedeva, TA (corresponding author), Siberian State Univ Transport, Dept World Econ &amp; Law, Novosibirsk 630049, Russia.</t>
  </si>
  <si>
    <t>tmedvedeva@mail.ru</t>
  </si>
  <si>
    <t>Medvedeva, Tatiana/0000-0003-0596-4362; Medvedeva, Tat'ana/0000-0001-8410-5827</t>
  </si>
  <si>
    <t>SPRINGER/PLENUM PUBLISHERS</t>
  </si>
  <si>
    <t>1094-429X</t>
  </si>
  <si>
    <t>1573-9295</t>
  </si>
  <si>
    <t>SYST PRACT ACT RES</t>
  </si>
  <si>
    <t>Syst. Pract. Action Res.</t>
  </si>
  <si>
    <t>10.1007/s11213-011-9221-9</t>
  </si>
  <si>
    <t>946ZZ</t>
  </si>
  <si>
    <t>WOS:000304397700004</t>
  </si>
  <si>
    <t>Jang, SL; Chen, JH</t>
  </si>
  <si>
    <t>Jang, Show-Ling; Chen, Jennifer H.</t>
  </si>
  <si>
    <t>What determines how long an innovative spell will last?</t>
  </si>
  <si>
    <t>Innovative persistence; State dependence; Patent spell longevity; Technology accumulation</t>
  </si>
  <si>
    <t>PERSISTENCE; DURATION</t>
  </si>
  <si>
    <t>This paper is set out to examine the temporal pattern of innovative activities: what might have affected a firm's patenting from one period to the next. Based upon data on 'information technology' (IT) manufacturing firms in Taiwan covering the years 1990-2001, we develop a survival model to analyze the underlying drivers of patenting duration. Our results indicate that the level of the patent stock at the onset of the patent spell, defined as the number of successive years during which a firm produced at least one patent per year, has a non-linear effect on spell duration. Other factors, such as industrial growth, firm size and firm profitability, have a positive effect on patenting duration, while firm age and spell sequence affect negatively to spell duration. We conclude that state dependence is demonstrated by innovative behavior, yet the advantages gained from such creative accumulation can easily be dissipated, thereby illustrating the transient nature of dynamic capabilities.</t>
  </si>
  <si>
    <t>[Chen, Jennifer H.] Nanhua Univ, Dept NPO Management, Chiayi 62248, Taiwan; [Jang, Show-Ling] Natl Taiwan Univ, Dept Econ, Taipei 10764, Taiwan</t>
  </si>
  <si>
    <t>Nanhua University; National Taiwan University</t>
  </si>
  <si>
    <t>Chen, JH (corresponding author), Nanhua Univ, Dept NPO Management, 55 Sec 1 Nanhua Rd, Chiayi 62248, Taiwan.</t>
  </si>
  <si>
    <t>jchen@mail.nhu.edu.tw</t>
  </si>
  <si>
    <t>JANG, SHOW-LING/0000-0002-2131-651X</t>
  </si>
  <si>
    <t>Taiwan's National Science Council [95-2415-H-002-009]; School of Social Sciences, National Taiwan University</t>
  </si>
  <si>
    <t>Taiwan's National Science Council; School of Social Sciences, National Taiwan University(National Taiwan University)</t>
  </si>
  <si>
    <t>The authors thank the data assistance provided by Jui-Chung Young and Che-Jung Hsu. Financial support was provided by Taiwan's National Science Council, Project No. 95-2415-H-002-009 and School of Social Sciences, National Taiwan University.</t>
  </si>
  <si>
    <t>1588-2861</t>
  </si>
  <si>
    <t>10.1007/s11192-010-0247-z</t>
  </si>
  <si>
    <t>688XC</t>
  </si>
  <si>
    <t>WOS:000284888600005</t>
  </si>
  <si>
    <t>Parrado, EA</t>
  </si>
  <si>
    <t>Social change, population policies, and fertility decline in Colombia and Venezuela</t>
  </si>
  <si>
    <t>POPULATION RESEARCH AND POLICY REVIEW</t>
  </si>
  <si>
    <t>fertility; Latin America; family planning; development</t>
  </si>
  <si>
    <t>MARITAL FERTILITY; FEMALE EMPLOYMENT; UNITED-STATES; TRANSITION; LIMITATION; DEMAND; PHILIPPINES; IMMIGRANTS; EXPERIENCE; INNOVATION</t>
  </si>
  <si>
    <t>This paper takes a comparative case-study approach to examine the social and policy correlates of fertility decline. The analysis compares fertility behavior across a mature and young cohort of women in Colombia and Venezuela, two countries that experienced rapid demographic change under dissimilar socioeconomic and population policy conditions. Based on the distinction between birth-spacing and birth-stopping behavior the analysis tests several propositions derived from the adaptation and innovation explanations of fertility decline. Results show that fertility regulation at low parities was largely absent among mature women in both countries, representing an innovative behavior among younger women. The introduction of fertility control, however, was highly dependent on women's socioeconomic position, particularly their educational and occupational characteristics. The strong family planning programs in Colombia resulted in a more rapid extension of contraceptive use, particularly female sterilization, and stopping behavior after two children relative to Venezuela. Results highlight the diversity of conditions under which fertility can decline in developing countries and the importance of family planning and other policy initiatives to understanding the different pathways towards lower fertility.</t>
  </si>
  <si>
    <t>Duke Univ, Dept Sociol, Durham, NC 27708 USA</t>
  </si>
  <si>
    <t>Duke University</t>
  </si>
  <si>
    <t>Parrado, EA (corresponding author), Duke Univ, Dept Sociol, Box 90088, Durham, NC 27708 USA.</t>
  </si>
  <si>
    <t>eparrado@soc.duke.edu</t>
  </si>
  <si>
    <t>0167-5923</t>
  </si>
  <si>
    <t>1573-7829</t>
  </si>
  <si>
    <t>POPUL RES POLICY REV</t>
  </si>
  <si>
    <t>Popul. Res. Policy Rev.</t>
  </si>
  <si>
    <t>10.1023/A:1010676303313</t>
  </si>
  <si>
    <t>429ND</t>
  </si>
  <si>
    <t>WOS:000168522900002</t>
  </si>
  <si>
    <t>Mendes, FDC; Martins, LBR; Pereira, JA; Marquezan, RF</t>
  </si>
  <si>
    <t>Fishing with a bait: A note on behavioural flexibility in Cebus apella</t>
  </si>
  <si>
    <t>Cebus apella; fishing; tool use; bait; learning; cognition; innovative behaviour</t>
  </si>
  <si>
    <t>CAPUCHIN MONKEYS; TUFTED CAPUCHIN</t>
  </si>
  <si>
    <t>Univ Catolica Goias, Dept Psicol, LAEC, BR-74605010 Goiania, Go, Brazil; Univ Catolica Goias, Inst Trop Subumido, BR-74605010 Goiania, Go, Brazil</t>
  </si>
  <si>
    <t>Mendes, FDC (corresponding author), Univ Catolica Goias, Dept Psicol, LAEC, Av Univ 1440 Setor Univ,CP 86, BR-74605010 Goiania, Go, Brazil.</t>
  </si>
  <si>
    <t>Pereira, Javier/D-5343-2012</t>
  </si>
  <si>
    <t>Pereira, Javier/0000-0001-9328-0723; Mendes, Francisco/0000-0002-3111-9608</t>
  </si>
  <si>
    <t>10.1159/000021759</t>
  </si>
  <si>
    <t>378RN</t>
  </si>
  <si>
    <t>WOS:000165597600006</t>
  </si>
  <si>
    <t>Okun, BS</t>
  </si>
  <si>
    <t>Innovation and adaptation in fertility transition: Jewish immigrants to Israel from Muslim North Africa and the Middle East</t>
  </si>
  <si>
    <t>UNITED-STATES; WORLD</t>
  </si>
  <si>
    <t>Transplanted to a radically different economic and cultural environment, Jewish immigrants to Israel from Muslim North Africa and the Middle East reduced their cohort fertility by approximately 33 per cent within 30 years, in the absence of any organized family planning programme, Following the framework specified by Carlsson (1969), we identify two fertility control strategies that contributed to their fertility decline: (1) innovation behaviour - adoption of the birth control pill, and (2) adaptive behaviour - increases in birth spacing at low parities. Military service was a vehicle of socialization for these new immigrants. We find important effects of female respondents' military service in explaining the adoption of innovative behaviour by this economically and culturally marginalized subpopulation. In contrast, military service is not important in explaining the spread of adaptive behaviour within this same subgroup. These findings thus suggest circumstances iu which cultural barriers to the adoption of new behaviour are important.</t>
  </si>
  <si>
    <t>Okun, BS (corresponding author), HEBREW UNIV JERUSALEM,DEPT POPULAT STUDIES,IL-91905 JERUSALEM,ISRAEL.</t>
  </si>
  <si>
    <t>POPULATION INVESTIGATION COMM LONDON SCH OF ECON</t>
  </si>
  <si>
    <t>HOUGHTON ST ALDWYCH, LONDON, ENGLAND WC2A 2AE</t>
  </si>
  <si>
    <t>10.1080/0032472031000150086</t>
  </si>
  <si>
    <t>YH205</t>
  </si>
  <si>
    <t>WOS:A1997YH20500006</t>
  </si>
  <si>
    <t>Tan, ABC; Van Dun, DH; Wilderom, CPM</t>
  </si>
  <si>
    <t>Tan, Amy B. C.; Van Dun, Desiree H.; Wilderom, Celeste P. M.</t>
  </si>
  <si>
    <t>Innovative work behavior in Singapore evoked by transformational leaders through innovation support and readiness</t>
  </si>
  <si>
    <t>collectivistic culture; employee innovative work behaviour; innovation readiness; perceived support for innovation; transformational leadership</t>
  </si>
  <si>
    <t>MEDIATING ROLE; METHOD VARIANCE; PSYCHOLOGICAL EMPOWERMENT; ORGANIZATIONAL COMMITMENT; MODERATING ROLE; SELF-EFFICACY; MODEL; IMPLEMENTATION; DETERMINANTS; PERCEPTIONS</t>
  </si>
  <si>
    <t>The current global economic landscape is forcing all organizational sectors to remain relevant by innovating services, products and work processes. Therefore, more than before, organizational leaders must enable innovative behaviour of their employees. Although the literature shows that transformational leadership induces innovative employee behaviour, the mediating mechanisms between Asian organizational leaders and their followers have rarely been empirically examined. We conducted a survey study among 406 employees from six public and private sector service organizations in Singapore to test two mediating effects between transformational leadership and employee innovative work behaviour. The results supported the hypothesized three-path mediation model, with perceived support for innovation and innovation readiness as mediators in a series. These findings can be used to design and implement effective human resource and organizational development interventions within Asian service organizations. Our study also extends the literature on the effects of transformational leadership in collectivistic cultures.</t>
  </si>
  <si>
    <t>[Tan, Amy B. C.] Ctr Organisat Effectiveness, Singapore, Singapore; [Tan, Amy B. C.; Van Dun, Desiree H.; Wilderom, Celeste P. M.] Univ Twente, Ind Engn &amp; Business Informat Syst Fac, Enschede, Netherlands</t>
  </si>
  <si>
    <t>Tan, ABC (corresponding author), Ctr Organisat Effectiveness, Singapore, Singapore.</t>
  </si>
  <si>
    <t>Amy.Tan@COE-Partners.com</t>
  </si>
  <si>
    <t>Tan, Amy BC/AGI-3491-2022; Tan, Amy Bee Choo/AEP-8286-2022; Van Dun, Desirée H/R-6136-2016</t>
  </si>
  <si>
    <t>Tan, Amy BC/0000-0002-5978-8360; Tan, Amy Bee Choo/0000-0002-5978-8360; van Dun, Desiree/0000-0002-6279-5510</t>
  </si>
  <si>
    <t>10.1111/caim.12462</t>
  </si>
  <si>
    <t>XA0UN</t>
  </si>
  <si>
    <t>WOS:000720373500004</t>
  </si>
  <si>
    <t>Nicolas-Agustin, A; Jimenez-Jimenez, D; Maeso-Fernandez, F</t>
  </si>
  <si>
    <t>Nicolas-Agustin, Alvaro; Jimenez-Jimenez, Daniel; Maeso-Fernandez, Francisco</t>
  </si>
  <si>
    <t>The role of human resource practices in the implementation of digital transformation</t>
  </si>
  <si>
    <t>Strategic alignment; Human resource practices; Innovative work behavior; Digital transformation</t>
  </si>
  <si>
    <t>INNOVATIVE WORK BEHAVIOR; STRATEGIC ALIGNMENT; RADICAL INNOVATION; HRM PRACTICES; PERCEPTIONS; PERFORMANCE; LEADERSHIP; CREATIVITY; MANAGEMENT; MEDIATE</t>
  </si>
  <si>
    <t>Purpose Professionals and academics need to know what human resource practices are necessary in this Industry 4.0 environment and digital revolution. This research studies some human resource practices in the digital age that favor the implementation of digital transformation. The authors' arguments suggest that for personnel to be a key asset in digital transformation processes, a strategic alignment is necessary to drive the company toward these objectives. Design/methodology/approach The hypotheses were tested in a representative sample of 184 manufacturing companies with ten or more employees located in the southeast of Spain, using partial least squares. Findings The authors' findings show that human resource practices partially mediate the relationship between strategic alignment and digital transformation. Based on the contingent approach, the authors also maintain that the company must implement human resource practices that encourage employee behaviors that are consistent with the organization's strategy. This strategic alignment and these human resource practices enable companies to achieve digital transformation in search of superior performance. Research limitations/implications Longitudinal and multilevel studies could increase the strength of the research, which could also include companies from other sectors. Although the technology component is fundamental in digital transformation processes, human capital management is even more important. This research highlights the mediating role of human resource management, where practices such as teleworking, teamwork and employee engagement are essential to foster innovative behavior and implement the digital transformation process. Practical implications In the new digital environment, companies must adopt a set of human resource practices that favor innovative employee behavior that helps digitally transform their businesses. Originality/value To the best of authors' knowledge, this empirical study has not been previously carried out. The theoretical model and hypothesis testing provide strategic value for understanding some of the determinants of digital transformation in relation to human resource management.</t>
  </si>
  <si>
    <t>[Nicolas-Agustin, Alvaro; Jimenez-Jimenez, Daniel] Univ Murcia, Management &amp; Finance, Murcia, Spain; [Maeso-Fernandez, Francisco] Univ Murcia, Appl Econ, Murcia, Spain</t>
  </si>
  <si>
    <t>University of Murcia; University of Murcia</t>
  </si>
  <si>
    <t>Nicolas-Agustin, A (corresponding author), Univ Murcia, Management &amp; Finance, Murcia, Spain.</t>
  </si>
  <si>
    <t>alvaro.nicolas1@um.es</t>
  </si>
  <si>
    <t>Nicolas-Agustin, Alvaro/HDO-1702-2022; Nicolás-Agustín, Álvaro/ABC-6538-2021; Jimenez-Jimenez, Daniel/C-7914-2015</t>
  </si>
  <si>
    <t>Nicolás-Agustín, Álvaro/0000-0002-0240-7651; Jimenez-Jimenez, Daniel/0000-0002-1790-0799</t>
  </si>
  <si>
    <t>Ministry of Economy, Industry and Competitiveness of the Spanish Government [ECO2017-88987-R]; European Union FEDER</t>
  </si>
  <si>
    <t>Ministry of Economy, Industry and Competitiveness of the Spanish Government(Spanish Government); European Union FEDER(European Commission)</t>
  </si>
  <si>
    <t>The authors are grateful to the Ministry of Economy, Industry and Competitiveness of the Spanish Government for financing the research project ECO2017-88987-R (MINECO/FEDER; EU), co-financed by the European Union FEDER. In addition, the authors are grateful to the Servicio de Estudios de la Union General de Trabajadores, Federacion Regional de Empresarios del Metal (FREMM), Confederacion Regional de Organizaciones Empresariales (CROEM), Asociacion de Jovenes Empresarios (AJE) and to the Asociacion de Directivos de Murcia (ADIMUR) for making this research possible.</t>
  </si>
  <si>
    <t>MAY 24</t>
  </si>
  <si>
    <t>10.1108/IJM-03-2021-0176</t>
  </si>
  <si>
    <t>1K1AY</t>
  </si>
  <si>
    <t>WOS:000712485600001</t>
  </si>
  <si>
    <t>Tshiaba, SM; Wang, NX; Ashraf, SF; Nazir, M; Syed, N</t>
  </si>
  <si>
    <t>Mangenda Tshiaba, Sidney; Wang, Nianxin; Ashraf, Sheikh Farhan; Nazir, Mehrab; Syed, Nausheen</t>
  </si>
  <si>
    <t>Measuring the Sustainable Entrepreneurial Performance of Textile-Based Small-Medium Enterprises: A Mediation-Moderation Model</t>
  </si>
  <si>
    <t>sustainable entrepreneurial performance; dynamic capabilities; opportunity recognition; knowledge sharing behavior; innovative capacity; absorptive capacity</t>
  </si>
  <si>
    <t>DYNAMIC CAPABILITIES; ABSORPTIVE-CAPACITY; KNOWLEDGE MANAGEMENT; INNOVATION PERFORMANCE; EMPIRICAL-ASSESSMENT; FIRM PERFORMANCE; SELF-EFFICACY; PLS-SEM; BUSINESS; OPPORTUNITY</t>
  </si>
  <si>
    <t>This research aimed to examine the role of knowledge management practices in sustainable entrepreneurship performance. This study also investigated the relationships between six concepts: knowledge sharing behavior, innovative capacity, absorptive capacity, dynamic capability, opportunity recognition, and sustainable entrepreneurship. A self-administered questionnaire was used for data collection from 486 entrepreneurs randomly selected from textile-based SMEs in the Democratic Republic of the Congo (DRC). The findings show that knowledge management practices positively and significantly impact sustainable entrepreneurship performance and SMEs' dynamic capabilities. Moreover, opportunity recognition strengthens the relationship between SMEs' dynamic capabilities and sustainable entrepreneurship performance. This study offers valuable insights and directions for researchers and practitioners interested in the field of entrepreneurship.</t>
  </si>
  <si>
    <t>[Mangenda Tshiaba, Sidney; Wang, Nianxin; Nazir, Mehrab] Jiangsu Univ Sci &amp; Technol, Sch Econ &amp; Management, Zhenjiang 212003, Jiangsu, Peoples R China; [Ashraf, Sheikh Farhan] Jiangsu Univ, Sch Management, Zhenjiang 212100, Jiangsu, Peoples R China; [Syed, Nausheen] Govt Coll Women Univ, Dept Business Adm, Faisalabad 38000, Pakistan</t>
  </si>
  <si>
    <t>Jiangsu University of Science &amp; Technology; Jiangsu University</t>
  </si>
  <si>
    <t>Tshiaba, SM; Wang, NX (corresponding author), Jiangsu Univ Sci &amp; Technol, Sch Econ &amp; Management, Zhenjiang 212003, Jiangsu, Peoples R China.</t>
  </si>
  <si>
    <t>sidneytshiaba@outlook.com; nianxin.wang@gmail.com; fhsheikh08@gmail.com; Mehrabnazir9@gmail.com; nausheen.dr@gmail.com</t>
  </si>
  <si>
    <t>Ashraf, Dr Sheikh Farhan/AAF-5941-2019; nazir, mehrab/ABF-5794-2020</t>
  </si>
  <si>
    <t>Ashraf, Dr Sheikh Farhan/0000-0003-0439-6682; nazir, mehrab/0000-0003-0645-8445; Sidney, Mangenda Tshiaba/0000-0003-1398-8540</t>
  </si>
  <si>
    <t>National Natural Science Foundation of China [71971101, 71972090]; key project of philosophy and social science research in colleges and universities of Jiangsu Province [2019SJZDA032]</t>
  </si>
  <si>
    <t>National Natural Science Foundation of China(National Natural Science Foundation of China (NSFC)); key project of philosophy and social science research in colleges and universities of Jiangsu Province</t>
  </si>
  <si>
    <t>This research was funded by The National Natural Science Foundation of China, grant numbers 71971101 and 71972090, and the key project of philosophy and social science research in colleges and universities of Jiangsu Province, grant number 2019SJZDA032.</t>
  </si>
  <si>
    <t>10.3390/su131911050</t>
  </si>
  <si>
    <t>WK2FS</t>
  </si>
  <si>
    <t>WOS:000709547300001</t>
  </si>
  <si>
    <t>Wang, H; Chen, M; Li, XQ</t>
  </si>
  <si>
    <t>Wang, Hui; Chen, Min; Li, Xiangqing</t>
  </si>
  <si>
    <t>Moderating Multiple Mediation Model of the Impact of Inclusive Leadership on Employee Innovative Behavior</t>
  </si>
  <si>
    <t>inclusive leadership; psychological safety; creative self-efficacy; innovation rewards; employee innovative behavior; moderating multiple mediation model</t>
  </si>
  <si>
    <t>CREATIVE SELF-EFFICACY; PSYCHOLOGICAL SAFETY; ORGANIZATIONAL CULTURE; REWARDS; PERFORMANCE; ANTECEDENTS; COMMITMENT; ENGAGEMENT; MANAGEMENT; WORKPLACE</t>
  </si>
  <si>
    <t>Leadership is an important antecedent variable of employee innovative behavior. In previous studies, the influence of inclusive leadership on employee innovative behavior mainly focus on one mediating variable, which may lead to a deviation in parameter estimation due to the omission of other mediating variables. According to the social cognitive theory and motivation theory and from the perspective of cognitive-motivation integration, this study establishes a moderating multi-mediation model to understand the impact of inclusive leadership on employee innovative behavior. Psychological safety and creative self-efficacy are used as mediating variables, and innovation rewards are used as moderating variables. The data are collected from 418 employees of the manufacturing industry in China. The results show that, at first, inclusive leadership has a positive effect on employee innovative behavior. Secondly, both psychological safety and creative self-efficacy play partial mediating effects between inclusive leadership and employee innovative behavior, with the effect of the former being significantly smaller than that of the latter. Thirdly, innovation rewards positively moderate the relationships of psychological safety-employee innovative behavior and of creative self-efficacy-employee innovative behavior. Fourthly, innovation rewards positively moderate the indirect effect of inclusive leadership on employee innovative behavior through psychological safety and creative self-efficacy. These findings are not only helpful to expand how inclusive leadership influences the innovative behavior of employees but also provides some suggestions for enterprise innovation development.</t>
  </si>
  <si>
    <t>[Wang, Hui; Chen, Min; Li, Xiangqing] Xiangtan Univ, Business Sch, Human Resource Management Dept, Xiangtan, Peoples R China</t>
  </si>
  <si>
    <t>Xiangtan University</t>
  </si>
  <si>
    <t>Wang, H (corresponding author), Xiangtan Univ, Business Sch, Human Resource Management Dept, Xiangtan, Peoples R China.</t>
  </si>
  <si>
    <t>453778461@qq.com</t>
  </si>
  <si>
    <t>Natural Science Foundation of Hunan Province, China [2019JJ50594]</t>
  </si>
  <si>
    <t>Natural Science Foundation of Hunan Province, China(Natural Science Foundation of Hunan Province)</t>
  </si>
  <si>
    <t>This research was supported by the Natural Science Foundation of Hunan Province, China (Award no. 2019JJ50594).</t>
  </si>
  <si>
    <t>AUG 11</t>
  </si>
  <si>
    <t>10.3389/fpsyg.2021.666477</t>
  </si>
  <si>
    <t>UH9EJ</t>
  </si>
  <si>
    <t>WOS:000690224100001</t>
  </si>
  <si>
    <t>Ma, ZQ; Khan, HSUD; Chughtai, MS; Li, MX</t>
  </si>
  <si>
    <t>Zhiqiang, Ma; Khan, Hira Salah ud din; Chughtai, Muhammad Salman; Mingxing, Li</t>
  </si>
  <si>
    <t>Re-Engineering the Human Resource Strategies Amid and Post-Pandemic Crisis: Probing into the Moderated Mediation Model of the High-Performance Work Practices and Employee's Outcomes</t>
  </si>
  <si>
    <t>high-performance work practices; organization-based self-esteem; positive psychological capital; employee's in-role performance; employee's task performance; COVID-19 pandemic</t>
  </si>
  <si>
    <t>SELF-ESTEEM; ORGANIZATIONAL PERFORMANCE; INNOVATIVE BEHAVIOR; JOB-SATISFACTION; SYSTEMS; CITIZENSHIP; ENGAGEMENT; LEADERSHIP; IMPACT; RECOMMENDATIONS</t>
  </si>
  <si>
    <t>By incorporating the conservation of resource theory, this study examines how high-performance work practices (HPWPs) affect the employee's in-role performance (EIRP) and employee's task performance (ETP) during the coronavirus disease 2019 (COVID-19) pandemic. Furthermore, this study investigates how organization-based self-esteem (OBSE) and positive psychological capital (PPC) affect the relationship between HPWPs and outcomes of employees such as EIRP and ETP. A quantitative technique based on the survey method was used to gather the primary data of the investigation. Two hundred and eleven bank employees working in different banks of Punjab and Pakistan participated in the survey process. The PROCESS-macro was used to test the relationship among the study constructs. Our results supported all the study hypotheses, however positive psychological capital did not moderate the indirect effect of high performance work practices on employee's task performance via organization based self-esteem. This study is the earliest of its kind that focuses on HPWPs and outcomes of employees amid the COVID-19 pandemic in a developing country like Pakistan. The findings of this study provide practical implications in the post and continuing pandemic situation for organizations to human resource management to redesign workforce strategies to increase their contribution and responses to realize organizational priorities. Although researchers have explored the topic in different sectors, scant studies have investigated the potential impact, barriers, and enabling mechanisms that function as a catalyst in HPWPs during the pandemic situation.</t>
  </si>
  <si>
    <t>[Zhiqiang, Ma; Khan, Hira Salah ud din; Mingxing, Li] Jiangsu Univ, Sch Management, Zhenjiang, Jiangsu, Peoples R China; [Chughtai, Muhammad Salman] Int Islamic Univ, Fac Management Sci, Islamabad, Pakistan</t>
  </si>
  <si>
    <t>Jiangsu University; International Islamic University, Pakistan</t>
  </si>
  <si>
    <t>Khan, HSUD; Li, MX (corresponding author), Jiangsu Univ, Sch Management, Zhenjiang, Jiangsu, Peoples R China.</t>
  </si>
  <si>
    <t>hirakhan@ujs.edu.cn; mingxingli6@ujs.edu.cn</t>
  </si>
  <si>
    <t>ma, zhiqiang/HZK-3874-2023; KHAN, HIRA SALAH UD DIN/AAG-9157-2020; Chughtai, Muhammad Salman/AAB-9449-2021</t>
  </si>
  <si>
    <t>KHAN, HIRA SALAH UD DIN/0000-0002-7130-6897; Chughtai, Muhammad Salman/0000-0002-6117-9070</t>
  </si>
  <si>
    <t>National Natural Science Foundation of China [71974082]</t>
  </si>
  <si>
    <t>This study is supported by National Natural Science Foundation of China (No. 71974082).</t>
  </si>
  <si>
    <t>10.3389/fpsyg.2021.710266</t>
  </si>
  <si>
    <t>TM9JD</t>
  </si>
  <si>
    <t>WOS:000675862100001</t>
  </si>
  <si>
    <t>Renkema, M; de Leede, J; Van Zyl, LE</t>
  </si>
  <si>
    <t>Renkema, Maarten; de Leede, Jan; Van Zyl, Llewellyn E.</t>
  </si>
  <si>
    <t>High-involvement HRM and innovative behaviour: The mediating roles of nursing staff's autonomy and affective commitment</t>
  </si>
  <si>
    <t>affective Commitment; autonomy; high-involvement; human resource management; innovative work behaviour</t>
  </si>
  <si>
    <t>SELF-DETERMINATION THEORY; HUMAN-RESOURCE PRACTICES; ORGANIZATIONAL COMMITMENT; WORK BEHAVIOR; MODERATING ROLE; FIT INDEXES; PERCEPTIONS; CARE; PERFORMANCE; MANAGEMENT</t>
  </si>
  <si>
    <t>Aims: The purpose of this paper was to investigate the relationship between high-involvement human resource management, autonomy, affective organisational commitment and innovative behaviours of nursing staff who care for elderly clients. Background: Nursing teams are increasingly required to demonstrate innovative behaviours that enhance care quality. Nursing leaders need to create environments where nursing staff have sufficient autonomy and feel a sense of commitment to support these behaviours. The appropriate implementation of these processes and practices may lead to greater involvement. Methods: A cross-sectional survey-based research design was employed to explore the experiences of involvement practices, autonomy, affective organisational commitment and innovative behaviours of 567 nursing staff workers from four elderly care organisations in the Netherlands. Results: The results demonstrate that a bundle of high-involvement practices positively influences innovative behaviour and that affective commitment and autonomy fully mediate this relationship. Conclusions: The study highlights the role of autonomy and commitment as routes towards translating involvement practices into nurses' innovativeness. Implications for Nursing Management: To create an innovative environment, leaders need to create a positive climate by providing nurses with opportunities to enhance their competence, relatedness and autonomy through active involvement. Leaders should, therefore, encourage involvement as a mechanism to promote innovation.</t>
  </si>
  <si>
    <t>[Renkema, Maarten; de Leede, Jan; Van Zyl, Llewellyn E.] Univ Twente, Dept Human Resource Management, Enschede, Netherlands; [Van Zyl, Llewellyn E.] Univ Eindhoven, Dept Ind Engn, Eindhoven, Netherlands; [Van Zyl, Llewellyn E.] North West Univ VTC, Optentia Res Focus Area, Vanderbijlpark, South Africa; [Van Zyl, Llewellyn E.] Goethe Univ, Inst Psychol, Frankfurt, Germany</t>
  </si>
  <si>
    <t>University of Twente; Eindhoven University of Technology; North West University - South Africa; Goethe University Frankfurt</t>
  </si>
  <si>
    <t>Renkema, M (corresponding author), Univ Twente, Dept Human Resource Management, Enschede, Netherlands.</t>
  </si>
  <si>
    <t>m.renkema@utwente.nl</t>
  </si>
  <si>
    <t>Renkema, Maarten/ABA-4213-2021; van Zyl, Llewellyn Ellardus/AAH-7668-2021</t>
  </si>
  <si>
    <t>van Zyl, Llewellyn Ellardus/0000-0003-3088-3820; Renkema, Maarten/0000-0002-9788-1929</t>
  </si>
  <si>
    <t>research programme Innovating Human Resource Management for Employee-Driven Innovation [409-13-204]; Netherlands Organization for Scientific Research (NWO)</t>
  </si>
  <si>
    <t>research programme Innovating Human Resource Management for Employee-Driven Innovation; Netherlands Organization for Scientific Research (NWO)(Netherlands Organization for Scientific Research (NWO))</t>
  </si>
  <si>
    <t>This work is part of the research programme Innovating Human Resource Management for Employee-Driven Innovation with project number 409-13-204, which is (partly) financed by the Netherlands Organization for Scientific Research (NWO)</t>
  </si>
  <si>
    <t>10.1111/jonm.13390</t>
  </si>
  <si>
    <t>WR2JZ</t>
  </si>
  <si>
    <t>WOS:000667971500001</t>
  </si>
  <si>
    <t>Senbeto, DL; Hon, AHY; Law, R</t>
  </si>
  <si>
    <t>Senbeto, Dagnachew L.; Hon, Alice H. Y.; Law, Rob</t>
  </si>
  <si>
    <t>Organizational Cultures Determine Employee Innovation in Response to Seasonality: Regulatory Processes of Openness and Resistance</t>
  </si>
  <si>
    <t>tourism seasonality; organizational culture; innovative behavior; openness; resistance to change; regulatory focus theory</t>
  </si>
  <si>
    <t>MODERATING ROLE; CITIZENSHIP BEHAVIOR; APPROACH-AVOIDANCE; CREATIVITY; PERSONALITY; FOCUS; ANTECEDENTS; STRATEGIES; MOTIVATION; EXPERIENCE</t>
  </si>
  <si>
    <t>The existing literature on tourism seasonality focuses on seasonality's cause and impact but pays little attention to understand employees' reactions to off-season markets. Drawing from approach-avoidance and regulatory focus theories, we examine the influence of three types of organizational cultures on employee innovative behavior. We also propose two regulatory processes that mediate those relationships: employee openness and resistance to change. Using multisource data from hotel employees and managers, our results indicate that employee openness positively mediates innovative and collaborative cultures' relationships on employee innovation. In contrast, it negatively mediates the relationship between traditional culture and innovative behavior. On the other hand, employee resistance to change positively mediates the association between traditional culture and employee innovation, whereas it negatively mediates the relationships between innovative and collaborative cultures on employee innovation. We provide managerial implications and directions for future research in response to seasonality.</t>
  </si>
  <si>
    <t>[Senbeto, Dagnachew L.] Open Univ Hong Kong, Lee Shau Kee Sch Business &amp; Adm, Kowloon, Hong Kong, Peoples R China; [Hon, Alice H. Y.] Hong Kong Polytech Univ, Sch Hotel &amp; Tourism Management, Kowloon, Hong Kong, Peoples R China; [Law, Rob] Hong Kong Polytech Univ, Sch Hotel &amp; Tourism Management, Technol Management, Kowloon, Hong Kong, Peoples R China</t>
  </si>
  <si>
    <t>Hong Kong Metropolitan University; Hong Kong Polytechnic University; Hong Kong Polytechnic University</t>
  </si>
  <si>
    <t>Senbeto, DL (corresponding author), Open Univ Hong Kong, Lee Shau Kee Sch Business &amp; Adm, Kowloon, Hong Kong, Peoples R China.</t>
  </si>
  <si>
    <t>dsenbeto@ouhk.edu.hk; alice.hon@polyu.edu.hk; rob.law@polyu.edu.hk</t>
  </si>
  <si>
    <t>Law, Rob/Y-3608-2019; HON, Alice H Y/A-5470-2014</t>
  </si>
  <si>
    <t>Law, Rob/0000-0001-7199-3757; HON, Alice H Y/0000-0002-1982-7345; Senbeto, Dagnachew/0000-0002-8743-3348</t>
  </si>
  <si>
    <t>Research Grants Council of the Hong Kong Special Administrative Region, China [UGC/IDS16/17]</t>
  </si>
  <si>
    <t>Research Grants Council of the Hong Kong Special Administrative Region, China(Hong Kong Research Grants Council)</t>
  </si>
  <si>
    <t>The authors would like to thank the Institute of International Business and Governance, established with the substantial support of a grant from the Research Grants Council of the Hong Kong Special Administrative Region, China (UGC/IDS16/17), for its support.</t>
  </si>
  <si>
    <t>10.1177/10963480211011629</t>
  </si>
  <si>
    <t>2M9JH</t>
  </si>
  <si>
    <t>WOS:000649501200001</t>
  </si>
  <si>
    <t>Donkor, F; Dongmei, Z; Sekyere, I</t>
  </si>
  <si>
    <t>Donkor, Francis; Dongmei, Zhou; Sekyere, Isaac</t>
  </si>
  <si>
    <t>The Mediating Effects of Organizational Commitment on Leadership Styles and Employee Performance in SOEs in Ghana: A Structural Equation Modeling Analysis</t>
  </si>
  <si>
    <t>leadership; transformational leadership; transactional leadership; laissez-faire leadership; organizational commitment; employee performance; public sector organizations</t>
  </si>
  <si>
    <t>PUBLIC-SERVICE MOTIVATION; TRANSFORMATIONAL LEADERSHIP; JOB-SATISFACTION; TRANSACTIONAL LEADERSHIP; MODERATING ROLE; WORKPLACE RELATIONSHIPS; NORMATIVE COMMITMENT; AUTHENTIC LEADERSHIP; INNOVATIVE BEHAVIOR; TURNOVER INTENTION</t>
  </si>
  <si>
    <t>The primary purpose of this study is to investigate the mediating effects of organizational commitment on leadership styles (transformational, transactional and laissez-faire) and subordinate performance in state-owned enterprises in Ghana. The study adopted the partial least squares structural equation model (PLS-SEM) to test the hypotheses model. The model has been tested with 330 respondents. The data have been validated by the use of measurement modeling to determine internal consistency reliability (CR) and convergent validity (CV) with SmartPLS 3.0. The results indicate that organizational commitment mediates transformational and laissez-faire leadership. It has also been found that transformational and laissez-faire leadership have a statistically positive and significant relationship with job performance at p &lt; .05 while transactional leadership proved insignificant. The implication is that leaders should know any action to improve subordinate commitment and job performance should take into account appropriate leadership behavior. Also, human development training should be instituted to shape the present and future leadership needs of the enterprise. In furtherance to this, the study provides discussions on the findings, limitations and went on to propose directions for future research.</t>
  </si>
  <si>
    <t>[Donkor, Francis; Dongmei, Zhou] Univ Elect Sci &amp; Technol China, Chengdu, Peoples R China; [Sekyere, Isaac] Walden Univ, Minneapolis, MN USA</t>
  </si>
  <si>
    <t>University of Electronic Science &amp; Technology of China; Walden University</t>
  </si>
  <si>
    <t>Donkor, F (corresponding author), Univ Elect Sci &amp; Technol China, Sch Management &amp; Econ, 2006 Xiyuan Ave, Chengdu 6111731, Sichuan, Peoples R China.</t>
  </si>
  <si>
    <t>lastygh@yahoo.com</t>
  </si>
  <si>
    <t>Donkor, Francis/0000-0002-0090-0784</t>
  </si>
  <si>
    <t>10.1177/21582440211008894</t>
  </si>
  <si>
    <t>YZ7MM</t>
  </si>
  <si>
    <t>WOS:000755656400001</t>
  </si>
  <si>
    <t>Mazza, V; Guenther, A</t>
  </si>
  <si>
    <t>Mazza, Valeria; Guenther, Anja</t>
  </si>
  <si>
    <t>City mice and country mice: innovative problem solving in rural and urban noncommensal rodents</t>
  </si>
  <si>
    <t>animal personality; anthropogenic environment; Apodemus agrarius; HIREC; individual differences; innovation; problem solving; rodent; urbanization</t>
  </si>
  <si>
    <t>BEHAVIORAL-RESPONSES; GREAT TITS; INDIVIDUAL VARIATION; COGNITIVE-ABILITIES; BRAIN SIZE; REPEATABILITY; URBANIZATION; PERFORMANCE; POPULATION; EVOLUTION</t>
  </si>
  <si>
    <t>The ability to produce innovative behaviour is a key determinant in the successful coping with environmental challenges and changes. The expansion of human-altered environments presents wildlife with multiple novel situations in which innovativeness could be beneficial. A better understanding of the drivers of within-species variation in innovation propensity and its consequences will provide insights into the traits enabling animals to thrive in the face of human-induced rapid environmental change. We compared problem-solving performance of 31 striped field mice, Apodemus agrarius, originating from rural or urban environments in a battery of eight foraging extraction tasks. We tested whether differences in problem-solving performance were mediated by the extent and duration of the animal's exploration of the experimental set-ups, the time required to solve the tasks, and their persistence. In addition, we tested the influence of the diversity of motor responses, as well as of behavioural traits boldness and activity on problem-solving performance. Urban individuals were better problem solvers despite rural individuals approaching faster and interacting longer with the test set-ups. Participation rates and time required to solve a task did not differ between rural and urban individuals. However, in case of failure to solve a task, rural mice were more persistent. The best predictors of solving success, aside from the area of origin, were the time spent exploring the set-ups and boldness, while activity and diversity of motor responses did not explain it. Problem-solving ability could thus be a contributing factor to the successful coping with the rapid and recent expansion of human-altered environments. (c) 2020 The Association for the Study of Animal Behaviour. Published by Elsevier Ltd. All rights reserved.</t>
  </si>
  <si>
    <t>[Mazza, Valeria] Univ Potsdam, Inst Biochem &amp; Biol, Dept Anim Ecol, Potsdam, Germany; [Guenther, Anja] Max Planck Inst Evolutionary Biol, Dept Evolutionary Genet, Res Grp Behav Ecol Individual Differences, Plon, Germany</t>
  </si>
  <si>
    <t>University of Potsdam; Max Planck Society</t>
  </si>
  <si>
    <t>Mazza, V (corresponding author), Univ Potsdam, Inst Biochem &amp; Biol, Dept Anim Ecol, Potsdam, Germany.</t>
  </si>
  <si>
    <t>vamazza@uni-potsdam.de</t>
  </si>
  <si>
    <t>Mazza, Valeria/F-6404-2017</t>
  </si>
  <si>
    <t>Mazza, Valeria/0000-0002-1634-3417</t>
  </si>
  <si>
    <t>Animal Ecology group of the University of Potsdam</t>
  </si>
  <si>
    <t>We thank E. Losche and J. Kunkel for their precious help, care and patience in conducting the habituation phase of most mice, A. Puschmann and E. Losche for ensuring proper care and welfare of the mice before, during and after the experiment, E. Losche, I. Muller, M. L. Luhrs and M. Dammhahn for their help in trapping the urban mice, L. Vrbanec for contributing to the development of the set-ups for house mice, and J. A. Eccard, M. Dammhahn, E. Losche and the Animal Ecology group of the University of Potsdam for interesting discussions and support.</t>
  </si>
  <si>
    <t>10.1016/j.anbehav.2020.12.007</t>
  </si>
  <si>
    <t>QC0YO</t>
  </si>
  <si>
    <t>WOS:000614560500019</t>
  </si>
  <si>
    <t>How does ethical leadership boost follower's creativity? Examining mediation and moderation mechanisms</t>
  </si>
  <si>
    <t>Ethical leadership; Voice behavior; Psychological empowerment; Innovative climate; Creativity</t>
  </si>
  <si>
    <t>ORGANIZATIONAL CITIZENSHIP BEHAVIOR; PROMOTING EMPLOYEE CREATIVITY; TRANSFORMATIONAL LEADERSHIP; PSYCHOLOGICAL EMPOWERMENT; SELF-EFFICACY; WORK-ENVIRONMENT; MEMBER EXCHANGE; PATERNALISTIC LEADERSHIP; AUTHORITARIAN LEADERSHIP; INNOVATIVE BEHAVIOR</t>
  </si>
  <si>
    <t>Purpose The main purpose of this study is to investigate the mechanism through voice behavior mediates the relationship between ethical leadership and employees' creativity. This study also examines the moderating role of psychological empowerment and innovative climate between ethical leadership and employee creativity. Design/methodology/approach We used a survey questionnaire to collect multi-wave data from 295 employees working in the IT sector to test the proposed hypotheses of this study. Findings The findings revealed that ethical leadership boosts employee creativity, and voice behavior mediates the positive relationship between ethical leadership and employee creativity. Moreover, the results confirm the significant moderating role of psychological empowerment on the relationship between ethical leadership and voice behavior. A positive moderation of innovative climate was also confirmed in the association between voice behavior and creativity. Employees with supportive innovative climate adopt creative behavior when they can voice their concerns freely. Practical implications Ethical leadership is a vital tool for fostering employee's creativity by providing autonomy to raise their voice at the workplace in the emerging markets. Originality/value This is one of the leading researches to emphasize the role of ethical leadership for employee creativity, and the key contribution is to discover voice as a potential mediator for ethical leadership and an innovative climate as a potential moderator in the relationship between voice behavior and employee creativity.</t>
  </si>
  <si>
    <t>[Nazir, Sajjad; Shafi, Amina] Hohai Univ, Business Sch, Jiangning Campus, Nanjing, Peoples R China; [Nazir, Sajjad] Ghulam Ishaq Khan Inst Engn Sci &amp; Technol, Dept Management Sci, Topi, Pakistan; [Asadullah, Muhammad Ali] Air Univ, Dept Business Adm, Multan, Pakistan; [Qun, Wang] Changzhou Inst Technol, Human Resource Management, Changzhou, Jiangsu, Peoples R China; [Khadim, Sahar] Univ Engn &amp; Technol, Inst Business &amp; Management, Lahore, Pakistan</t>
  </si>
  <si>
    <t>Hohai University; GIK Institute Engineering Science &amp; Technology; Air University Islamabad; Changzhou Institute of Technology; University of Engineering &amp; Technology Lahore</t>
  </si>
  <si>
    <t>Nazir, S (corresponding author), Hohai Univ, Business Sch, Jiangning Campus, Nanjing, Peoples R China.;Nazir, S (corresponding author), Ghulam Ishaq Khan Inst Engn Sci &amp; Technol, Dept Management Sci, Topi, Pakistan.</t>
  </si>
  <si>
    <t>National Social Science Fund of China [18BGL129]</t>
  </si>
  <si>
    <t>The authors would like to thank Editors and two anonymous reviewers for their constructive feedback and valuable comments. This study was supported by the National Social Science Fund of China (No 18BGL129).</t>
  </si>
  <si>
    <t>10.1108/EJIM-03-2020-0107</t>
  </si>
  <si>
    <t>NU6AZ</t>
  </si>
  <si>
    <t>WOS:000573725000001</t>
  </si>
  <si>
    <t>Yu, J; Liu, C</t>
  </si>
  <si>
    <t>Yu, Jing; Liu, Chen</t>
  </si>
  <si>
    <t>The impact of employee participation in online innovation communities on idea quality</t>
  </si>
  <si>
    <t>Innovative behavior; Idea quality; Network and initiative; Open user innovation platform</t>
  </si>
  <si>
    <t>EMPIRICAL-EVIDENCE; KNOWLEDGE; IDENTIFICATION; BEHAVIOR</t>
  </si>
  <si>
    <t>Purpose Online user innovation community (OUIC) has become a vital source for enterprises to obtain user innovation ideas and interact with users in new product development. However, most studies only focus on the relationship between users and ideas, often ignoring the influence of employees in the innovation platform. The purpose of this study is to explore the impact of employee behaviors on idea quality in OUIC. Design/methodology/approach In this paper, the authors collected sample data of open user innovation community - Idea Exchange - and then, the authors examined the direct roles of employee's idea generation behaviors and idea promotion behaviors on idea quality and the moderating roles of social networks position and enthusiasm by using binary logistic regression model. Findings Results indicated that employee's idea generation behaviors and idea promotion behaviors have a positive influence on users' idea quality. Also, the social network position and characteristics show the moderation effect of employee behavior and idea quality. Originality/value This study is different from prior studies because it emphasizes the role of employees in the open source platform. The findings suggest that enterprises and platform managers pay more attention to the impact of employees and improve the quality of ideas and promote the development of OUIC.</t>
  </si>
  <si>
    <t>[Yu, Jing] East China Normal Univ, Dept Polit, Shanghai, Peoples R China; [Liu, Chen] Univ Shanghai Sci &amp; Technol, Business Sch, Shanghai, Peoples R China</t>
  </si>
  <si>
    <t>East China Normal University; University of Shanghai for Science &amp; Technology</t>
  </si>
  <si>
    <t>Liu, C (corresponding author), Univ Shanghai Sci &amp; Technol, Business Sch, Shanghai, Peoples R China.</t>
  </si>
  <si>
    <t>jyu@dlps.ecnu.edu.cn; liuchen.chn@hotmail.com</t>
  </si>
  <si>
    <t>Grants of Humanities and Social Sciences Fund of the Ministry of Education [17yja860022]</t>
  </si>
  <si>
    <t>Grants of Humanities and Social Sciences Fund of the Ministry of Education</t>
  </si>
  <si>
    <t>Grants of Humanities and Social Sciences Fund of the Ministry of Education (17yja860022).</t>
  </si>
  <si>
    <t>10.1108/K-04-2020-0228</t>
  </si>
  <si>
    <t>TG8UZ</t>
  </si>
  <si>
    <t>WOS:000572144100001</t>
  </si>
  <si>
    <t>Subordinate-oriented strengths-based leadership and subordinate job performance: the mediating effect of supervisor-subordinate guanxi</t>
  </si>
  <si>
    <t>Innovative behavior; Job performance; Subordinate-oriented strengths-based leadership; Supervisor-subordinate guanxi; Task performance</t>
  </si>
  <si>
    <t>ORGANIZATIONAL CITIZENSHIP; INNOVATIVE BEHAVIOR; WORK; SELF; SATISFACTION; TASK; EXCHANGE; PERCEPTIONS; PERSONALITY; EMPLOYEES</t>
  </si>
  <si>
    <t>Purpose The aim of the present study was to examine the association of subordinate-oriented strengths-based leadership (SSBL) with subordinates' job performance (task performance and innovative behavior) as well as the meditating role of supervisor-subordinate guanxi (SSG) in these relationships. Design/methodology/approach Self-report data on SSBL, SSG, task performance and innovative behavior were gathered from 642 Chinese employees working in various Chinese enterprises. Structural equation modeling was used to analyze the data. Findings The results indicated that SSBL is positively related to subordinates' job performance (task performance and innovative behavior). Furthermore, SSG partially mediated the relationship of SSBL with task performance and with innovative behavior. Originality/value This study is the first to empirically examine the relationship of SSBL with job performance. In addition, this study adds to the knowledge on the SSBL-job performance linkage by investigating the mediational effect of SSG on the relationship.</t>
  </si>
  <si>
    <t>[Ding, He; Yu, Enhai] North China Elect Power Univ, Sch Econ &amp; Management, Beijing, Peoples R China</t>
  </si>
  <si>
    <t>Yu, EH (corresponding author), North China Elect Power Univ, Sch Econ &amp; Management, Beijing, Peoples R China.</t>
  </si>
  <si>
    <t>believedh@126.com; 1186706460@qq.com</t>
  </si>
  <si>
    <t>DING, HE/K-8983-2018; Ding, He/AAG-3425-2021</t>
  </si>
  <si>
    <t>Fundamental Research Funds for the Central Universities [2020MS046]</t>
  </si>
  <si>
    <t>The authors declare that there is no conflict of interest. The authors are grateful to the employees who participated in this study. This study was supported by the Fundamental Research Funds for the Central Universities (2020MS046).</t>
  </si>
  <si>
    <t>OCT 29</t>
  </si>
  <si>
    <t>10.1108/LODJ-09-2019-0414</t>
  </si>
  <si>
    <t>OP5SE</t>
  </si>
  <si>
    <t>WOS:000568336000001</t>
  </si>
  <si>
    <t>Gomes, G; Seman, LO; Carmona, LJD</t>
  </si>
  <si>
    <t>Gomes, Giancarlo; Seman, Laio Oriel; De Montreuil Carmona, Linda Jessica</t>
  </si>
  <si>
    <t>Service innovation through transformational leadership, work-life balance, and organisational learning capability</t>
  </si>
  <si>
    <t>Transformational leadership; work-life balance; organisational learning capability; service innovation</t>
  </si>
  <si>
    <t>PERCEIVED TIME PRESSURE; FAMILY BALANCE; PERFORMANCE; KNOWLEDGE; SATISFACTION; IMPACT</t>
  </si>
  <si>
    <t>The balance between work and personal life is a major challenge for organisational leaders nowadays, as it is acknowledged to be a source innovation and competitive advantage. Moreover, the literature indicates that transformational leadership, and organisational learning favour Work-life balance (WLB), by promoting intellectual stimulation, motivation, and self-confidence among members of the organisation. Despite the importance of these constructs, and especially in the service innovation context, no studies have been found that examine this relationship. Thus, this study aims at evaluating the association of transformational leadership and WLB on service innovation through organisational learning. Exploratory quantitative research was performed using data collected from a sample of 159 Brazilian architecture and urbanism Knowledge-Intensive Business Services (KIBS). Data were analysed using Structural Equation Modeling. We found positive relationships between transformational leadership, WLB/flexibility, organisational learning capability, and service innovation. However, no association was found between transformational leadership and organisational learning with WLB/Family Life. The theoretical contribution focuses on a framework that integrates transformational leadership, WLB, organisational learning, and service innovation, providing relevant insights for KIBS. On the practical side, this paper points to the importance of underlying organisational values that motivate and promote innovative behaviour among employees in the service innovation arena.</t>
  </si>
  <si>
    <t>[Gomes, Giancarlo; De Montreuil Carmona, Linda Jessica] Univ Blumenau, Dept Management, Blumenau, SC, Brazil; [Seman, Laio Oriel] Univ Vale Itajai, Grad Program Appl Comp Sci, Itajai, SC, Brazil</t>
  </si>
  <si>
    <t>Universidade Regional de Blumenau (FURB); Universidade do Vale do Itajai</t>
  </si>
  <si>
    <t>Gomes, G (corresponding author), Rua Antonio da Veiga,140-Sala D102 Itoupava Seca, BR-89012900 Blumenau, SC, Brazil.</t>
  </si>
  <si>
    <t>giancarlog@furb.br</t>
  </si>
  <si>
    <t>Gomes, Giancarlo/AAF-2354-2021; Seman, Laio Oriel/AAM-1456-2021; Seman, Laio Oriel/HZI-2657-2023; De Montreuil Carmona, Linda Jessica/AAD-5308-2022; Gomes, Giancarlo/AAG-8926-2019</t>
  </si>
  <si>
    <t>Gomes, Giancarlo/0000-0003-1174-7161; Seman, Laio Oriel/0000-0002-6806-9122; Seman, Laio Oriel/0000-0002-6806-9122; Gomes, Giancarlo/0000-0003-1174-7161; De Montreuil Carmona, Linda Jessica/0000-0002-0704-7165</t>
  </si>
  <si>
    <t>Coordination for the Improvement of High Level Personnel (CAPES) [001]</t>
  </si>
  <si>
    <t>Coordination for the Improvement of High Level Personnel (CAPES)(Coordenacao de Aperfeicoamento de Pessoal de Nivel Superior (CAPES))</t>
  </si>
  <si>
    <t>The authors want to thank the support of the Coordination for the Improvement of High Level Personnel (CAPES) [grant code 001].</t>
  </si>
  <si>
    <t>10.1080/09537325.2020.1814953</t>
  </si>
  <si>
    <t>RF5WJ</t>
  </si>
  <si>
    <t>WOS:000565015500001</t>
  </si>
  <si>
    <t>Vermeulen, M; Kreijns, K; Evers, AT</t>
  </si>
  <si>
    <t>Vermeulen, Marjan; Kreijns, Karel; Evers, Arnoud T.</t>
  </si>
  <si>
    <t>Transformational leadership, leader-member exchange and school learning climate: Impact on teachers' innovative behaviour in the Netherlands</t>
  </si>
  <si>
    <t>EDUCATIONAL MANAGEMENT ADMINISTRATION &amp; LEADERSHIP</t>
  </si>
  <si>
    <t>Innovative behaviour; transformational leadership; learning climate; leader-member exchange theory; teachers' inquiry habit of mind</t>
  </si>
  <si>
    <t>INTRINSIC MOTIVATION; JOB AUTONOMY; LMX THEORY; INQUIRY; COMMUNITIES; PERFORMANCE; MODELS; CONSTRUCTION; CREATIVITY; OUTCOMES</t>
  </si>
  <si>
    <t>Despite the fact that innovative behaviour of teachers is important for the quality of teaching in our knowledge society, there is still little research into leadership and organizational factors that influence teachers' innovative behaviour. By combining self-concept leadership theory, social exchange theory and a hierarchical model of the distance of variables to human behaviour from an interactive perspective, we tried to unravel the relationships between school organization and teacher variables. Based on longitudinal data (2011, 2012, 2013) from a select sample of 597 teachers (being part of a research panel), a structural equation model (Mplus) was used for testing the relationship between transformational leadership, the school learning climate, the quality of teacher-leadership relationships (leader-member exchange), teachers' inquiry habit of mind and teachers' innovative behaviour. The findings show a very good fit for the model and contribute to confirmation of the combined used theories and concepts of leadership in education, leaderships' influence on the organizational learning climate, the crucial mediating role of leader-member exchange between organizational variables and teacher variables, and the mediating dispositional variable of teachers' inquiry habit of mind between leader-member exchange and innovative behaviour. This study adds to our insights into the complexity of innovation in school organizations.</t>
  </si>
  <si>
    <t>[Vermeulen, Marjan; Kreijns, Karel; Evers, Arnoud T.] Open Univ Netherlands, Fac Educ Sci, Heerlen, Netherlands; [Evers, Arnoud T.] MIT, Teaching Syst Lab TSL Grp, 77 Massachusetts Ave, Cambridge, MA 02139 USA; [Evers, Arnoud T.] European Assoc Practitioner Res Improving Learnin, Leuven, Belgium</t>
  </si>
  <si>
    <t>Open University Netherlands; Massachusetts Institute of Technology (MIT)</t>
  </si>
  <si>
    <t>Vermeulen, M (corresponding author), Open Univ Netherlands, Po 2960, NL-6401 DL Heerlen, Netherlands.</t>
  </si>
  <si>
    <t>marjan.vermeulen@ou.nl</t>
  </si>
  <si>
    <t>Vermeulen, Marjan/0000-0001-8084-7217</t>
  </si>
  <si>
    <t>1741-1432</t>
  </si>
  <si>
    <t>1741-1440</t>
  </si>
  <si>
    <t>EDUC MANAG ADM LEAD</t>
  </si>
  <si>
    <t>Educ. Manag. Adm. Leadersh.</t>
  </si>
  <si>
    <t>10.1177/1741143220932582</t>
  </si>
  <si>
    <t>0Y4BU</t>
  </si>
  <si>
    <t>WOS:000545104900001</t>
  </si>
  <si>
    <t>Zhang, RH; Sun, B</t>
  </si>
  <si>
    <t>Zhang, Ruihan; Sun, Bing</t>
  </si>
  <si>
    <t>A competitive dynamics perspective on evolutionary game theory, agent-based modeling, and innovation in high-tech firms</t>
  </si>
  <si>
    <t>Competitive dynamics; High-tech firm; Independent research and development; Innovative behaviour-based decision; Technology introduction</t>
  </si>
  <si>
    <t>RESEARCH-AND-DEVELOPMENT; TECHNOLOGY-TRANSFER; 2 FACES; PERFORMANCE; SIZE; CAPABILITIES; SPILLOVERS; KNOWLEDGE; PRODUCTIVITY; INDUSTRIES</t>
  </si>
  <si>
    <t>Purpose The purpose of this paper is to determine how high-tech firms should choose between independent research and development and technology introduction as well as to ascertain the effects of the three elements of competitive dynamics on the evolution of innovative behavior-based decisions and competitive results. Design/methodology/approach This paper describes the construction of an evolutionary game model and a multi-agent-based model of innovative behavior-based decisions by heterogeneous high-tech firms. The models are used to analyze the evolution path and evolutionarily stable strategy of innovative behavior-based decisions. In addition, multi-agent-based simulation is used to gain insight into the effects of competitive dynamics on the dynamic evolution of innovative behavior-based decisions. Findings This paper reveals four evolutionary equilibrium states of the innovation behavior-based decisions of high-tech firms. Based on the findings, these overall evolutionary trends are not affected by the timing of competitive market entry or the intensity of competition. In addition, simulated evidence is added that the timing of competitive market entry is an important factor affecting market-leading innovative strategies and dynamic competition results, and competition intensity is closely related to the evolutionary speed of innovation behavior-based decisions. Originality/value The key contribution of this paper is its new view of innovative behavior-based decisions from a competitive dynamics perspective. The new competitive dynamics-based framework for innovative behavior-based decisions of high-tech firms proposed in the paper can resolve the problem of obtaining a sustainable competitive advantage for high-tech firms in a competitive dynamics context.</t>
  </si>
  <si>
    <t>[Zhang, Ruihan; Sun, Bing] Harbin Engn Univ, Sch Econ &amp; Management, Harbin, Peoples R China</t>
  </si>
  <si>
    <t>Harbin Engineering University</t>
  </si>
  <si>
    <t>Zhang, RH (corresponding author), Harbin Engn Univ, Sch Econ &amp; Management, Harbin, Peoples R China.</t>
  </si>
  <si>
    <t>zhangruihan0826@hotmail.com; heusunn@hotmail.com</t>
  </si>
  <si>
    <t>zhang, ruihan/GZA-3812-2022; SUN, Bing/GVT-8203-2022</t>
  </si>
  <si>
    <t>Zhang, Ruihan/0000-0001-8065-1476</t>
  </si>
  <si>
    <t>National Natural Science Foundation of China [71774035, 71372020]; China Scholarship Council (CSC)</t>
  </si>
  <si>
    <t>National Natural Science Foundation of China(National Natural Science Foundation of China (NSFC)); China Scholarship Council (CSC)(China Scholarship Council)</t>
  </si>
  <si>
    <t>This work was supported by the National Natural Science Foundation of China under Grant 71774035 and Grant 71372020, and the China Scholarship Council (CSC).</t>
  </si>
  <si>
    <t>MAY 11</t>
  </si>
  <si>
    <t>10.1108/MD-06-2018-0666</t>
  </si>
  <si>
    <t>KX9ZJ</t>
  </si>
  <si>
    <t>WOS:000522233400009</t>
  </si>
  <si>
    <t>Hussain, T; Iren, P; Rice, J</t>
  </si>
  <si>
    <t>Hussain, Taiba; Iren, Perihan; Rice, John</t>
  </si>
  <si>
    <t>Determinants of innovative behaviors among self-initiated expatriates</t>
  </si>
  <si>
    <t>Expatriates; Innovation; Quantitative; Career capital; Leader-member exchange (LMX); Innovative behaviour; Self-initiated expatriates</t>
  </si>
  <si>
    <t>LEADER-MEMBER EXCHANGE; PERCEIVED ORGANIZATIONAL SUPPORT; EXPLICIT KNOWLEDGE; WORK EXPERIENCES; MEDIATING ROLE; CREATIVITY; PERFORMANCE; MODEL; REWARD; LMX</t>
  </si>
  <si>
    <t>Purpose Expatriate mobility is increasing globally, in volume and diversity. A growing element of this overall increase has been the greater share of self-initiated expatriates (SIEs) working outside their home countries. In some host countries, SIEs make up a majority of the overall workforce. The purpose of this paper is to examine the determinants of innovative work behavior (IWB) of SIEs in one such country. Drawing upon leader-member exchange (LMX) theory and the conceptual framework of the resource-based view of career capital, the authors' examine the influences of LMX, perceived innovation-reward, job knowledge and contextual knowledge on SIEs' IWB. Design/methodology/approach The paper is based on the analysis of survey results from 229 SIEs based in the United Arab Emirates. The authors use hierarchal regression and an SPSS macro to assess the significance of the interaction effects. Findings Results indicate significant direct effects for LMX and perceived innovation-reward on SIEs' IWB. Results also reveal significant interaction effects suggesting that the relationship between LMX and SIEs' IWB is stronger when job knowledge is high and when reward for innovation is high. Originality/value This is the first study to examine the determinants of SIE's IWB. This study investigates the effect of LMX, career capital differences (job knowledge and contextual knowledge) and perceived innovation-reward on SIEs' IWB. This is also the first study to examine the interaction effects of LMX and individual differences (job knowledge and contextual knowledge) on SIEs' IWB.</t>
  </si>
  <si>
    <t>[Hussain, Taiba; Iren, Perihan; Rice, John] Zayed Univ, Coll Business, Dubai, U Arab Emirates</t>
  </si>
  <si>
    <t>Zayed University</t>
  </si>
  <si>
    <t>Hussain, T (corresponding author), Zayed Univ, Coll Business, Dubai, U Arab Emirates.</t>
  </si>
  <si>
    <t>taiba.hussain@zu.ac.ae; Perihan.Iren@zu.ac.ae; john.rice@zu.ac.ae</t>
  </si>
  <si>
    <t>Iren, Perihan/ABC-1519-2020; Rice, John/AAO-4080-2021</t>
  </si>
  <si>
    <t>Rice, John/0000-0002-3923-4424</t>
  </si>
  <si>
    <t>10.1108/PR-09-2018-0321</t>
  </si>
  <si>
    <t>WOS:000511229600001</t>
  </si>
  <si>
    <t>Jaiswal, D; Tyagi, A</t>
  </si>
  <si>
    <t>Jaiswal, Deepakshi; Tyagi, Akansha</t>
  </si>
  <si>
    <t>Effect of high performance work practices on service innovative behavior</t>
  </si>
  <si>
    <t>TOURISM REVIEW</t>
  </si>
  <si>
    <t>Hotel industry; Work engagement; Job autonomy; Service innovative behaviour; High performance work practices</t>
  </si>
  <si>
    <t>PERCEIVED ORGANIZATIONAL SUPPORT; LEADER-MEMBER EXCHANGE; HUMAN-RESOURCE MANAGEMENT; MEDIATING ROLE; EMPLOYEE ENGAGEMENT; JOB ENGAGEMENT; COMMITMENT; LMX; IMPACT; ROLES</t>
  </si>
  <si>
    <t>Purpose - This study aims to provide a holistic model for high performance work practices (HPWP5), work engagement (WE), job autonomy (JA) and service innovative behavior (SIB) of employees in hotel industry, taking social exchange theory as the base of the study. The present study examined the effect of HPWPs on hotel employees' SIB, mediated by WE. This study further examined the moderating role of JA on the relationship between WE and SIB. Design/methodology/approach - The study was conducted in both the Garhwal and Kumaon Himalayan regions. Ultarakhand state, India. Using convenience sampling method and standardized questionnaire, data were collected from 384 employees working in 32 hotels and relationships were tested using Hayes' method of regression analysis. Findings - The findings of the study revealed that WE mediated the relationship between HPWP5 and SIB. Furthermore. it was observed that JA acted as a moderator between WE and SIB. Research limitations/implications - The responses were collected from the hotels of Uttarakhand region only, so the future studies may be carried out in other industries such as banking, automobile, IT, call centers, etc.. as well as in some other region also. Originality/value - The present study has made some crucial contributions to the existing literature and knowledge base. The study of different variables has been tested in western countries, but this integrated model is the first of its kind, which was tested in Indian context, i.e. Indian hotel employees, especially in Ultarakhand, India, that has completely different work settings/environment as compared to the western countries.</t>
  </si>
  <si>
    <t>[Jaiswal, Deepakshi] Univ Petr &amp; Energy Studies, Sch Business, Dehra Dun, Uttarakhand, India; [Jaiswal, Deepakshi; Tyagi, Akansha] Indian Inst Technol Roorkee, Dept Management Studies, Roorkee, Uttar Pradesh, India</t>
  </si>
  <si>
    <t>University of Petroleum &amp; Energy Studies (UPES); Indian Institute of Technology System (IIT System); Indian Institute of Technology (IIT) - Roorkee</t>
  </si>
  <si>
    <t>Jaiswal, D (corresponding author), Univ Petr &amp; Energy Studies, Sch Business, Dehra Dun, Uttarakhand, India.;Jaiswal, D (corresponding author), Indian Inst Technol Roorkee, Dept Management Studies, Roorkee, Uttar Pradesh, India.</t>
  </si>
  <si>
    <t>deepakshijaiswal28@gmail.com</t>
  </si>
  <si>
    <t>Tyagi, Akansha/GVS-3017-2022</t>
  </si>
  <si>
    <t>Tyagi, Akansha/0000-0001-5725-4552; Jaiswal, Deepakshi/0009-0000-3439-0404</t>
  </si>
  <si>
    <t>1660-5373</t>
  </si>
  <si>
    <t>1759-8451</t>
  </si>
  <si>
    <t>TOUR REV</t>
  </si>
  <si>
    <t>Tour. Rev.</t>
  </si>
  <si>
    <t>10.1108/TR-07-2018-0101</t>
  </si>
  <si>
    <t>LC6OR</t>
  </si>
  <si>
    <t>WOS:000525453900004</t>
  </si>
  <si>
    <t>Cofre-Bravo, G; Engler, A; Klerkx, L; Leiva-Bianchi, M; Adasme-Berrios, C; Caceres, C</t>
  </si>
  <si>
    <t>Cofre-Bravo, Gabriela; Engler, Alejandra; Klerkx, Laurens; Leiva-Bianchi, Marcelo; Adasme-Berrios, Cristian; Caceres, Cristian</t>
  </si>
  <si>
    <t>CONSIDERING THE FARM WORKFORCE AS PART OF FARMERS' INNOVATIVE BEHAVIOUR: A KEY FACTOR IN INCLUSIVE ON-FARM PROCESSES OF TECHNOLOGY AND PRACTICE ADOPTION</t>
  </si>
  <si>
    <t>EXPERIMENTAL AGRICULTURE</t>
  </si>
  <si>
    <t>NETWORKS; COMMUNITIES; EMERGENCE; DRIVERS; GROWERS; MODEL; RICE</t>
  </si>
  <si>
    <t>The literature identifies multiple factors that can affect the adoption of new technologies and practices in agriculture to support farm innovation, such as farmers' socio-economic characteristics and the characteristics of the promoted technology, among others. It has, however, scarcely contemplated the role of the farm workforce in technology and practice adoption. The objective of this study is (i) to describe innovative behaviour and its relation with farmers' ability to collaborate with the workforce in the adoption process; and (ii) to associate this description with the level of adoption of certain technologies and practices. Structural equation modelling (bifactor model) was used to identify the components of innovative behaviour, and correlation analysis was used to determine the relationship between these components and adoption level. The results show that relevant components of innovative behaviour are farmers' ability to generate and implement new ideas, to extend their networks and to involve the workforce in the adoption process. Worker involvement proved to be a key factor within the definition of farmers' innovative behaviour, which additionally shows a positive and significant correlation with the level of adoption of technologies and practices. A main theoretical implication is that research on technology and practice adoption needs to move beyond looking at single owner-managers of (family) farms and incorporate workers into the unit of analysis. The practical and policy implications are that innovation support programmes should give more attention to workforce management, training and skills of owner-managers as transformative and inclusive leaders, as these are essential for technology and practice adoption, and more broadly for innovation capacity.</t>
  </si>
  <si>
    <t>[Cofre-Bravo, Gabriela; Engler, Alejandra] Univ Talca, Fac Agr Sci, Dept Agr Econ, Av Lircay S-N, Talca, Chile; [Engler, Alejandra] Nucleo Milenio CESIEP, Av Lircay S-N, Talca, Chile; [Klerkx, Laurens] Wageningen Univ, Knowledge Technol &amp; Innovat Grp, POB 8130, NL-6700 EW Wageningen, Netherlands; [Leiva-Bianchi, Marcelo; Caceres, Cristian] Univ Talca, Fac Psychol, Av Lircay S-N, Talca, Chile; [Adasme-Berrios, Cristian] Univ Catolica Maule, Fac Social &amp; Business Sci, Dept Econ &amp; Management, San Miguel Av, Talca 3605, Chile</t>
  </si>
  <si>
    <t>Universidad de Talca; Wageningen University &amp; Research; Universidad de Talca; Universidad Catolica del Maule</t>
  </si>
  <si>
    <t>Engler, A (corresponding author), Univ Talca, Fac Agr Sci, Dept Agr Econ, Av Lircay S-N, Talca, Chile.;Engler, A (corresponding author), Nucleo Milenio CESIEP, Av Lircay S-N, Talca, Chile.</t>
  </si>
  <si>
    <t>mengler@utalca.cl</t>
  </si>
  <si>
    <t>Klerkx, Laurens/ABD-4957-2021</t>
  </si>
  <si>
    <t>Adasme-Berrios, Cristian/0000-0003-1466-6420; Leiva-Bianchi, Marcelo/0000-0001-6135-9226; Engler, Alejandra/0000-0002-8154-5971</t>
  </si>
  <si>
    <t>CONICYT, Programme for Advanced Human Capital (National Doctoral Scholarship)</t>
  </si>
  <si>
    <t>This research was funded by CONICYT, Programme for Advanced Human Capital (National Doctoral Scholarship). We would like to thank the farmers that we interviewed for participating in our research and our colleagues for their useful comments on earlier drafts of this paper. The Knowledge, Technology and Innovation Group at Wageningen University is gratefully acknowledged for hosting the first author for a research visit during which the article was further developed.</t>
  </si>
  <si>
    <t>32 AVENUE OF THE AMERICAS, NEW YORK, NY 10013-2473 USA</t>
  </si>
  <si>
    <t>0014-4797</t>
  </si>
  <si>
    <t>1469-4441</t>
  </si>
  <si>
    <t>EXP AGR</t>
  </si>
  <si>
    <t>Exp. Agric.</t>
  </si>
  <si>
    <t>10.1017/S0014479718000315</t>
  </si>
  <si>
    <t>Agronomy</t>
  </si>
  <si>
    <t>KI5PM</t>
  </si>
  <si>
    <t>WOS:000511402000004</t>
  </si>
  <si>
    <t>Hammond, M; Cross, C; Farrell, C; Eubanks, D</t>
  </si>
  <si>
    <t>Hammond, Michelle; Cross, Christine; Farrell, Ciara; Eubanks, Dawn</t>
  </si>
  <si>
    <t>Burnout and innovative work behaviours for survivors of downsizing: An investigation of boundary conditions</t>
  </si>
  <si>
    <t>EMPLOYEE VOICE; PSYCHOLOGICAL EMPOWERMENT; ORGANIZATIONAL COMMITMENT; PRODUCT DEVELOPMENT; JOB; CREATIVITY; SILENCE; CONSERVATION; RESOURCES; LAYOFFS</t>
  </si>
  <si>
    <t>The purpose of this study is to explore conditions in which innovative behaviour can have either desirable or undesirable effects. The current study surveyed employees who remained in an organization following downsizing. Voice costs and perceived influence were measured as boundary conditions. Based on our understanding of Conservation of Resources theory, these variables may be particularly important to consider how individuals view innovative work behaviours in stressful situations such as experiencing downsizing. The results of this study revealed that engagement in innovative work behaviours (IWB) was associated with reduced burnout in employees when they perceived few costs of speaking up in the post downsized environment, but at very high perceptions of voice cost (above 1.74 standard deviations above the mean), this relationship was positive. Similarly, and contrary to what was expected, engagement in IWB was negatively related to burnout when employees perceived they had little influence within the organization. We discuss possible interpretations of this unexpected result. This study adds to the small body of work that examines outcomes, rather than predictors, of innovative behaviour and also identifies conditions in which engaging in innovative behaviours has a negative impact on the individual.</t>
  </si>
  <si>
    <t>[Hammond, Michelle] Oakland Univ, Management, Rochester, MI 48063 USA; [Cross, Christine] Univ Limerick, Kemmy Business Sch, Work &amp; Employment Studies, Limerick, Ireland; [Cross, Christine] Univ Limerick, Kemmy Business Sch, Org Behav &amp; Human Resource Management, Limerick, Ireland; [Farrell, Ciara] Merc, Dublin, Ireland; [Eubanks, Dawn] Univ Warwick, Coventry, W Midlands, England</t>
  </si>
  <si>
    <t>Oakland University; University of Limerick; University of Limerick; RLUK- Research Libraries UK; University of Warwick</t>
  </si>
  <si>
    <t>Hammond, M (corresponding author), Oakland Univ, 318 Meadow Brook Rd, Rochester, MI 48309 USA.</t>
  </si>
  <si>
    <t>michellehammond@oakland.edu</t>
  </si>
  <si>
    <t>Hammond, Michelle/AAP-5585-2020; Hammond, MIchelle/AAK-7494-2020; cross, christine/C-9709-2019</t>
  </si>
  <si>
    <t>Hammond, Michelle/0000-0003-1011-9155; cross, christine/0000-0002-6582-7936</t>
  </si>
  <si>
    <t>10.1111/caim.12327</t>
  </si>
  <si>
    <t>WOS:000477381900001</t>
  </si>
  <si>
    <t>Shao, Z</t>
  </si>
  <si>
    <t>Shao, Zhen</t>
  </si>
  <si>
    <t>Impact mechanism of direct supervisor's leadership behaviors on employees' extended use of information technologies</t>
  </si>
  <si>
    <t>JOURNAL OF ENTERPRISE INFORMATION MANAGEMENT</t>
  </si>
  <si>
    <t>Transformational leadership; Job autonomy; IT extended use; IT innovativeness</t>
  </si>
  <si>
    <t>TRANSFORMATIONAL LEADERSHIP; ORGANIZATIONAL CULTURE; ENTERPRISE SYSTEMS; CHARISMATIC LEADERSHIP; SELF-EFFICACY; INNOVATIVE BEHAVIOR; CONTEXTUAL FACTORS; ERP ASSIMILATION; MEDIATING ROLE; WORK</t>
  </si>
  <si>
    <t>Purpose The purpose of this paper is to examine the mediating effect of job autonomy on the relationship between direct supervisor's transformational leadership behaviors and employees' extended use of information technologies (IT). In addition, this study considers IT innovativeness as a significant moderator in the research model, in order to examine if the relative influences of leadership behaviors on IT extended use are contingent upon employees' IT innovativeness. Design/methodology/approach A field survey was conducted in China and empirical data were collected from 299 employees who use IT in support of daily work. Structural equation modeling technique was used to examine the research model and corresponding hypotheses. Findings The empirical results indicate that: three dimensions of transformational leadership, specifically interpersonal consideration, intellectual stimulation and inspirational motivation, are significant antecedents of employees' IT extended use; perceived job autonomy partially mediates the relationships between transformational leadership behaviors and IT extended use; and employees' IT innovativeness positively moderates the effects of transformational leadership behaviors on IT extended use. Originality/value This study contributes to the extant literature of IT extended use through the lens of transformational leadership and job characteristics theory. In particular, this study identifies the boundary condition of the proposed research model by uncovering the moderating effect of IT innovativeness between transformational leadership behaviors and IT extended use.</t>
  </si>
  <si>
    <t>[Shao, Zhen] Harbin Inst Technol, Sch Management, Harbin, Heilongjiang, Peoples R China</t>
  </si>
  <si>
    <t>Shao, Z (corresponding author), Harbin Inst Technol, Sch Management, Harbin, Heilongjiang, Peoples R China.</t>
  </si>
  <si>
    <t>shaozhen@hit.edu.cn</t>
  </si>
  <si>
    <t>National Natural Science Foundation of China [71771064]; Ministry of Education of Humanities and Social Science Project [17YJC630118]; Postdoctoral Scientific Research Development Fund [LBH-Q17055]</t>
  </si>
  <si>
    <t>National Natural Science Foundation of China(National Natural Science Foundation of China (NSFC)); Ministry of Education of Humanities and Social Science Project; Postdoctoral Scientific Research Development Fund</t>
  </si>
  <si>
    <t>This research was supported by the National Natural Science Foundation of China (71771064), the Ministry of Education of Humanities and Social Science Project (17YJC630118) and the Postdoctoral Scientific Research Development Fund (LBH-Q17055).</t>
  </si>
  <si>
    <t>1741-0398</t>
  </si>
  <si>
    <t>1758-7409</t>
  </si>
  <si>
    <t>J ENTERP INF MANAG</t>
  </si>
  <si>
    <t>J. Enterp. Inf. Manag.</t>
  </si>
  <si>
    <t>JUL 3</t>
  </si>
  <si>
    <t>10.1108/JEIM-07-2018-0160</t>
  </si>
  <si>
    <t>Computer Science, Interdisciplinary Applications; Information Science &amp; Library Science; Management</t>
  </si>
  <si>
    <t>IO2EZ</t>
  </si>
  <si>
    <t>WOS:000479197000005</t>
  </si>
  <si>
    <t>Tsegaye, WK; Su, Q; Malik, M</t>
  </si>
  <si>
    <t>Tsegaye, Wondwossen Kassa; Su, Qin; Malik, Maria</t>
  </si>
  <si>
    <t>Expatriate cultural values alignment: The mediating effect of cross-cultural adjustment level on innovative behaviour</t>
  </si>
  <si>
    <t>PERSON-ORGANIZATION FIT; ENVIRONMENT FIT; WORK; PERFORMANCE; CREATIVITY; MANAGEMENT; RESOURCES; CONFLICT; VERSIONS; DEMANDS</t>
  </si>
  <si>
    <t>Multinational companies assign expatriates to bridge the scarcity of employees with innovative behaviour from the local labour market. Despite expatriates' significant role in inducing innovative ideas for multinational companies, the existing literature has scarcely examined those antecedent factors that affect their innovative behaviour. Even though previous studies indicated the determinant impact of host countries' culture on the expatriates' work-related behaviour, little is known about how far it affects their innovative behaviour. Therefore, drawing on the person-environment fit theory, this study examines the impact of personal value orientation and the host country's culture alignment on expatriates' innovative behaviour. The study covers 149 expatriates, from nine countries, who work in the high-tech industrial zone of Shenzhen, South China's industrial hub. Moreover, it applies a structural equation model using Amos(TM) 23 to conduct the analysis. The results reveal that personal value orientation fit with the host country's national culture has a significant impact on expatriates' innovative behaviour. Cross-cultural adjustment level is found to mediate this relationship. Theoretical and practical implications are discussed, and suggestions for future research are drawn from the study's limitations.</t>
  </si>
  <si>
    <t>[Tsegaye, Wondwossen Kassa; Su, Qin] Xi An Jiao Tong Univ, Sch Management, Xian, Shaanxi, Peoples R China; [Malik, Maria] Kinnaird Coll Women Univ, Lahore, Pakistan</t>
  </si>
  <si>
    <t>Xi'an Jiaotong University</t>
  </si>
  <si>
    <t>Tsegaye, WK (corresponding author), Xi An Jiao Tong Univ, Xian, Shaanxi, Peoples R China.</t>
  </si>
  <si>
    <t>wondwossenk@yahoo.com; qinsu@mail.xjtu.edu.cn; maria_malik20066@yahoo.com</t>
  </si>
  <si>
    <t>10.1111/caim.12308</t>
  </si>
  <si>
    <t>WOS:000469267200007</t>
  </si>
  <si>
    <t>Zandberg, T; Morales, FN</t>
  </si>
  <si>
    <t>Zandberg, Tjeerd; Nieto Morales, Fernando</t>
  </si>
  <si>
    <t>Public managers' networking and innovative work behavior: the importance of career incentives</t>
  </si>
  <si>
    <t>INTERNATIONAL REVIEW OF ADMINISTRATIVE SCIENCES</t>
  </si>
  <si>
    <t>career incentives; collective motives; innovative behavior; institutional context; intra-organizational networking</t>
  </si>
  <si>
    <t>MIDDLE MANAGERS; PERFORMANCE; STRATEGY; ORGANIZATIONS; COLLABORATION; SUCCESS; LEADERS; IMPACT; TIES</t>
  </si>
  <si>
    <t>From theories on middle managers' entrepreneurship in private organizations, it is known that the structural network position of middle managers influences their innovative work behavior. Our study investigates if in a governmental setting, the intra-organizational networking behavior of public managers has a similar positive influence on innovative work behavior. As networking mechanisms may depend on the particular context and organizational norms, we also investigate the influence of networking motivations. According to social network research in private enterprises, social network links can be used to advance individual careers. According to public management and Public Service Motivation theories, public managers have a collective orientation aimed at producing public goods. Therefore, we investigate if, next to intra-organizational networking, an individual career motive or a collective motivation for networking explains innovative work behavior. In a case study on public managers of a municipality in Mexico City, we find a strong influence of networking on innovative work behavior. We also find support for additional influences of individual career motives, but no evidence for collective motivations. Points for practitioners Intra-organizational networking of public managers leads to increased innovative behavior in a governmental setting. In addition, when aiming at increasing innovative behavior, individual career motives seem to have stronger positive effects than collective motivations (such as teamwork-related motivations).</t>
  </si>
  <si>
    <t>[Zandberg, Tjeerd] Stenden Univ Appl Sci, Strateg Management, Leeuwarden, Netherlands; [Nieto Morales, Fernando] El Colegio Mexico, Publ Adm, Mexico City, DF, Mexico</t>
  </si>
  <si>
    <t>Colegio de Mexico</t>
  </si>
  <si>
    <t>Zandberg, T (corresponding author), Stenden Univ Appl Sci, Hotel Management Sch, POB 1298, NL-8900 CG Leeuwarden, Netherlands.</t>
  </si>
  <si>
    <t>tjeerd.zandberg@stenden.com</t>
  </si>
  <si>
    <t>0020-8523</t>
  </si>
  <si>
    <t>1461-7226</t>
  </si>
  <si>
    <t>INT REV ADM SCI</t>
  </si>
  <si>
    <t>Int. Rev. Adm. Sci.</t>
  </si>
  <si>
    <t>10.1177/0020852317692138</t>
  </si>
  <si>
    <t>IW5UJ</t>
  </si>
  <si>
    <t>WOS:000485043200005</t>
  </si>
  <si>
    <t>Fay, D; Bagotyriute, R; Urbach, T; West, MA; Dawson, J</t>
  </si>
  <si>
    <t>Fay, Doris; Bagotyriute, Ruta; Urbach, Tina; West, Michael A.; Dawson, Jeremy</t>
  </si>
  <si>
    <t>Differential Effects of Workplace Stressors on Innovation: An Integrated Perspective of Cybernetics and Coping</t>
  </si>
  <si>
    <t>INTERNATIONAL JOURNAL OF STRESS MANAGEMENT</t>
  </si>
  <si>
    <t>innovation implementation; stressors; innovative work behavior; cybernetic stress theory</t>
  </si>
  <si>
    <t>TIME PRESSURE; PSYCHOLOGICAL STRAIN; SELF-REPORT; WORK; CREATIVITY; BEHAVIOR; HEALTH; METAANALYSIS; PERFORMANCE; CHALLENGE</t>
  </si>
  <si>
    <t>It is now consensus that engaging in innovative work behaviors is not restricted to traditional innovation jobs (e.g., research and development), but that they can be performed on a discretionary basis in most of today's jobs. To date, our knowledge on the role of workplace stressors for discretionary innovative behavior, in particular for innovation implementation, is limited. We draw on a cybernetic view as well as on a transactional, coping-based perspective with stress to propose differential effects of stressors on innovation implementation. We propose that work demands have a positive effect on innovation implementation, whereas role-based stressors (i.e., role conflict, role ambiguity, and professional compromise) have a negative effect. We conducted a time-lagged, survey-based study in the health care sector (Study 1, United Kingdom: N = 235 nurses). Innovation implementation was measured 2 years after the assessment of the stressors. Supporting our hypotheses, work demands were positively related to subsequent innovation implementation, whereas role ambiguity and professional compromise were negatively related to subsequent innovation implementation. We also tested organizational commitment as a mediator, but there was only partial support for the mediation. To test the generalizability of the findings, we replicated the study (Study 2, Germany: employees from various professions, N = 138, time lag 2 weeks). Similar results to that in Study 1 were obtained. There was no support for strain as a mediator. Our results suggest differential effects of work demands and role stressors on innovation implementation, for which the underlying mechanism still needs to be uncovered.</t>
  </si>
  <si>
    <t>[Fay, Doris; Bagotyriute, Ruta; Urbach, Tina] Univ Potsdam, Dept Psychol, Karl Liebknecht Str 24-25, D-14476 Potsdam, Germany; [West, Michael A.] Univ Lancaster, Management Sch, Lancaster, England; [Dawson, Jeremy] Univ Sheffield, Sch Management, Sheffield, S Yorkshire, England; [Dawson, Jeremy] Univ Sheffield, Sch Hlth &amp; Related Res, Sheffield, S Yorkshire, England</t>
  </si>
  <si>
    <t>University of Potsdam; N8 Research Partnership; RLUK- Research Libraries UK; Lancaster University; N8 Research Partnership; RLUK- Research Libraries UK; White Rose University Consortium; University of Sheffield; N8 Research Partnership; RLUK- Research Libraries UK; White Rose University Consortium; University of Sheffield</t>
  </si>
  <si>
    <t>Fay, D (corresponding author), Univ Potsdam, Dept Psychol, Karl Liebknecht Str 24-25, D-14476 Potsdam, Germany.</t>
  </si>
  <si>
    <t>doris.fay@uni-potsdam.de</t>
  </si>
  <si>
    <t>West, Michael/0000-0003-2698-0847; Urbach, Tina/0000-0001-5593-2436</t>
  </si>
  <si>
    <t>Mental Health Programme of the National Health Service Executive (Northern and Yorkshire Division), United Kingdom</t>
  </si>
  <si>
    <t>Study 1 of this article is based on a secondary analysis of a larger data collection effort funded by the Mental Health Programme of the National Health Service Executive (Northern and Yorkshire Division), United Kingdom. Other publications that build on this data set do not have any substantial overlap with the present article (Hardy, Shapiro, Haynes, &amp; Rick, 1999; Hardy, Woods, &amp; Wall, 2003; Haynes, Wall, Bolden, Stride, &amp; Rick, 1999; Payne, Wall, Borrill, &amp; Carter, 1999; Wall et al., 1997; Whaley, Morrison, Payne, Fritschi, &amp; Wall, 2005). Data reported in Study 2 have not been included in any previous publication. An earlier version of this article was presented at the 50th conference of DGPs (German Psychological Society), September 18-22, 2016, Leipzig, Germany.</t>
  </si>
  <si>
    <t>1072-5245</t>
  </si>
  <si>
    <t>1573-3424</t>
  </si>
  <si>
    <t>INT J STRESS MANAGE</t>
  </si>
  <si>
    <t>Int. J. Stress Manage.</t>
  </si>
  <si>
    <t>10.1037/str0000081</t>
  </si>
  <si>
    <t>HI9LE</t>
  </si>
  <si>
    <t>WOS:000456776200002</t>
  </si>
  <si>
    <t>Bokony, V; Pipoly, I; Szabo, K; Preiszner, B; Vincze, E; Papp, S; Seress, G; Hammer, T; Liker, A</t>
  </si>
  <si>
    <t>Bokony, Veronika; Pipoly, Ivett; Szabo, Krisztian; Preiszner, Balint; Vincze, Erno; Papp, Sandor; Seress, Gabor; Hammer, Tamas; Liker, Andras</t>
  </si>
  <si>
    <t>Innovative females are more promiscuous in great tits (Parus major)</t>
  </si>
  <si>
    <t>extra-pair fertilization; great tit; innovative problem solving; novel object; personality; promiscuity</t>
  </si>
  <si>
    <t>EXTRA-PAIR PATERNITY; PROBLEM-SOLVING PERFORMANCE; MAXIMUM-LIKELIHOOD-ESTIMATION; COGNITIVE-ABILITY; COMPUTER-PROGRAM; HOUSE SPARROWS; MATE CHOICE; GOOD GENES; BIRDS; BEHAVIOR</t>
  </si>
  <si>
    <t>Individual variation in the propensity to express innovative behaviors is increasingly recognized as ecologically and evolutionary significant. A growing number of studies show that more innovative individuals can realize higher breeding success, indicating that innovativeness may be important in mating decisions. Here we investigated whether male and female performance in innovative problem-solving tasks is linked to sexual selection via extra-pair mating behavior. We observed the problem-solving success of great tit (Parus major) pairs in 2 tasks at the nest, and related it to the occurrence of extra-pair paternity (EPP) in their broods. In a food-acquisition task, we found no difference in EPP among pairs in which the male solved, pairs in which the female solved, and unsuccessful pairs. In an obstacle-removal task that was solved almost exclusively by females, EPP was more frequent in broods of solver females than in broods of unsuccessful females. These results do not support the hypothesis that the social male's innovativeness influences the female's extra-pair mating behavior. Instead, they suggest that the female's infidelity covaries positively with her innovativeness. Furthermore, EPP was related to both parents' neophobia such that pairs of highly neophobic individuals were less likely to have EPP than pairs that contained at least one individual with low neophobia. These findings indicate that promiscuity is associated with certain behavioral phenotypes, suggesting that both innovativeness and novelty seeking may facilitate the investment into and/or the exposure to extra-pair mating attempts.</t>
  </si>
  <si>
    <t>[Bokony, Veronika; Pipoly, Ivett; Preiszner, Balint; Vincze, Erno; Papp, Sandor; Seress, Gabor; Hammer, Tamas; Liker, Andras] Univ Pannonia, Dept Limnol, Pf 158, H-8201 Veszprem, Hungary; [Bokony, Veronika] Hungarian Acad Sci, Lendulet Evolutionary Ecol Res Grp, Inst Plant Protect, Agr Res Ctr, Herman Otto U 15, H-1022 Budapest, Hungary; [Szabo, Krisztian] Univ Vet Med, Dept Ecol, Rottenbiller U 50, H-1077 Budapest, Hungary</t>
  </si>
  <si>
    <t>University of Pannonia; Eotvos Lorand Research Network; Hungarian Academy of Sciences; Hungarian Centre for Agricultural Research; University of Veterinary Medicine Budapest</t>
  </si>
  <si>
    <t>Bokony, V (corresponding author), Univ Pannonia, Dept Limnol, Pf 158, H-8201 Veszprem, Hungary.;Bokony, V (corresponding author), Hungarian Acad Sci, Lendulet Evolutionary Ecol Res Grp, Inst Plant Protect, Agr Res Ctr, Herman Otto U 15, H-1022 Budapest, Hungary.</t>
  </si>
  <si>
    <t>bokony.veronika@agrar.mta.hu</t>
  </si>
  <si>
    <t>Preiszner, Bálint/AAB-7659-2020; Bókony, Veronika/AAH-7679-2020; Vincze, Ernő/Q-8857-2018</t>
  </si>
  <si>
    <t>Preiszner, Bálint/0000-0002-3352-2169; Bókony, Veronika/0000-0002-2136-5346; Vincze, Ernő/0000-0002-2493-5551; Pipoly, Ivett/0000-0002-4541-6056; Seress, Gabor/0000-0001-9828-4934</t>
  </si>
  <si>
    <t>Hungarian Scientific Research Fund (OTKA) [K84132]; National Research, Development and Innovation Office (NKFIH) of Hungary [K112838]; European Union; European Social Fund [TAMOP-4.2.2.A-11/1/KONV-2012-0064, TAMOP-4.2.4.A/2-11/1-2012-0001]; German Academic Exchange Service (DAAD); Hungarian Academy of Sciences</t>
  </si>
  <si>
    <t>Hungarian Scientific Research Fund (OTKA)(Orszagos Tudomanyos Kutatasi Alapprogramok (OTKA)); National Research, Development and Innovation Office (NKFIH) of Hungary; European Union(European Commission); European Social Fund(European Social Fund (ESF)); German Academic Exchange Service (DAAD)(Deutscher Akademischer Austausch Dienst (DAAD)); Hungarian Academy of Sciences(Hungarian Academy of Sciences)</t>
  </si>
  <si>
    <t>This study was financed by the Hungarian Scientific Research Fund (OTKA, K84132) and the National Research, Development and Innovation Office (NKFIH) of Hungary (K112838). We were supported by the European Union, with the co-funding of the European Social Fund (B.P., S.P., and E.V. by TAMOP-4.2.2.A-11/1/KONV-2012-0064; V.B. by TAMOP-4.2.4.A/2-11/1-2012-0001 National Excellence Program). I.P. was supported by The German Academic Exchange Service (DAAD). V.B. was supported by the Janos Bolyai Scholarship of the Hungarian Academy of Sciences.</t>
  </si>
  <si>
    <t>10.1093/beheco/arx001</t>
  </si>
  <si>
    <t>EV4YF</t>
  </si>
  <si>
    <t>WOS:000401769000034</t>
  </si>
  <si>
    <t>Li, ML; Hsu, C</t>
  </si>
  <si>
    <t>Li, Minglong; Hsu, Cathy</t>
  </si>
  <si>
    <t>Customer Participation in Services and its Effect on Employee Innovative Behavior</t>
  </si>
  <si>
    <t>Customer participation; employee innovative behavior; hospitality; services</t>
  </si>
  <si>
    <t>CO-CREATION; JOB-SATISFACTION; IMPACT; COPRODUCTION; INVOLVEMENT; FAIRNESS; CONTACT; ANTECEDENTS; PERFORMANCE; ENGAGEMENT</t>
  </si>
  <si>
    <t>Customer participation in services has received increasing attention in hospitality research. Despite the growing attention, research on perceived customer participation (PCP) from an employee perspective remains limited. It may be valuable to inspect the service dominant logic from the perspective of employees. Thus, this study attempts to develop a measurement scale for PCP. The effect of PCP on employee innovative behavior (EIB) is also examined from a hospitality context. Both qualitative and quantitative methods are used to address the research problem. Three dimensions of PCP are identified, and the high reliability and validity of the scale are confirmed. The analysis based on the main survey data from 514 restaurant employees also reveals that customer information and emotional participation positively affect EIB, whereas the relationship between behavioral participation and EIB is insignificant. The research findings carry implications for research on PCP and the management of EIB in hospitality firms.</t>
  </si>
  <si>
    <t>[Li, Minglong] Zhongnan Univ Econ &amp; Law, Sch Business Adm, Wuhan 430073, Peoples R China; [Hsu, Cathy] Hong Kong Polytech Univ, Sch Hotel &amp; Tourism Management, Hong Kong, Hong Kong, Peoples R China</t>
  </si>
  <si>
    <t>Li, ML (corresponding author), Zhongnan Univ Econ &amp; Law, Sch Business Adm, Wuhan 430073, Peoples R China.</t>
  </si>
  <si>
    <t>mingling.li@connect.polyu.edu.hk</t>
  </si>
  <si>
    <t>10.1080/19368623.2016.1215946</t>
  </si>
  <si>
    <t>EL4WF</t>
  </si>
  <si>
    <t>WOS:000394620900004</t>
  </si>
  <si>
    <t>Yang, F; Qian, J; Tang, L; Zhang, LH</t>
  </si>
  <si>
    <t>Yang, Fu; Qian, Jing; Tang, Le; Zhang, Lihua</t>
  </si>
  <si>
    <t>No longer take a tree for the forest: A cross-level learning-related perspective on individual innovative behavior</t>
  </si>
  <si>
    <t>team structure; team learning goal orientation composition; learning goal orientation; innovative behavior; trait activation theory</t>
  </si>
  <si>
    <t>LEADER-MEMBER EXCHANGE; CREATIVE SELF-EFFICACY; WORK UNIT STRUCTURE; GOAL ORIENTATION; JOB-PERFORMANCE; MEDIATING ROLE; INTERACTIONAL JUSTICE; EMPLOYEE CREATIVITY; PROCEDURAL JUSTICE; TRAIT EXPRESSION</t>
  </si>
  <si>
    <t>Using trait activation theory as a framework, this study developed and tested a cross-level model of individual innovative behavior. Data from a sample of 334 employees within 75 work teams were used to examine the hypothesized model. Results showed that employee learning goal orientation was positively related to innovative behavior only when the team structure was more organic. Additionally, the relationship between employee learning goal orientation and innovative behavior would be strongest when both the team structure was more organic and team mean learning goal orientation was higher.</t>
  </si>
  <si>
    <t>[Yang, Fu] Southwestern Univ Finance &amp; Econ, Sch Business Adm, Chengdu, Peoples R China; [Qian, Jing] Beijing Normal Univ, Sch Business, Beijing, Peoples R China; [Tang, Le; Zhang, Lihua] Renmin Univ China, Sch Labor &amp; Human Resources, Beijing, Peoples R China</t>
  </si>
  <si>
    <t>Southwestern University of Finance &amp; Economics - China; Beijing Normal University; Renmin University of China</t>
  </si>
  <si>
    <t>yangfu6810@126.com</t>
  </si>
  <si>
    <t>National Natural Science Foundation of China [71502141]; Fundamental Research Funds for the Central Universities [JBK150109]</t>
  </si>
  <si>
    <t>National Natural Science Foundation of China(National Natural Science Foundation of China (NSFC)); Fundamental Research Funds for the Central Universities(Fundamental Research Funds for the Central Universities)</t>
  </si>
  <si>
    <t>This research was supported by the National Natural Science Foundation of China (71502141) and the Fundamental Research Funds for the Central Universities (JBK150109). We are grateful to our anonymous reviewers and associate editor Tui McKeown for their constructive comments.</t>
  </si>
  <si>
    <t>10.1017/jmo.2015.33</t>
  </si>
  <si>
    <t>DQ9CT</t>
  </si>
  <si>
    <t>WOS:000379508700001</t>
  </si>
  <si>
    <t>Henrike, HW; Schultz, C</t>
  </si>
  <si>
    <t>Henrike, Hannemann-Weber; Schultz, Carsten</t>
  </si>
  <si>
    <t>The impact of health care professionals' service orientation on patients' innovative behavior</t>
  </si>
  <si>
    <t>HEALTH CARE MANAGEMENT REVIEW</t>
  </si>
  <si>
    <t>Idea generation; patient innovative behavior; rare diseases; service orientation; shared goals; work adaptivity and proactivity</t>
  </si>
  <si>
    <t>VALUE CREATION; PERFORMANCE; WORK; QUALITY; ORGANIZATIONS; DETERMINANTS; ANTECEDENTS; LEADERSHIP; NETWORK; SUCCESS</t>
  </si>
  <si>
    <t>Background: The increasing availability of medical information and the rising relevance of patient communities drive the active role of health consumers in health care processes. Patients become experts on their disease and provide valuable stimuli for novel care solutions. Medical encounters evolve toward a more collaborative health care service process, where patients are accepted as equal partners. However, the patient's active role depends on the interaction with the involved health care professionals. Purpose: The aim of this article is to examine whether the service orientation of health care professionals and their proactive and adaptive work behavior and the extent of shared goals within the necessary interdisciplinary health professional team influence patients' innovative behavior. Methodology: We address six rare diseases and use interview and survey data to test theoretically derived hypotheses. The sample consists of 86 patients and their 160 health care professionals. Sixty patients provided additional information via interviews. Patients' innovative behavior is reflected by the number of generated ideas as well as the variety of ideas. Findings: The service orientation of work teams plays an important role in the innovation process of patients. As hypothesized, the extent of shared goals within the health care teams has a direct effect on patients' idea generation. Work adaptivity and proactivity and shared goals both reinforce the positive effect of service orientation. Furthermore, significant associations between the three independent variables and the second outcome variable of patient's idea variety are confirmed. Practice Implications: The study underlines (1) the important role of patients within health care service innovation processes, (2) the necessity of a service-oriented working climate to foster the development of innovative care solutions for rare diseases, and (3) the need for an efficient cooperation and open mindset of health care professionals to motivate and support patient innovation.</t>
  </si>
  <si>
    <t>[Henrike, Hannemann-Weber] Tech Univ Berlin, Berlin, Germany; [Schultz, Carsten] Univ Kiel, Inst Innovat Res, Schleswig Holstein, Germany</t>
  </si>
  <si>
    <t>Technical University of Berlin; University of Kiel</t>
  </si>
  <si>
    <t>Henrike, HW (corresponding author), Tech Univ Berlin, Berlin, Germany.</t>
  </si>
  <si>
    <t>schultz@bwl.uni-kiel.de</t>
  </si>
  <si>
    <t>Schultz, Carsten/G-5554-2016</t>
  </si>
  <si>
    <t>Schultz, Carsten/0000-0002-5984-9872</t>
  </si>
  <si>
    <t>0361-6274</t>
  </si>
  <si>
    <t>1550-5030</t>
  </si>
  <si>
    <t>HEALTH CARE MANAGE R</t>
  </si>
  <si>
    <t>Health Care Manage. Rev.</t>
  </si>
  <si>
    <t>10.1097/HMR.0b013e31829d534c</t>
  </si>
  <si>
    <t>AP3HJ</t>
  </si>
  <si>
    <t>WOS:000341965900007</t>
  </si>
  <si>
    <t>Lin, YT; Han, XP; Wang, BH</t>
  </si>
  <si>
    <t>Lin, Ying-Ting; Han, Xiao-Pu; Wang, Bing-Hong</t>
  </si>
  <si>
    <t>Dynamics of human innovative behaviors</t>
  </si>
  <si>
    <t>PHYSICA A-STATISTICAL MECHANICS AND ITS APPLICATIONS</t>
  </si>
  <si>
    <t>Innovative behaviors; Evolution of strategies; Non-Poisson properties in temporal-spatial patterns; Quasi-localized effects; Innovation spreading</t>
  </si>
  <si>
    <t>STATISTICAL PHYSICS; CELLULAR-AUTOMATA; COMPLEX NETWORKS; SOCIAL NETWORK; EVOLUTION; MODEL; DIFFUSION; SPREAD</t>
  </si>
  <si>
    <t>How to promote the innovative activities is an important problem for modern society. In this paper, combining the evolutionary games with information spreading, we propose a lattice model to investigate dynamics of human innovative behaviors based on benefit-driven assumption. Simulations show several properties in agreement with peoples' daily cognition on innovative behaviors, such as slow diffusion of innovative behaviors, gathering of innovative strategy on innovative centers, and quasi-localized dynamics. Furthermore, our model also emerges rich non-Poisson properties in the temporal-spatial patterns of the innovative status, including the scaling law in the interval time of innovation releases and the bimodal distributions on the spreading range of innovations, which would be universal in human innovative behaviors. Our model provides a basic framework on the study of the issues relevant to the evolution of human innovative behaviors and the promotion measurement of innovative activities. (C) 2013 Elsevier B.V. All rights reserved.</t>
  </si>
  <si>
    <t>[Lin, Ying-Ting; Wang, Bing-Hong] Univ Sci &amp; Technol China, Dept Modern Phys, Hefei 230026, Peoples R China; [Han, Xiao-Pu] Hangzhou Normal Univ, Inst Informat Econ, Hangzhou 310036, Zhejiang, Peoples R China; [Han, Xiao-Pu] Hangzhou Normal Univ, Alibaba Business Coll, Hangzhou 310036, Zhejiang, Peoples R China; [Wang, Bing-Hong] Wenzhou Univ, Coll Phys &amp; Elect Informat Engn, Wenzhou 325035, Peoples R China; [Wang, Bing-Hong] Univ Shanghai Sci &amp; Technol, Res Ctr Complex Syst Sci, Shanghai 200093, Peoples R China</t>
  </si>
  <si>
    <t>Chinese Academy of Sciences; University of Science &amp; Technology of China, CAS; Hangzhou Normal University; Hangzhou Normal University; Wenzhou University; University of Shanghai for Science &amp; Technology</t>
  </si>
  <si>
    <t>Han, XP (corresponding author), Hangzhou Normal Univ, Inst Informat Econ, Hangzhou 310036, Zhejiang, Peoples R China.</t>
  </si>
  <si>
    <t>xp@hznu.edu.cn; bhwang@ustc.edu.cn</t>
  </si>
  <si>
    <t>Wang, Bing/IAP-6059-2023; Han, Xiao-Pu/E-8401-2010; Wang, Bing/IAQ-0291-2023</t>
  </si>
  <si>
    <t>National Important Research Project [91024026]; National Natural Science Foundation of China [11205040, 11105024, 10975126, 11275186]; Major Important Project Fund for Anhui University Nature Science Research [KJ2011ZD07]; Specialized Research Fund for the Doctoral Program of Higher Education of China [20093402110032]</t>
  </si>
  <si>
    <t>National Important Research Project; National Natural Science Foundation of China(National Natural Science Foundation of China (NSFC)); Major Important Project Fund for Anhui University Nature Science Research; Specialized Research Fund for the Doctoral Program of Higher Education of China(Specialized Research Fund for the Doctoral Program of Higher Education (SRFDP))</t>
  </si>
  <si>
    <t>This work was funded by the National Important Research Project (Grant No. 91024026), the National Natural Science Foundation of China (No. 11205040, 11105024, 10975126, 11275186), the Major Important Project Fund for Anhui University Nature Science Research (Grant No. KJ2011ZD07) and the Specialized Research Fund for the Doctoral Program of Higher Education of China (Grant No. 20093402110032).</t>
  </si>
  <si>
    <t>0378-4371</t>
  </si>
  <si>
    <t>1873-2119</t>
  </si>
  <si>
    <t>PHYSICA A</t>
  </si>
  <si>
    <t>Physica A</t>
  </si>
  <si>
    <t>JAN 15</t>
  </si>
  <si>
    <t>10.1016/j.physa.2013.09.039</t>
  </si>
  <si>
    <t>Physics, Multidisciplinary</t>
  </si>
  <si>
    <t>273GP</t>
  </si>
  <si>
    <t>WOS:000328523600007</t>
  </si>
  <si>
    <t>Gurkov, I</t>
  </si>
  <si>
    <t>Gurkov, Igor</t>
  </si>
  <si>
    <t>Why some Russian industrial companies innovate regularly: Determinants of firms' decisions to innovate and associated routines</t>
  </si>
  <si>
    <t>JOURNAL FOR EAST EUROPEAN MANAGEMENT STUDIES</t>
  </si>
  <si>
    <t>industrial innovations; surveys; managerial attitudes; post-recession development; Russian economy</t>
  </si>
  <si>
    <t>STRATEGY PROCESS</t>
  </si>
  <si>
    <t>Through a survey of CEOs of Russian industrial companies administered in the second half of 2011 we have tried to understand the forces that lead some firms to decide to engage in more innovative activities than others and examined the types of routines associated with this decision. We found that the most important factors that predispose Russian CEOs towards regular innovations are awareness of rapid changes in technologies and products, positive assessment of the market trends and ability to orchestrate intra-industry cooperation. The most visible routine associated with more innovative behavior is the wide use of subcontractors for most of the activity related to innovations.</t>
  </si>
  <si>
    <t>gurkov@list.ru</t>
  </si>
  <si>
    <t>Gurkov, Igor/H-1501-2015</t>
  </si>
  <si>
    <t>Gurkov, Igor/0000-0001-8116-0425</t>
  </si>
  <si>
    <t>0949-6181</t>
  </si>
  <si>
    <t>J E EUR MANAG STUD</t>
  </si>
  <si>
    <t>J. East Eur. Manag. Stud.</t>
  </si>
  <si>
    <t>10.5771/0949-6181-2013-1-66</t>
  </si>
  <si>
    <t>168WK</t>
  </si>
  <si>
    <t>hybrid, Green Submitted</t>
  </si>
  <si>
    <t>WOS:000320738400005</t>
  </si>
  <si>
    <t>Bastian, ML; van Noordwijk, MA; van Schalk, CP</t>
  </si>
  <si>
    <t>Bastian, Meredith L.; van Noordwijk, Maria A.; van Schalk, Carel P.</t>
  </si>
  <si>
    <t>Innovative behaviors in wild Bornean orangutans revealed by targeted population comparison</t>
  </si>
  <si>
    <t>BEHAVIOUR</t>
  </si>
  <si>
    <t>innovation; Bongo; geographic variation in behavior; leaf carrying</t>
  </si>
  <si>
    <t>ANIMAL CULTURES; TOOL-USE; EVOLUTION; INTELLIGENCE; TRADITIONS; SIZE</t>
  </si>
  <si>
    <t>The aim of this study was to assess whether geographic variation in wild orangutan behavior reflected the presence of innovations or merely variation induced by genetic or environmental differences. We improved upon previous attempts to answer this question in three complementary ways. First, to minimize the possible effects of differences in genetic composition or the physical, biological and social environment, we compared a population of Bornean orangutans (Pongo pygmaeus wurmbii) at a new site (Sungai Lading) with that of an established site (Tuanan). These two populations were physically separated but showed high genetic similarity and occupied very similar habitats, leaving different innovation histories as the only plausible source of significant differences in their behavioral repertoires, if these were found. Second, we used identical observation methods and overlapping observers at both sites, deliberately attempting to record the full behavioral repertoire. Third, we introduced statistical techniques to reduce the likelihood of false absences. The results showed several behavior patterns unique to the new site, as well as the absence of several patterns observed at the established site, most of them satisfying the criteria previously proposed for recognizing innovations. We, thus, confirm that orangutans produce behavioral innovations, and conclude that the geographic method for identifying innovations in wild populations is a valid, albeit conservative, approach that can complement other techniques. Finally, the results also strongly support a cultural interpretation of geographic variation in orangutan behavior.</t>
  </si>
  <si>
    <t>[Bastian, Meredith L.] Philadelphia Zoo, Philadelphia, PA 19104 USA; [Bastian, Meredith L.; van Schalk, Carel P.] Duke Univ, Dept Evolutionary Anthropol, Durham, NC 27708 USA; [van Noordwijk, Maria A.; van Schalk, Carel P.] Univ Zurich, Anthropol Inst &amp; Museum, CH-8057 Zurich, Switzerland</t>
  </si>
  <si>
    <t>Duke University; University of Zurich</t>
  </si>
  <si>
    <t>Bastian, ML (corresponding author), Philadelphia Zoo, 3400 W Girard Ave, Philadelphia, PA 19104 USA.</t>
  </si>
  <si>
    <t>bastian.meredith@phillyzoo.org</t>
  </si>
  <si>
    <t>BOS-Foundation; Departamen Kehutanan (PHKA); Indonesian Institute of Sciences (LIPI); Direktorat Fasilitasi Organisasi Politik dan Kemasyarakatan; Departamen Dalam Negri</t>
  </si>
  <si>
    <t>BOS-Foundation; Departamen Kehutanan (PHKA); Indonesian Institute of Sciences (LIPI)(Ministry of Research and Technology of the Republic of Indonesia (RISTEK)); Direktorat Fasilitasi Organisasi Politik dan Kemasyarakatan; Departamen Dalam Negri</t>
  </si>
  <si>
    <t>We thank the BOS-Foundation for permission to work at MAWAS; Universitas Nasional (UNAS) for sponsoring the Tuanan and Sungai Lading projects; the Director General of the Departamen Kehutanan (PHKA), the Indonesian Institute of Sciences (LIPI), the Direktorat Fasilitasi Organisasi Politik dan Kemasyarakatan, Departamen Dalam Negri, and the BKSDA Palangkaraya for permission to work in Indonesia. We thank the American Society of Primatologists, the Duke University Graduate School, the L.S.B. Leakey Foundation, the National Science Foundation (Grant No. 0452995), and the Wenner-Gren Foundation for Anthropological Research (Grant No. 7330) for financial support of the projects. We thank the numerous field staff, students, and assistants who have participated in the Tuanan and Sungai Lading projects; Mark Harrison, Ellen Meulman, and Wahyu Susanto for valuable discussion; and three reviewers for insightful feedback. This study was conducted within the framework of a Memorandum of Understanding between UNAS and the Anthropological Institute (AIM) of the University of Zurich. We especially thank Tatang Mitra Setia and Sri Suci Utami Atmoko for fruitful long-term collaboration.</t>
  </si>
  <si>
    <t>0005-7959</t>
  </si>
  <si>
    <t>1568-539X</t>
  </si>
  <si>
    <t>Behaviour</t>
  </si>
  <si>
    <t>10.1163/156853912X636726</t>
  </si>
  <si>
    <t>960AD</t>
  </si>
  <si>
    <t>WOS:000305359500002</t>
  </si>
  <si>
    <t>Hannemann-Weber, H; Kessel, M; Budych, K; Schultz, C</t>
  </si>
  <si>
    <t>Hannemann-Weber, Henrike; Kessel, Maura; Budych, Karolina; Schultz, Carsten</t>
  </si>
  <si>
    <t>Shared communication processes within healthcare teams for rare diseases and their influence on healthcare professionals' innovative behavior and patient satisfaction</t>
  </si>
  <si>
    <t>IMPLEMENTATION SCIENCE</t>
  </si>
  <si>
    <t>ABSORPTIVE-CAPACITY; KNOWLEDGE TRANSFER; DECISION-MAKING; PERFORMANCE; ANTECEDENTS; CONSEQUENCES; DETERMINANTS; DIVERSITY; NETWORKS; OUTCOMES</t>
  </si>
  <si>
    <t>Background: A rare disease is a pattern of symptoms that afflicts less than five in 10,000 patients. However, as about 6,000 different rare disease patterns exist, they still have significant epidemiological relevance. We focus on rare diseases that affect multiple organs and thus demand that multidisciplinary healthcare professionals (HCPs) work together. In this context, standardized healthcare processes and concepts are mainly lacking, and a deficit of knowledge induces uncertainty and ambiguity. As such, individualized solutions for each patient are needed. This necessitates an intensive level of innovative individual behavior and thus, adequate idea generation. The final implementation of new healthcare concepts requires the integration of the expertise of all healthcare team members, including that of the patients. Therefore, knowledge sharing between HCPs and shared decision making between HCPs and patients are important. The objective of this study is to assess the contribution of shared communication and decision-making processes in patient-centered healthcare teams to the generation of innovative concepts and consequently to improvements in patient satisfaction. Methods: A theoretical framework covering interaction processes and explorative outcomes, and using patient satisfaction as a measure for operational performance, was developed based on healthcare management, innovation, and social science literature. This theoretical framework forms the basis for a three-phase, mixed-method study. Exploratory phase I will first involve collecting qualitative data to detect central interaction barriers within healthcare teams. The results are related back to theory, and testable hypotheses will be derived. Phase II then comprises the testing of hypotheses through a quantitative survey of patients and their HCPs in six different rare disease patterns. For each of the six diseases, the sample should comprise an average of 30 patients with six HCP per patient-centered healthcare team. Finally, in phase III, qualitative data will be generated via semi-structured telephone interviews with patients to gain a deeper understanding of the communication processes and initiatives that generate innovative solutions. Discussion: The findings of this proposed study will help to elucidate the necessity of individualized innovative solutions for patients with rare diseases. Therefore, this study will pinpoint the primary interaction and communication processes in multidisciplinary teams, as well as the required interplay between exploratory outcomes and operational performance. Hence, this study will provide healthcare institutions and HCPs with results and information essential for elaborating and implementing individual care solutions through the establishment of appropriate interaction and communication structures and processes within patient-centered healthcare teams.</t>
  </si>
  <si>
    <t>[Hannemann-Weber, Henrike; Kessel, Maura; Schultz, Carsten] Tech Univ Berlin, Inst Technol &amp; Innovat Management, D-10623 Berlin, Germany; [Budych, Karolina] German Fdn Chronically Ill, Furth, Germany</t>
  </si>
  <si>
    <t>Hannemann-Weber, H (corresponding author), Tech Univ Berlin, Inst Technol &amp; Innovat Management, Str 17 Juni 135, D-10623 Berlin, Germany.</t>
  </si>
  <si>
    <t>henrike.hannemann-weber@tu-berlin.de</t>
  </si>
  <si>
    <t>Schultz, Carsten/K-3851-2012; Schultz, Carsten/G-5554-2016</t>
  </si>
  <si>
    <t>German Federal Ministry of Education and Research (BMBF) [01FG09008]</t>
  </si>
  <si>
    <t>German Federal Ministry of Education and Research (BMBF)(Federal Ministry of Education &amp; Research (BMBF))</t>
  </si>
  <si>
    <t>This research project is funded by the German Federal Ministry of Education and Research (BMBF) through a priority announcement, grant no. 01FG09008. The BMBF did neither participate in the design of the study nor in the drafting of this manuscript.</t>
  </si>
  <si>
    <t>1748-5908</t>
  </si>
  <si>
    <t>IMPLEMENT SCI</t>
  </si>
  <si>
    <t>Implement. Sci.</t>
  </si>
  <si>
    <t>10.1186/1748-5908-6-40</t>
  </si>
  <si>
    <t>773LS</t>
  </si>
  <si>
    <t>WOS:000291309400001</t>
  </si>
  <si>
    <t>Gaffard, JL; Quere, M</t>
  </si>
  <si>
    <t>What's the aim for competition policy: optimizing market structure or encouraging innovative behaviors?</t>
  </si>
  <si>
    <t>10th International J-A-Schumpeter-Society Conference</t>
  </si>
  <si>
    <t>JUN 09-12, 2004</t>
  </si>
  <si>
    <t>Univ Bocconi, Milan, ITALY</t>
  </si>
  <si>
    <t>Joseph A Schumpeter Soc</t>
  </si>
  <si>
    <t>Univ Bocconi</t>
  </si>
  <si>
    <t>competition; information; innovation</t>
  </si>
  <si>
    <t>Innovation is usually thought of as a change in the fundamentals of an economy, which can require adjustments by policy-makers. The latter are usually thought as in regard to a dominant vision, which is to restore an optimal market structure, and leads to a competition policy mainly aimed at controlling for antitrust practices and limiting market power. In this paper, we favor another vision of innovation, as a discovery process that cannot allow ex ante a definition of best practices. Dealing with information issues in two different and alternative perspectives, we argue that antitrust authorities confront a market imperfection-market failure dilemma (MI-MF dilemma) which leads them to favor the existence of appreciative and discretionary policy rather than encouraging the existence of any market structure thought of as optimal as regards the current state of information. We conclude with policy implications, contrasting the EU with the US.</t>
  </si>
  <si>
    <t>Univ Nice, Inst Univ France, F-06560 Valbonne, France; OFCE, F-06560 Valbonne, France; CNRS, GREDEG, F-06560 Valbonne, France</t>
  </si>
  <si>
    <t>Institut Universitaire de France; UDICE-French Research Universities; Universite Cote d'Azur; Centre National de la Recherche Scientifique (CNRS); UDICE-French Research Universities; Universite Cote d'Azur</t>
  </si>
  <si>
    <t>Gaffard, JL (corresponding author), Univ Nice, Inst Univ France, 250 Ave Albert Einstein, F-06560 Valbonne, France.</t>
  </si>
  <si>
    <t>gaffard@idefi.cnrs.fr; quere@idefi.cnrs.fr</t>
  </si>
  <si>
    <t>10.1007/s00191-005-0014-0</t>
  </si>
  <si>
    <t>011LT</t>
  </si>
  <si>
    <t>WOS:000235270400010</t>
  </si>
  <si>
    <t>Smolny, W; Schneeweis, T</t>
  </si>
  <si>
    <t>Innovations, growth and employment - An empirical analysis on the base of the ifo firm panel</t>
  </si>
  <si>
    <t>German</t>
  </si>
  <si>
    <t>The ifo firm panel includes a large set of data for West German manufacturing firms from 1980-92 which permits a detailled analysis of firm behaviour. In this paper, estimates of the impact and the determinants of innovation behaviour are presented. The empirical results reveal that innovative firms exhibit more output and employment growth than non-innovative firms. The quantitative impact is non-negligible. The results also reveal that innovative behaviour depends positively on firm size and the business cycle.</t>
  </si>
  <si>
    <t>WALTER DE GRUYTER GMBH</t>
  </si>
  <si>
    <t>BERLIN</t>
  </si>
  <si>
    <t>GENTHINER STRASSE 13, D-10785 BERLIN, GERMANY</t>
  </si>
  <si>
    <t>2366-049X</t>
  </si>
  <si>
    <t>181BE</t>
  </si>
  <si>
    <t>WOS:000079420100011</t>
  </si>
  <si>
    <t>PUCCIO, GJ; TALBOT, RJ; JONIAK, AJ</t>
  </si>
  <si>
    <t>PERSON-ENVIRONMENT FIT - USING COMMENSURATE SCALES TO PREDICT STUDENT STRESS</t>
  </si>
  <si>
    <t>BRITISH JOURNAL OF EDUCATIONAL PSYCHOLOGY</t>
  </si>
  <si>
    <t>KIRTON ADAPTION-INNOVATION; INVENTORY; ORGANIZATIONS; ADJUSTMENT; CONGRUENCE; SELECTION; CRITIQUE; ADAPTORS; HEALTH; SCORES</t>
  </si>
  <si>
    <t>The relationship between person-environment fit and stress was examined for two samples of university students (N=55 and 79). The Kirton Adaption-Innovation Inventory (KAI) was modified to assess the students' perceptions of the adaptor-innovator style required by their course, the styles they exhibited in the course, and their ideal style preferences. To ascertain fit, the KAI total scores and subscale scores (Originality, Efficiency, and Rule/Group Conformity) were used to classify students on three dimensions: (1) perception of what style their course required, adaptive or innovative; (2) congruence between the style the course required and the style they exhibited in the course; and (3) the magnitude of the difference, if any, between the required style and the exhibited style. Points two and three are measures of fit. The dependent variable was stress. Also the students' ideal style scores, KAI total and subscales, were substituted for the exhibited scores and the classification and analyses were repeated. Analysis of the total scores revealed that a course requiring adaptive behaviours was perceived as more stressful than a course requiring innovative behaviours. Similarly, an analysis of the Rule/Group Conformity scores revealed that the greater the conformity required the greater the stress. Also the less originality demanded in the course the greater was the perceived stress. For the KAI total scores and Rule/Group Conformity scores, the two measures of fit (incongruity and magnitude of the incongruity) were not related to stress. However, analyses of the Originality and Efficiency subscales supported the importance of the P-E fit position. For both subscales, stress was associated with the magnitude of the difference between what was required in the course and what students exhibited in the course. Educational implications derived from these findings as well as recommendations for future research are discussed.</t>
  </si>
  <si>
    <t>UNIV MANCHESTER,INST SCI &amp; TECHNOL,MANCHESTER SCH MANAGEMENT,MANCHESTER M60 1QD,LANCS,ENGLAND; SUNY COLL BUFFALO,DEPT BUSINESS,BUFFALO,NY 14222</t>
  </si>
  <si>
    <t>N8 Research Partnership; RLUK- Research Libraries UK; University of Manchester; State University of New York (SUNY) System; Buffalo State College</t>
  </si>
  <si>
    <t>PUCCIO, GJ (corresponding author), SUNY COLL BUFFALO,CTR STUDIES CREAT,CHASE HALL 244,1300 ELMWOOD AVE,BUFFALO,NY 14222, USA.</t>
  </si>
  <si>
    <t>ST ANDREWS HOUSE, 48 PRINCESS RD EAST, LEICESTER, LEICS, ENGLAND LE1 7DR</t>
  </si>
  <si>
    <t>0007-0998</t>
  </si>
  <si>
    <t>BRIT J EDUC PSYCHOL</t>
  </si>
  <si>
    <t>Br. J. Educ. Psychol.</t>
  </si>
  <si>
    <t>10.1111/j.2044-8279.1993.tb01071.x</t>
  </si>
  <si>
    <t>ML466</t>
  </si>
  <si>
    <t>WOS:A1993ML46600006</t>
  </si>
  <si>
    <t>Guo, YG; Peng, YR; Zhu, YT</t>
  </si>
  <si>
    <t>Guo, Yungui; Peng, Yanrong; Zhu, Yanting</t>
  </si>
  <si>
    <t>How does empowering leadership motivate employee innovative behavior: A job characteristics perspective</t>
  </si>
  <si>
    <t>Empowering leadership; Meaningful work; Job complexity; Employee innovative behavior</t>
  </si>
  <si>
    <t>MEANINGFUL WORK; TRANSFORMATIONAL LEADERSHIP; PSYCHOLOGICAL EMPOWERMENT; INDIVIDUAL INNOVATION; INTRINSIC MOTIVATION; SELF-DETERMINATION; CONTEXTUAL FACTORS; MEDIATING ROLE; CREATIVITY; OUTCOMES</t>
  </si>
  <si>
    <t>Drawing on self-determination theory and job characteristics theory, this study proposed a theoretical hypothesis model to explore the mediating and moderating mechanisms of empowering leadership on employee innovative behavior (EIB) by introducing meaningful work as mediating variable and job complexity as moderating variable. By collecting two-wave time lagged data (N = 272) with an interval of three months from 6 private enterprises in China, this study conducted hierarchical regression analysis, structural equation model analysis and bootstrap analysis to test the hypothetical model. The results revealed that empowering leadership positively impacted EIB both directly and indirectly via meaningful work. Moreover, job complexity positively moderated not only the association between empowering leadership and EIB, but also the association between meaningful work and EIB. This study offers the academia with a new perspective to explain the association between empowering leadership and EIB.</t>
  </si>
  <si>
    <t>[Guo, Yungui; Peng, Yanrong] Hunan Univ Sci &amp; Technol, Sch Business, Xiangtan 411201, Hunan, Peoples R China; [Zhu, Yanting] Renmin Univ China, Sch Lab &amp; Human Resources, Beijing, Peoples R China</t>
  </si>
  <si>
    <t>Hunan University of Science &amp; Technology; Renmin University of China</t>
  </si>
  <si>
    <t>Guo, YG (corresponding author), Hunan Univ Sci &amp; Technol, Sch Business, Xiangtan 411201, Hunan, Peoples R China.</t>
  </si>
  <si>
    <t>gyg1225@163.com</t>
  </si>
  <si>
    <t>Guo, Yungui/AAU-6595-2021</t>
  </si>
  <si>
    <t>Guo, Yungui/0000-0002-6833-8839</t>
  </si>
  <si>
    <t>Scientific Research Fund of Hunan Provincial Education Department [20B213]</t>
  </si>
  <si>
    <t>Scientific Research Fund of Hunan Provincial Education Department(Hunan Provincial Education Department)</t>
  </si>
  <si>
    <t>The authors disclose receipt of the following financial support for the research, authorship, and/or publication of this article: A Project Supported by Scientific Research Fund of Hunan Provincial Education Department (No.20B213).</t>
  </si>
  <si>
    <t>10.1007/s12144-022-03000-6</t>
  </si>
  <si>
    <t>0G7KD</t>
  </si>
  <si>
    <t>WOS:000778218400006</t>
  </si>
  <si>
    <t>Guo, MY; Brown, G; Zhang, LH</t>
  </si>
  <si>
    <t>Guo, Mengyao; Brown, Graham; Zhang, Lihua</t>
  </si>
  <si>
    <t>My knowledge: The negative impact of territorial feelings on employee's own innovation through knowledge hiding</t>
  </si>
  <si>
    <t>affect-based trust; employee innovative behavior; knowledge hiding; preventative psychological ownership; territorial feelings</t>
  </si>
  <si>
    <t>PSYCHOLOGICAL OWNERSHIP; MOTIVATIONAL CLIMATE; JOB CHARACTERISTICS; MODERATING ROLE; MEDIATING ROLE; TRUST; WORK; WORKPLACE; CREATIVITY; BEHAVIOR</t>
  </si>
  <si>
    <t>Innovation is critical for organizational success but innovation often depends on employee's willingness to share, which they surprisingly are not always willing to do despite potential negative costs to the individuals who hide information. Drawing on psychological ownership theory, we explain how knowledge engenders territorial feelings and leads employees to hide knowledge. Using social exchange theory, we explain how certain types of knowledge hiding behavior negatively impact the hider by reducing their own innovation. To explore potential mitigating factors, we proposed that affect-based trust alleviates the relationship between territorial feelings and knowledge hiding and buffers the harmful effect of territorial feelings on innovative behavior. We tested the model in two studies: a pilot study of 133 full-time employees (Study 1) and a two-wave investigation of 30 supervisors and 240 employees (Study 2). Results revealed that (a) territorial feelings positively influenced evasive hiding and playing dumb but not rationalized hiding, (b) evasive hiding and playing dumb mediated the link between territorial feelings and innovative behavior, (c) affect-based trust moderated the relationship between territorial feelings and evasive hiding as well as the indirect effects of territorial feelings on employee innovative behavior via evasive hiding. The theoretical and practical implications are discussed.</t>
  </si>
  <si>
    <t>[Guo, Mengyao] Changsha Univ Sci &amp; Technol, Sch Econ &amp; Management, Changsha, Peoples R China; [Brown, Graham] Univ Victoria, Gustayson Sch Business, Victoria, BC V8W 2Y2, Canada; [Zhang, Lihua] Renmin Univ China, Sch Lab &amp; Human Resources, Beijing, Peoples R China</t>
  </si>
  <si>
    <t>Changsha University of Science &amp; Technology; University of Victoria; Renmin University of China</t>
  </si>
  <si>
    <t>Brown, G (corresponding author), Univ Victoria, Gustayson Sch Business, Victoria, BC V8W 2Y2, Canada.</t>
  </si>
  <si>
    <t>grbrown@uvic.ca</t>
  </si>
  <si>
    <t>Brown, Graham/0000-0002-3066-9827</t>
  </si>
  <si>
    <t>National Natural Science Foundation of China [72172107]; Education Department of Hunan Province, China [21B0336]</t>
  </si>
  <si>
    <t>National Natural Science Foundation of China(National Natural Science Foundation of China (NSFC)); Education Department of Hunan Province, China</t>
  </si>
  <si>
    <t>This work is supported by the National Natural Science Foundation of China (grant number 72172107) and by the Education Department of Hunan Province, China (grant number 21B0336).</t>
  </si>
  <si>
    <t>10.1002/job.2599</t>
  </si>
  <si>
    <t>1T4YC</t>
  </si>
  <si>
    <t>WOS:000741160400001</t>
  </si>
  <si>
    <t>Akgunduz, Y; Alkan, C; Gok, OA</t>
  </si>
  <si>
    <t>Akgunduz, Yilmaz; Alkan, Ceylan; Gok, Ozge Adan</t>
  </si>
  <si>
    <t>How are the exchange relationships of front office employees reflected on customers?</t>
  </si>
  <si>
    <t>Leader-member exchange; customer-employee exchange; job dedication; customer-oriented extra role behaviors; front office employees</t>
  </si>
  <si>
    <t>LEADER-MEMBER-EXCHANGE; ORGANIZATIONAL CITIZENSHIP BEHAVIOR; EXTRA-ROLE BEHAVIOR; WORK ENGAGEMENT; JOB DEDICATION; MEDIATING ROLE; SOCIAL-EXCHANGE; INTERPERSONAL FACILITATION; INNOVATIVE BEHAVIOR; SERVICE</t>
  </si>
  <si>
    <t>In the hotel business, the performance of employees in face-to-face contact with customers, such as front-office employees, is decisive in achieving customer satisfaction. These employees' performance impresses through their relationship with their managers and customers. That is, there is an exchange relationship of the form manager-employee to employee-customer. Based on Leader-Member Exchange Theory (LMX) and Social Exchange Theory (SET), the current study focuses on LMX, customer-employee exchanges (CEEX), customer-oriented extra role behavior (COERB), and the mediating effect of job dedication in these exchange relationships. Data was collected from front office employees in Izmir, Turkey, yielding 165 valid questionnaires. SEM was used to test the research hypotheses. The results show that high-quality LMX and CEEX increase front office employees' COERB. In addition, job dedication partially mediates the relationships between LMX and COERB, and CEEX and COERB.</t>
  </si>
  <si>
    <t>[Akgunduz, Yilmaz; Alkan, Ceylan; Gok, Ozge Adan] Dokuz Eylul Univ, Sch Appl Sci, Izmir, Turkey</t>
  </si>
  <si>
    <t>Dokuz Eylul University</t>
  </si>
  <si>
    <t>Akgunduz, Y (corresponding author), Dokuz Eylul Univ, Sch Appl Sci, Izmir, Turkey.</t>
  </si>
  <si>
    <t>yilmazakgunduz@hotmail.com</t>
  </si>
  <si>
    <t>Akgunduz, Yilmaz/ABG-6310-2021; Akgunduz, Yilmaz/E-3217-2015; Gök, Ozge Adan/O-6620-2019</t>
  </si>
  <si>
    <t xml:space="preserve">Akgunduz, Yilmaz/0000-0001-8887-9280; </t>
  </si>
  <si>
    <t>JUL 27</t>
  </si>
  <si>
    <t>10.1080/02642069.2021.1971198</t>
  </si>
  <si>
    <t>1M6GI</t>
  </si>
  <si>
    <t>WOS:000692333400001</t>
  </si>
  <si>
    <t>Du, J; Ma, E; Lin, XY</t>
  </si>
  <si>
    <t>Du, Juan; Ma, Emily; Lin, Xinyue</t>
  </si>
  <si>
    <t>Can proactivity translate to creativity? Examinations at individual and team levels</t>
  </si>
  <si>
    <t>Proactive Personality; Creativity; Psychological Safety; Inclusive Leadership</t>
  </si>
  <si>
    <t>ORGANIZATIONAL CITIZENSHIP BEHAVIOR; PSYCHOLOGICAL SAFETY; EMPLOYEE CREATIVITY; MEDIATING ROLE; SUPERVISOR SUPPORT; TRANSFORMATIONAL LEADERSHIP; INTERACTIONIST MODEL; INCLUSIVE LEADERSHIP; INNOVATIVE BEHAVIOR; ETHICAL LEADERSHIP</t>
  </si>
  <si>
    <t>Building on Trait Activation Theory, this study explored whether, how, and why proactive personality and inclusive leaders can foster creativity at both individual and team levels. Using multi-wave data collected from hotel frontline employees and their supervisors, the study first found that at individual level, proactive personality could influence creativity via psychological safety, with inclusive leadership moderated the indirect relationship. The study further tested at team level, using lab experiment with hospitality majored students, the relationship between proactivity and creativity. The findings at the team level suggested that teams with highly proactive members exhibited higher levels of creativity than teams without highly proactive members. This research revealed the psychological mechanism of how proactivity contributes to individual creativity, and teams can benefit from having proactive members.</t>
  </si>
  <si>
    <t>[Du, Juan; Lin, Xinyue] Shanghai Int Studies Univ, Sch Business Management, Shanghai, Peoples R China; [Ma, Emily] Univ Massachusetts, Isenberg Sch Management, Dept Hospitality &amp; Tourism Management, Amherst, MA USA</t>
  </si>
  <si>
    <t>Shanghai International Studies University; University of Massachusetts System; University of Massachusetts Amherst</t>
  </si>
  <si>
    <t>Lin, XY (corresponding author), Shanghai Int Studies Univ, Sch Business Management, Shanghai, Peoples R China.</t>
  </si>
  <si>
    <t>zycrystalzy@163.com; ema@isenberg.umass.edu; 0173100465@shisu.edu.cn</t>
  </si>
  <si>
    <t>National Natural Science Foundation of China [71702105, 71701131]</t>
  </si>
  <si>
    <t>This study was supported by the National Natural Science Foundation of China [Grant number: 71702105; 71701131] .</t>
  </si>
  <si>
    <t>10.1016/j.ijhm.2021.103034</t>
  </si>
  <si>
    <t>WOS:000691500700015</t>
  </si>
  <si>
    <t>Wang, C; Wei, YC; Zhao, X; Zhang, X; Peng, Y</t>
  </si>
  <si>
    <t>Wang, Can; Wei, Yongchang; Zhao, Xuan; Zhang, Xuan; Peng, Ye</t>
  </si>
  <si>
    <t>Abusive Supervision and Creativity: Investigating the Moderating Role of Performance Improvement Attribution and the Mediating Role of Psychological Availability</t>
  </si>
  <si>
    <t>abusive supervision; employee creativity; psychological availability; performance improvement attribution; conservation of resource theory</t>
  </si>
  <si>
    <t>ENHANCE EMPLOYEE CREATIVITY; DOUBLE-EDGED-SWORD; EMPOWERING LEADERSHIP; INNOVATIVE BEHAVIORS; SELF-EFFICACY; CONSERVATION; RESOURCES; ORGANIZATIONS; ENGAGEMENT; MODEL</t>
  </si>
  <si>
    <t>The existing studies have indicated that abusive supervision affects creativity; however, the specific impact mechanism is still unclear due to the uncertain relationship between leadership and employee creativity. Based on the resource perspective, this study examines the influence of abusive supervision on creativity through psychological availability (PA) and the moderating of this mediation by performance improvement attribution (PIA). Based on a survey of 234 employees', the hypotheses have been tested and the results reveal that abusive supervision had a detrimental effect on employee creativity partially mediated by employee PA, and employees' PIA moderated the mediation. This study offers new insights into the mechanisms associated with the relationship between abusive supervision and creativity.</t>
  </si>
  <si>
    <t>[Wang, Can; Wei, Yongchang; Zhao, Xuan; Zhang, Xuan; Peng, Ye] Zhongnan Univ Econ &amp; Law, Sch Business Adm, Wuhan, Peoples R China</t>
  </si>
  <si>
    <t>Zhongnan University of Economics &amp; Law</t>
  </si>
  <si>
    <t>Zhang, X (corresponding author), Zhongnan Univ Econ &amp; Law, Sch Business Adm, Wuhan, Peoples R China.</t>
  </si>
  <si>
    <t>zhangxuan_xz@163.com</t>
  </si>
  <si>
    <t>Wang, Can/0000-0001-8493-9258</t>
  </si>
  <si>
    <t>Fundamental Research Funds for the Central Universities; Zhongnan University of Economics and Law [2722021BX017, 202111011]</t>
  </si>
  <si>
    <t>Fundamental Research Funds for the Central Universities(Fundamental Research Funds for the Central Universities); Zhongnan University of Economics and Law</t>
  </si>
  <si>
    <t>This work was supported by the Fundamental Research Funds for the Central Universities, Zhongnan University of Economics and Law (Program Nos. 2722021BX017 and 202111011).</t>
  </si>
  <si>
    <t>JUN 21</t>
  </si>
  <si>
    <t>10.3389/fpsyg.2021.658743</t>
  </si>
  <si>
    <t>TD5IE</t>
  </si>
  <si>
    <t>WOS:000669359700001</t>
  </si>
  <si>
    <t>Emiralioglu, R; Sonmez, B</t>
  </si>
  <si>
    <t>Emiralioglu, Ramazan; Sonmez, Betul</t>
  </si>
  <si>
    <t>The relationship of nursing work environment and innovation support with nurses' innovative behaviours and outputs</t>
  </si>
  <si>
    <t>innovation outputs; innovation support; innovative behaviour; nursing; nursing work environment</t>
  </si>
  <si>
    <t>CREATIVE SELF-EFFICACY; TRANSFORMATIONAL LEADERSHIP; HEALTH-CARE; CLIMATE; SUPERVISOR; IMPACT; ROLES</t>
  </si>
  <si>
    <t>Aim To determine the relationship of nursing work environment and innovation support with nurses' innovative behaviours and innovation outputs. Background According to the social exchange theory, nursing work environment must be regulated to support innovation for nurses' innovative behaviours, which results in useful innovation outputs. Methods The sample of the research determined using the convenience sampling method consisted of 618 nurses working in four hospitals in Istanbul. In statistical analysis of the data, descriptive analyses, correlation and linear regression analysis were used. Results It was found a significant correlation between nursing work environment and innovation support with innovative behaviour and innovation outputs. It was found that innovative behaviour was the variable that had a significant impact on nurses' innovation outputs and that the model explained 40.1% of the variance of innovation outputs. The model created for innovative behaviour was determined to have an explanatory variance of 19.4%. Conclusions This study reveals the necessity for developing nurses' innovative behaviours to increase innovation outputs and examines the relationship of nurses' innovative behaviours with nursing work environment and innovation support. Implications for Nursing Management Nurse managers should create a nursing work environment that supports and develops nurses' innovative behaviours.</t>
  </si>
  <si>
    <t>[Emiralioglu, Ramazan] Koc Univ Hosp, Dept Gen Surg, Istanbul, Turkey; [Sonmez, Betul] Istanbul Univ Cerrahpasa, Florence Nightingale Fac Nursing, Dept Nursing Management, Istanbul, Turkey</t>
  </si>
  <si>
    <t>Koc University; Istanbul University - Cerrahpasa</t>
  </si>
  <si>
    <t>Emiralioglu, R (corresponding author), Koc Univ Hosp, Davutpasa Caddesi 4, TR-34010 Topkapi, Zeytinburnu Ist, Turkey.</t>
  </si>
  <si>
    <t>ramazan.emir95@gmail.com</t>
  </si>
  <si>
    <t>Emiralioglu, Ramazan/0000-0002-4751-4864</t>
  </si>
  <si>
    <t>10.1111/jonm.13354</t>
  </si>
  <si>
    <t>WD9CE</t>
  </si>
  <si>
    <t>WOS:000651299600001</t>
  </si>
  <si>
    <t>Tang, Y; Shao, YF; Chen, YJ; Ma, Y</t>
  </si>
  <si>
    <t>Tang, Yuan; Shao, Yun-Fei; Chen, Yi-Jun; Ma, Yin</t>
  </si>
  <si>
    <t>How to Keep Sustainable Development Between Enterprises and Employees? Evaluating the Impact of Person-Organization Fit and Person-Job Fit on Innovative Behavior</t>
  </si>
  <si>
    <t>person-organization fit; person-job fit; innovative behavior; resilience; partial least squares; high tech-industries; turnover intention</t>
  </si>
  <si>
    <t>TURNOVER INTENTION; CITIZENSHIP BEHAVIORS; ENVIRONMENT FIT; SATISFACTION; COMMITMENT; PERCEPTIONS; PERFORMANCE; TEAM; UNDEREMPLOYMENT; DETERMINANTS</t>
  </si>
  <si>
    <t>High-tech industries often regard workers as their main source of value creation. In order to stimulate their employees' willingness to innovate and their innovative behavior and reduce the turnover intention, companies are now seeking to establish employer-employee relationships in which their employee's willingness to stay is not simply driven by extrinsic motivations. Therefore, it is an important topic in human resources for companies to implement measures that encourage employees to willingly devote themselves to their jobs and consider organizational growth as a component of their career development. This study aimed to investigate the effect of person-organization fit and person-job fit on employees' innovative behavior and turnover intention via the mediators including job satisfaction and organizational commitment. Six hundred ninety-seven employees from China's eight major high-tech industries were examined in this study, and the empirical results were analyzed using partial least squares. Based on the results, it is suggested that the person-organization fit and person-job fit are both crucial factors affecting employees' job satisfaction and organizational commitment, which, in turn, increase employees' willingness to innovate in their jobs and reduce their turnover intentions. Furthermore, this study could serve as a reference for companies in selecting employees, promoting job satisfaction, and developing strategies for sustainable development.</t>
  </si>
  <si>
    <t>[Tang, Yuan; Chen, Yi-Jun] Sichuan Univ Sci &amp; Engn, Sch Management, Zigong, Peoples R China; [Tang, Yuan; Shao, Yun-Fei] Univ Elect Sci &amp; Technol China, Sch Management &amp; Econ, Chengdu, Peoples R China; [Ma, Yin] Lanzhou Univ, Sch Philosophy &amp; Sociol, Lanzhou, Peoples R China</t>
  </si>
  <si>
    <t>Sichuan University of Science &amp; Engineering; University of Electronic Science &amp; Technology of China; Lanzhou University</t>
  </si>
  <si>
    <t>Tang, Y; Chen, YJ (corresponding author), Sichuan Univ Sci &amp; Engn, Sch Management, Zigong, Peoples R China.;Tang, Y; Shao, YF (corresponding author), Univ Elect Sci &amp; Technol China, Sch Management &amp; Econ, Chengdu, Peoples R China.;Ma, Y (corresponding author), Lanzhou Univ, Sch Philosophy &amp; Sociol, Lanzhou, Peoples R China.</t>
  </si>
  <si>
    <t>201611110117@std.uestc.edu.cn; shaoyf@uestc.edu.cn; yjchen1999@163.com; mayin@lzu.edu.cn</t>
  </si>
  <si>
    <t>Ma, Yin/AAG-3511-2020</t>
  </si>
  <si>
    <t>Ma, Yin/0000-0001-9064-9361; tang, yuan/0000-0001-7336-4882</t>
  </si>
  <si>
    <t>Sichuan Science and Technology Program [2020JDR0239, 2021JDR0150]; Science and Technology Bureau of Zigong City of Sichuan Province [2020RKX01]; Panxi Rehabilitation industry research center of China [PXKY-ZD202001]; Sichuan Wine Development Research Center [CJZB20-02]; Planning Office of Sichuan Federation of Social Sciences Associations [SC19EZD049]; National Science Foundation of China [71572028, 71872027]</t>
  </si>
  <si>
    <t>Sichuan Science and Technology Program; Science and Technology Bureau of Zigong City of Sichuan Province; Panxi Rehabilitation industry research center of China; Sichuan Wine Development Research Center; Planning Office of Sichuan Federation of Social Sciences Associations; National Science Foundation of China(National Natural Science Foundation of China (NSFC))</t>
  </si>
  <si>
    <t>This research was supported by Sichuan Science and Technology Program (Grant Numbers: 2020JDR0239 and 2021JDR0150), the Science and Technology Bureau of Zigong City of Sichuan Province (Grant Number: 2020RKX01), Panxi Rehabilitation industry research center of China (Grant Number: PXKY-ZD202001), Sichuan Wine Development Research Center (Grant Number: CJZB20-02), Planning Office of Sichuan Federation of Social Sciences Associations (Grant Number: SC19EZD049), and National Science Foundation of China (Grant Numbers: 71572028 and 71872027).</t>
  </si>
  <si>
    <t>APR 30</t>
  </si>
  <si>
    <t>10.3389/fpsyg.2021.653534</t>
  </si>
  <si>
    <t>SB5CO</t>
  </si>
  <si>
    <t>WOS:000650012300001</t>
  </si>
  <si>
    <t>Norouzinik, Y; Rahimnia, F; Maharati, Y; Eslami, G</t>
  </si>
  <si>
    <t>Norouzinik, Yasaman; Rahimnia, Fariborz; Maharati, Yaghoob; Eslami, Ghasem</t>
  </si>
  <si>
    <t>Narcissistic leadership and employees' innovative behaviour:mediating roles of job embeddedness and job engagement</t>
  </si>
  <si>
    <t>Narcissistic leadership; humility; job embeddedness; job engagement; innovative behaviour</t>
  </si>
  <si>
    <t>LINKING LMX; PERFORMANCE; HUMILITY; BEHAVIOR</t>
  </si>
  <si>
    <t>Organisations need innovation in products and services to grow and survive in competitive environments. Development of innovation in organisations is achieved by human resources. Employees' innovative behaviour is influenced by various factors, including leadership styles and leaders' characteristics. Therefore, this study aimed to analyse the effect of narcissistic leadership on employees' innovative behaviour by introducing employees' job embeddedness and job engagement as the mediating variables. A narcissistic leader never allows employees to participate in decision-making processes, which affects their corporation's intention and creativity and makes them do what they are expected to do. The data were collected from 455 employees and managers of the governmental organisations located in the eastern provinces of Iran. According to the results, managers' narcissism negatively affected employees' job embeddedness and job engagement. Besides, leaders' narcissism had a negative impact on employees' innovative behaviour. Other research findings indicated the mediating roles of job embeddedness and job engagement. The interaction of leaders' narcissism and leaders' humility is associated with job engagement and job embeddedness. The proposed model provided new insights into the analysis of contradictions in leaders' characteristics. In other words, their characteristics influence employee attitudes, including job embeddedness and job engagement, and employee behaviour and performance.</t>
  </si>
  <si>
    <t>[Norouzinik, Yasaman; Rahimnia, Fariborz; Maharati, Yaghoob; Eslami, Ghasem] Ferdowsi Univ Mashhad FUM, Management Dept, Mashhad, Razavi Khorasan, Iran</t>
  </si>
  <si>
    <t>Ferdowsi University Mashhad</t>
  </si>
  <si>
    <t>Rahimnia, F (corresponding author), Ferdowsi Univ Mashhad FUM, Management Dept, Mashhad, Razavi Khorasan, Iran.</t>
  </si>
  <si>
    <t>r-nia@um.ac.ir</t>
  </si>
  <si>
    <t>rahimnia, fariborz/L-8778-2018</t>
  </si>
  <si>
    <t>rahimnia, fariborz/0000-0001-9680-6735</t>
  </si>
  <si>
    <t>10.1080/14479338.2021.1897467</t>
  </si>
  <si>
    <t>3E1FT</t>
  </si>
  <si>
    <t>WOS:000631976100001</t>
  </si>
  <si>
    <t>Rollmann, LF; Weiss, M; Zacher, H</t>
  </si>
  <si>
    <t>Rollmann, Laura Frederike; Weiss, Mona; Zacher, Hannes</t>
  </si>
  <si>
    <t>Does Voice Benefit or Harm Occupational Well-Being? The Role of Job Insecurity</t>
  </si>
  <si>
    <t>PROACTIVE WORK BEHAVIOR; OF-FIT INDEXES; EMPLOYEE VOICE; MODERATING ROLE; PSYCHOLOGICAL SAFETY; INNOVATIVE BEHAVIOR; EGO DEPLETION; ENGAGEMENT; SELF; SPEAKING</t>
  </si>
  <si>
    <t>Although employee voice is integral for organizational functioning, it is not well understood how voice affects occupational well-being, particularly when jobs are perceived as insecure. Drawing from the dual-pathway model of proactivity, which is based on self-determination and conservation of resources theories, we integrate theorizing on the well-being consequences of voice with the job insecurity literature. First, we hypothesize that voice leads to increases in both vigour and fatigue. Second, we propose that job insecurity moderates these effects, such that the effect of voice on increases in vigour is stronger (weaker) when job insecurity is low (high), whereas the effect of voice on increases in fatigue is stronger (weaker) when job insecurity is high (low). Seven hundred and thirty three full-time employees in Germany participated in two surveys, three months apart. Results largely supported our predictions and showed that voice led to increases in vigour. Moreover, voice predicted increases (decreases) in fatigue when job insecurity was high (low). However, voice and job insecurity did not interact in predicting changes in vigour. Reverse causal analyses showed no effects of vigour and fatigue on changes in voice. Our discussion focuses on why and how perceptions of employment relations should be considered to determine well-being consequences of voice.</t>
  </si>
  <si>
    <t>[Rollmann, Laura Frederike; Zacher, Hannes] Univ Leipzig, Inst Psychol Wilhelm Wundt, Leipzig, Germany; [Weiss, Mona] Free Univ Berlin, Sch Business &amp; Econ, Dept Management, Berlin, Germany</t>
  </si>
  <si>
    <t>Leipzig University; Free University of Berlin</t>
  </si>
  <si>
    <t>Rollmann, LF (corresponding author), Univ Leipzig, Inst Psychol Wilhelm Wundt, Leipzig, Germany.</t>
  </si>
  <si>
    <t>laura.roellmann@uni-leipzig.de</t>
  </si>
  <si>
    <t>Weiss, Mona/HLG-7233-2023; Zacher, Hannes/X-1659-2018</t>
  </si>
  <si>
    <t>Weiss, Mona/0000-0003-2414-8336; Zacher, Hannes/0000-0001-6336-2947</t>
  </si>
  <si>
    <t>10.1111/1467-8551.12471</t>
  </si>
  <si>
    <t>TD5ED</t>
  </si>
  <si>
    <t>WOS:000611173100001</t>
  </si>
  <si>
    <t>De Clercq, D; Ul Haq, I; Azeem, MU</t>
  </si>
  <si>
    <t>De Clercq, Dirk; Ul Haq, Inam; Azeem, Muhammad Umer</t>
  </si>
  <si>
    <t>Unpacking the relationship between procedural justice and job performance</t>
  </si>
  <si>
    <t>Procedural justice; Improvisation; Job performance; Organization-based self-esteem; Conservation of resources theory</t>
  </si>
  <si>
    <t>ORGANIZATIONAL JUSTICE; INNOVATIVE BEHAVIOR; MEDIATING ROLE; INTRINSIC MOTIVATION; EMPLOYEE CREATIVITY; SOCIAL-EXCHANGE; MODERATING ROLE; IN-ROLE; WORK; IMPROVISATION</t>
  </si>
  <si>
    <t>Purpose This study investigates the mediating role of improvisation behavior in the relationship between employees' perceptions of procedural justice and their job performance, as evaluated by their supervisors, as well as the invigorating role of their organization-based self-esteem in this process. Design/methodology/approach Survey data were collected in three rounds among employees and their supervisors in Pakistan. Findings An important factor that connects procedural justice with enhanced job performance is whether employees react quickly to unexpected problems while carrying out their jobs. This mediating role of improvisation is particularly salient to the extent that employees consider themselves valuable organizational members. Practical implications For organizations, this study pinpoints a key mechanism-willingness to respond in the moment to unanticipated organizational failures-by which fair decision-making processes can steer employees toward performance-enhancing activities. It also reveals how this mechanism can be activated, namely, by ensuring that employees feel appreciated. Originality/value Improvisation represents an understudied but critical behavioral factor that links employees' beliefs about fair decision-making procedures to enhanced performance outcomes. This study shows, for the first time, how this beneficial role can be reinforced by organization-based self-esteem, as a critical personal resource.</t>
  </si>
  <si>
    <t>[De Clercq, Dirk] Brock Univ, Goodman Sch Business, St Catharines, ON, Canada; [Ul Haq, Inam] Monash Univ Malaysia Campus, Sch Business, Bandar Sunway, Malaysia; [Azeem, Muhammad Umer] Univ Management &amp; Technol, Sch Business &amp; Econ, Lahore, Pakistan</t>
  </si>
  <si>
    <t>Brock University; University of Management &amp; Technology (UMT)</t>
  </si>
  <si>
    <t>Ul Haq, I (corresponding author), Monash Univ Malaysia Campus, Sch Business, Bandar Sunway, Malaysia.</t>
  </si>
  <si>
    <t>ddeclercq@brocku.ca; inamulhaq27@gmail.com; umer.azeem@umt.edu.pk</t>
  </si>
  <si>
    <t>Azeem, Muhammad Umer/0000-0002-1649-8099; De Clercq, Dirk/0000-0003-1476-2965</t>
  </si>
  <si>
    <t>AUG 31</t>
  </si>
  <si>
    <t>10.1108/MD-09-2019-1211</t>
  </si>
  <si>
    <t>UL6IX</t>
  </si>
  <si>
    <t>WOS:000599190400001</t>
  </si>
  <si>
    <t>Ding, H; Lin, XQ; Su, WL</t>
  </si>
  <si>
    <t>Ding, He; Lin, Xinqi; Su, Weilin</t>
  </si>
  <si>
    <t>Employee strengths use and innovative behavior: a moderated mediation model</t>
  </si>
  <si>
    <t>Strengths use; Innovative behavior; Positive affect; Deficit correction</t>
  </si>
  <si>
    <t>POSITIVE AFFECT; JOB DEMANDS; WORK; PERCEPTIONS; PERFORMANCE; ORGANIZATIONS; PERSPECTIVE; PSYCHOLOGY; VALIDATION; CREATIVITY</t>
  </si>
  <si>
    <t>Purpose This study aims to investigate the mediating role of positive affect and the moderating role of deficit correction in the relationship between employee strengths use and innovative behavior. Design/methodology/approach This study adopted a three-wave research design to gather data. A convenience sample of 189 employees working in diverse organizations in China was applied to examine the hypotheses. Findings The results indicated that employee strengths use was positively related to innovative behavior, and positive affect mediated the relationship between employee strengths use and innovative behavior. In addition, deficit correction enhanced the direct relationship of employee strengths use with positive affect and the indirect relationship of employee strengths use with innovative behavior through positive affect. Originality/value The current study contributes to the existing literature on employee strengths use-innovative behavior relationships by revealing positive affect as a mediator and deficit correction as a moderator between employee strengths use and innovative behavior.</t>
  </si>
  <si>
    <t>[Ding, He] North China Elect Power Univ, Sch Econ &amp; Management, Beijing, Peoples R China; [Lin, Xinqi] Renmin Univ China, Sch Labor &amp; Human Resources, Beijing, Peoples R China; [Su, Weilin] Capital Normal Univ, Sch Literature, Beijing, Peoples R China</t>
  </si>
  <si>
    <t>North China Electric Power University; Renmin University of China; Capital Normal University</t>
  </si>
  <si>
    <t>believedh@126.com; 1186706460@qq.com; suweilin@ruc.edu.cn</t>
  </si>
  <si>
    <t>The Fundamental Research Funds for the Central Universities 2020MS046.; The authors declare that there is no conflict of interest. The authors are grateful to the employees who participated in this study. This study was supported by the Fundamental Research Funds for the Central Universities (2020MS046).</t>
  </si>
  <si>
    <t>APR 2</t>
  </si>
  <si>
    <t>10.1108/CMS-05-2019-0191</t>
  </si>
  <si>
    <t>RH5GX</t>
  </si>
  <si>
    <t>WOS:000592117700001</t>
  </si>
  <si>
    <t>Yang, J; Chang, MC; Chen, ZH; Zhou, LL; Zhang, JJ</t>
  </si>
  <si>
    <t>Yang, Jie; Chang, Mingchao; Chen, Zhihong; Zhou, Lulu; Zhang, Jiangjiang</t>
  </si>
  <si>
    <t>The chain mediation effect of spiritual leadership on employees' innovative behavior</t>
  </si>
  <si>
    <t>Spiritual leadership; Employees' innovative behavior; Uncertainty avoidance; Creative role identity; Individual values; Self-perception</t>
  </si>
  <si>
    <t>TRANSFORMATIONAL LEADERSHIP; UNCERTAINTY AVOIDANCE; SELF-EFFICACY; ROLE-IDENTITY; CREATIVITY; VALUES; WORK; CHINESE; MODEL; NEED</t>
  </si>
  <si>
    <t>Purpose Based on the intrinsic motivation theory and spiritual leadership theory, the current study proposes a chain mediation model for testing the linkage between spiritual leadership and employees' innovative behavior through individual values and role identity. Design/methodology/approach In this study, 309 valid leader-subordinate matching questionnaires from 10 Internet enterprises and 21 manufacturing enterprises in China were collected through a field study. The hypotheses were tested using structural equation modeling and bootstrapping. Findings The results show that spiritual leadership has a positive impact on employees' innovative behavior. Uncertainty avoidance and creative role identity not only respectively play a mediating role but also play a chain mediating role in the process of spiritual leadership influencing employees' innovative behavior. Originality/value This study explores the influence of leadership style on employees' individual values, which has rarely been done in previous studies. Furthermore, the research explores the impact of personal values (uncertainty avoidance) on employee self-perception (creative role identity). And it enriches the relationship between spiritual leadership and employees' innovative behavior and reveals the deeper influence mechanism between them.</t>
  </si>
  <si>
    <t>[Yang, Jie; Chang, Mingchao] Guizhou Univ Finance &amp; Econ, Guiyang, Peoples R China; [Chen, Zhihong; Zhang, Jiangjiang] Nanjing Univ, Nanjing, Peoples R China; [Zhou, Lulu] Southeast Univ, Sch Econ &amp; Management, Nanjing, Peoples R China</t>
  </si>
  <si>
    <t>Guizhou University of Finance &amp; Economics; Nanjing University; Southeast University - China</t>
  </si>
  <si>
    <t>Chen, ZH (corresponding author), Nanjing Univ, Nanjing, Peoples R China.</t>
  </si>
  <si>
    <t>yangjie01@126.com; cmc627@126.com; agatha0221@126.com; lulu_513@163.com; zhangjj@nju.edu.cn</t>
  </si>
  <si>
    <t>National Natural Science Foundation of China [71862005, 71872042, 71402024]; Qiankehe platform talents' project [[2018]5774-008]; Key projects of philosophy and social science research in Jiangsu Universities [[2018]59]</t>
  </si>
  <si>
    <t>National Natural Science Foundation of China(National Natural Science Foundation of China (NSFC)); Qiankehe platform talents' project; Key projects of philosophy and social science research in Jiangsu Universities</t>
  </si>
  <si>
    <t>We would like to acknowledge funding from the National Natural Science Foundation of China (No. 71862005; 71872042; 71402024), support from Qiankehe platform talents' project ([2018]5774-008), and funding from Key projects of philosophy and social science research in Jiangsu Universities ([2018]59).</t>
  </si>
  <si>
    <t>10.1108/LODJ-10-2019-0442</t>
  </si>
  <si>
    <t>PZ7SF</t>
  </si>
  <si>
    <t>WOS:000590718000001</t>
  </si>
  <si>
    <t>When are employees idea champions? When they achieve progress at, find meaning in, and identify with work</t>
  </si>
  <si>
    <t>Championing behavior; Career progress; Work meaningfulness; Organizational identification; Conservation of resources theory</t>
  </si>
  <si>
    <t>ORGANIZATIONAL IDENTIFICATION; TRANSFORMATIONAL LEADERSHIP; PROACTIVE PERSONALITY; INNOVATIVE BEHAVIOR; CAREER SATISFACTION; MODERATING ROLE; VOICE BEHAVIOR; MEDIATING ROLE; PERFORMANCE; MODEL</t>
  </si>
  <si>
    <t>Purpose Drawing from conservation of resources (COR) theory, this study investigates the relationship between employees' perceived career progress and their championing behavior and particularly how this relationship might be invigorated by two critical personal resources at the job (work meaningfulness) and employer (organizational identification) levels. Design/methodology/approach Quantitative data were collected from a survey administered to 245 employees in an organization that operates in the oil industry. Findings Beliefs about organizational support for career development are more likely to stimulate idea championing when employees find their job activities meaningful and strongly identify with the successes and failures of their employing organization. Practical implications This study offers organizations deeper insights into the personal circumstances in which positive career-related energy is more likely to be directed toward the active mobilization of support for novel ideas. Originality/value As a contribution to extant championing research, this research details how employees' perceived career progress spurs their relentless efforts to push novel ideas, based on their access to complementary personal resources.</t>
  </si>
  <si>
    <t>[De Clercq, Dirk] Brock Univ, Goodman Sch Business, St Catharines, ON, Canada; [Pereira, Renato] Inst Univ Lisboa, Iscte Business Sch, Lisbon, Portugal; [Pereira, Renato] ISCTEM, Management Res Ctr, Maputo, Mozambique</t>
  </si>
  <si>
    <t>Pereira, Ruth/0000-0001-6857-5968; De Clercq, Dirk/0000-0003-1476-2965</t>
  </si>
  <si>
    <t>10.1108/PR-08-2019-0461</t>
  </si>
  <si>
    <t>QX0DJ</t>
  </si>
  <si>
    <t>WOS:000558314700001</t>
  </si>
  <si>
    <t>Siren, C; He, VF; Wesemann, H; Jonassen, Z; Grichnik, D; von Krogh, G</t>
  </si>
  <si>
    <t>Siren, Charlotta; He, Vivianna Fang; Wesemann, Henrik; Jonassen, Zoe; Grichnik, Dietmar; von Krogh, Georg</t>
  </si>
  <si>
    <t>Leader Emergence in Nascent Venture Teams: The Critical Roles of Individual Emotion Regulation and Team Emotions</t>
  </si>
  <si>
    <t>emotion regulation; leader emergence; nascent venture teams; reappraisal; suppression; team emotions</t>
  </si>
  <si>
    <t>TOP MANAGEMENT TEAMS; SHARED LEADERSHIP; INNOVATIVE BEHAVIOR; AFFECTIVE EVENTS; POSITIVE AFFECT; PERFORMANCE; MOOD; FOLLOWERS; MODEL; TASK</t>
  </si>
  <si>
    <t>This study advances a theory of how different aspects of emotion regulation influence individual leader emergence in the intensely emotional context of nascent venture teams. Despite the growing amount of research on the role of leadership in the entrepreneurial process, the emergence of leaders in nascent venture teams has rarely been explored. Drawing on theories and research on leadership emergence and emotion regulation, we argue that the two aspects of emotion regulation (i.e., reappraisal and suppression) exert opposite effects on the degree to which nascent venture team members come to perceive an individual as a leader. We also theorize that team emotions arising from affective events moderate the relationship between reappraisal and leader emergence in such teams. Data from 103 nascent venture teams without prior leaders show a negative relationship between individuals' trait disposition tosuppress emotionsand their emergence as leaders, and a positive relationship between their trait disposition toreappraise emotionsand their emergence as leaders. Moreover, we find that negative team emotions magnify the positive association between reappraisal and leader emergence, while positive team emotions mitigate it. We discuss the implications of our findings for the literature on entrepreneurial leadership, entrepreneurial emotions, and leadership in general.</t>
  </si>
  <si>
    <t>[Siren, Charlotta] Univ Queensland, St Lucia, Qld, Australia; [He, Vivianna Fang; Jonassen, Zoe; von Krogh, Georg] Swiss Fed Inst Technol, Zurich, Switzerland; [Wesemann, Henrik; Grichnik, Dietmar] Univ St Gallen, St Gallen, Switzerland</t>
  </si>
  <si>
    <t>University of Queensland; Swiss Federal Institutes of Technology Domain; ETH Zurich; University of St Gallen</t>
  </si>
  <si>
    <t>Siren, C (corresponding author), Univ Queensland, UQ Business Sch, St Lucia, Qld 4072, Australia.</t>
  </si>
  <si>
    <t>c.siren@uq.edu.au</t>
  </si>
  <si>
    <t>Wesemann, Henrik/0000-0003-2072-7760; Jonassen, Zoe/0000-0002-3780-3267; Siren, Charlotta/0000-0002-6984-4952</t>
  </si>
  <si>
    <t>10.1111/joms.12563</t>
  </si>
  <si>
    <t>LY6AQ</t>
  </si>
  <si>
    <t>WOS:000540610500002</t>
  </si>
  <si>
    <t>Vila-Vazquez, G; Castro-Casal, C; Alvarez-Perez, D</t>
  </si>
  <si>
    <t>Vila-Vazquez, Guadalupe; Castro-Casal, Carmen; Alvarez-Perez, Dolores</t>
  </si>
  <si>
    <t>From LMX to Individual Creativity: Interactive Effect of Engagement and Job Complexity</t>
  </si>
  <si>
    <t>LMX; engagement; job complexity; creativity; high-tech and knowledge-based SMEs</t>
  </si>
  <si>
    <t>LEADER-MEMBER EXCHANGE; GROWTH NEED STRENGTH; WORK-ENGAGEMENT; EMPLOYEE CREATIVITY; MODERATING ROLE; MEDIATING ROLE; THEORETICAL EXTENSION; PSYCHOLOGICAL SAFETY; INNOVATIVE BEHAVIOR; VOICE BEHAVIOR</t>
  </si>
  <si>
    <t>This study explores how the quality of leader-member exchange (LMX) is associated with employees' creativity via engagement, and the moderating role of a job characteristic related to knowledge (job complexity) in this relationship. A moderated mediation model was tested on a sample of 320 employees from emergent high-tech and knowledge-based small and medium enterprises (SMEs) in Spain. The results supported an indirect influence of LMX on individual creativity through engagement. Additionally, this study found that job complexity accentuated the impact of engagement on creativity. More importantly, the findings confirmed that the intensity of the LMX-engagement-creativity relationship was moderated by job complexity. That is, the relationship was stronger when job complexity was high. Taken together, this study improves the understanding of the factors that contribute to increased employee creativity, an important outcome for high-tech and knowledge-based SMEs.</t>
  </si>
  <si>
    <t>[Vila-Vazquez, Guadalupe; Castro-Casal, Carmen; Alvarez-Perez, Dolores] Univ Santiago de Compostela, Fac Ciencias Econ &amp; Empresariais, Dept Business Adm &amp; Mkt, Santiago De Compostela 15782, Spain</t>
  </si>
  <si>
    <t>Universidade de Santiago de Compostela</t>
  </si>
  <si>
    <t>Vila-Vazquez, G; Castro-Casal, C (corresponding author), Univ Santiago de Compostela, Fac Ciencias Econ &amp; Empresariais, Dept Business Adm &amp; Mkt, Santiago De Compostela 15782, Spain.</t>
  </si>
  <si>
    <t>guadalupe.vila@usc.es; carmela.castro.casal@usc.es; mdolores.alvarez@usc.es</t>
  </si>
  <si>
    <t>Vila-Vázquez, Guadalupe/K-7984-2019</t>
  </si>
  <si>
    <t>Vila-Vázquez, Guadalupe/0000-0001-8176-7745; Castro Casal, Carmen/0000-0002-2750-3674</t>
  </si>
  <si>
    <t>10.3390/ijerph17082626</t>
  </si>
  <si>
    <t>LR5OL</t>
  </si>
  <si>
    <t>WOS:000535744100011</t>
  </si>
  <si>
    <t>Liu, Y; Vriend, T; Janssen, O</t>
  </si>
  <si>
    <t>Liu, Ye; Vriend, Tim; Janssen, Onne</t>
  </si>
  <si>
    <t>To Be (Creative), or not to Be (Creative)? A Sensemaking Perspective to Creative Role Expectations</t>
  </si>
  <si>
    <t>Creative role expectations; Creative self-expectations; Perceived necessity for performance improvement; Creative cognitive style; Incremental creativity; Radical creativity</t>
  </si>
  <si>
    <t>EMPLOYEE CREATIVITY; SELF-EFFICACY; INNOVATIVE BEHAVIOR; STATISTICAL CONTROL; REQUIREMENTS; PERFORMANCE; MOTIVATION; ORGANIZATIONS; SATISFACTION; FLEXIBILITY</t>
  </si>
  <si>
    <t>By combining organizational role theory with core features of the sensemaking perspective of creativity, we propose conditional indirect relationships between creative role expectations and employee incremental and radical creativity that are mediated by creative self-expectations and moderated by perceived necessity for performance improvement and creative cognitive style. We find empirical evidence for our hypothesized effects across two studies. First, in a field study using data collected from 325 supervisor-employee dyads in an academic institution in China, we find that creative role expectations are positively related to creative self-expectations and that perceived necessity for performance improvement strengthens this positive relationship. Furthermore, we find that creative self-expectations directly relate to incremental creativity, but that creative cognitive style is a necessary boundary condition under which such self-expectations relate to radical creativity. Second, the results of an additional survey study among 201 US employees suggest that the psychological process through which employees internalize external role expectations for creativity into their self-expectations for creativity is primarily driven by the satisfaction of basic needs for competence. Theoretical and practical implications are discussed.</t>
  </si>
  <si>
    <t>[Liu, Ye] China Univ Polit Sci &amp; Law, Sch Sociol, Dept Psychol, 27 Fuxue Lu, Beijing 102249, Peoples R China; [Vriend, Tim; Janssen, Onne] Univ Groningen, Fac Econ &amp; Business, Dept Human Resource Management &amp; Org Behav, NL-9747 AE Groningen, Netherlands</t>
  </si>
  <si>
    <t>China University of Political Science &amp; Law; University of Groningen</t>
  </si>
  <si>
    <t>Liu, Y (corresponding author), China Univ Polit Sci &amp; Law, Sch Sociol, Dept Psychol, 27 Fuxue Lu, Beijing 102249, Peoples R China.</t>
  </si>
  <si>
    <t>liuye210@mails.ucas.ac.cn; t.vriend@rug.nl; o.janssen@rug.nl</t>
  </si>
  <si>
    <t>10.1007/s10869-019-09669-0</t>
  </si>
  <si>
    <t>PR3WH</t>
  </si>
  <si>
    <t>WOS:000566142600001</t>
  </si>
  <si>
    <t>Adeel, A; Zhang, PC; Saleem, F; Ali, R; Batool, S</t>
  </si>
  <si>
    <t>Adeel, Ahmad; Zhang Pengcheng; Saleem, Farida; Ali, Rizwan; Batool, Samreen</t>
  </si>
  <si>
    <t>Conflicts and creative idea endorsement Do subordinates' political skills and implementation instrumentality matter?</t>
  </si>
  <si>
    <t>Political skills; Relationship conflict; Creative idea endorsement; Implementation instrumentality</t>
  </si>
  <si>
    <t>INNOVATIVE BEHAVIOR; LINEAR-MODELS; WORK; ORGANIZATIONS; ENVIRONMENT; VALIDATION; WORKPLACE; POWER</t>
  </si>
  <si>
    <t>Purpose This paper aims to investigate relationship conflicts and creative idea endorsement to develop the understanding of managerial reactions towards ideas of those who develop relationship conflicts with managers/supervisors at work. Taking a contingency perspective, the authors also investigated role subordinates' political skills and implementation instrumentality play in determining supervisors' endorsement of subordinates' creative ideas. Design/methodology/approach The authors used two sources of data collected from 243 subordinates and their respective 41 supervisors of a multinational software company operating in an emerging economy (Pakistan) and analyzed the hypothesized model with Mplus using random coefficient modeling. Findings With this research, the authors contributed to management literature by investigating how the effects of relationship conflicts on creative idea endorsement depend on subordinates' political skills and implementation instrumentality. They postulate a negative relationship between relationship conflict and creative ideas endorsement and predict that this negative relationship is augmented by subordinates' implementation instrumentality but attenuated by subordinates' political skills. They also give directions to decision makers in organizations that they must inform the managers/supervisors about negative effects of their relationship conflict with their subordinates and train supervisors and subordinates about reducing their relationship conflicts with each other for mutual benefits. Originality/value Organizations should take a relationship perspective when creating an environment for creativity: an environment based on mutual trust and respect so that exchange relationships can foster. With this research, the authors extended the list of potential detriment associated with relationship conflicts, that is the endorsement of creative ideas by supervisors. The authors also extended creativity literature by investigating social relationships for selection-focused creativity (idea endorsement) instead of variance-focused creativity (idea generation).</t>
  </si>
  <si>
    <t>[Adeel, Ahmad; Saleem, Farida] Univ Lahore, Dept Management Sci, Gujrat Campus, Lahore, Pakistan; [Zhang Pengcheng] Huazhong Univ Sci &amp; Technol, Sch Management, Dalian, Peoples R China; [Ali, Rizwan] Univ Lahore, Lahore Business Sch, Lahore, Pakistan; [Batool, Samreen] Univ Sains Malaysia, Minden, Malaysia</t>
  </si>
  <si>
    <t>University of Lahore; Huazhong University of Science &amp; Technology; University of Lahore; Universiti Sains Malaysia</t>
  </si>
  <si>
    <t>Ali, R (corresponding author), Univ Lahore, Lahore Business Sch, Lahore, Pakistan.</t>
  </si>
  <si>
    <t>rizwan.ali@lbs.uol.edu.pk</t>
  </si>
  <si>
    <t>Ali, Rizwan/U-3170-2019; Adeel, Ahmad/H-5070-2015; Saleem, Farida/Y-6237-2019</t>
  </si>
  <si>
    <t>Ali, Rizwan/0000-0002-4439-6815; Adeel, Ahmad/0000-0002-1853-9982; Saleem, Farida/0000-0001-8022-2911</t>
  </si>
  <si>
    <t>10.1108/IJCMA-02-2019-0033</t>
  </si>
  <si>
    <t>JC3EZ</t>
  </si>
  <si>
    <t>WOS:000489162500003</t>
  </si>
  <si>
    <t>Romero, I; Gomez, IP; Zabala-Iturriagagoitia, JM</t>
  </si>
  <si>
    <t>Romero, Isidoro; Porto Gomez, Igone; Mikel Zabala-Iturriagagoitia, Jon</t>
  </si>
  <si>
    <t>'Cookpetition': Do restaurants coopete to innovate?</t>
  </si>
  <si>
    <t>TOURISM ECONOMICS</t>
  </si>
  <si>
    <t>coopetition; hospitality; innovation; restaurant; SME; Spain</t>
  </si>
  <si>
    <t>CO-OPETITION; DYNAMIC-CAPABILITIES; TOURISM; COOPERATION; COMPETITION; PERFORMANCE; KNOWLEDGE; FIRM; ATTRACTION; MECHANISMS</t>
  </si>
  <si>
    <t>This article studies the influence of 'coopetition', that is, cooperation between competitors, on the innovative behaviour of restaurant firms. The analysis is based on data gathered from a representative survey conducted on Spanish small and medium-sized enterprises operating in the restaurant industry. A binary logistic regression specification is used to test the core hypotheses in the article. The results confirm that coopetition fosters product innovation in restaurant companies. Coopeting restaurants also introduce more process innovations, although this effect is not found to be statistically significant. However, participation in restaurant chains and commercialization networks is found to stimulate process innovation. Likewise, business owners with intrinsic entrepreneurial motivation favour product innovation in their restaurants. Notwithstanding, investments in ICT and in staff training are observed to be the main determinants of product and process innovation in the restaurant industry.</t>
  </si>
  <si>
    <t>[Romero, Isidoro] Univ Seville, Dept Appl Econ, Seville, Spain; [Romero, Isidoro] Univ Seville, SMEs &amp; Econ Dev PYMED Res Grp, Seville, Spain; [Romero, Isidoro] Univ Seville, Fac Econ &amp; Business Sci, Res &amp; Internationalizat, Seville, Spain; [Porto Gomez, Igone] Univ Deusto, Bilbao, Spain; [Mikel Zabala-Iturriagagoitia, Jon] Univ Deusto, San Sebastian, Spain</t>
  </si>
  <si>
    <t>University of Sevilla; University of Sevilla; University of Sevilla; University of Deusto; University of Deusto</t>
  </si>
  <si>
    <t>Romero, I (corresponding author), Univ Seville, Fac Econ &amp; Business Sci, Av Ramon y Cajal 1, Seville, Spain.</t>
  </si>
  <si>
    <t>Gomez, Igone Porto/J-4501-2014; Romero, Isidoro/E-8160-2010; Zabala-Iturriagagoitia, Jon Mikel/L-9297-2013</t>
  </si>
  <si>
    <t>Gomez, Igone Porto/0000-0003-2865-4818; Romero, Isidoro/0000-0001-8764-2599; Zabala-Iturriagagoitia, Jon Mikel/0000-0003-1975-2555</t>
  </si>
  <si>
    <t>1354-8166</t>
  </si>
  <si>
    <t>2044-0375</t>
  </si>
  <si>
    <t>TOURISM ECON</t>
  </si>
  <si>
    <t>Tour. Econ.</t>
  </si>
  <si>
    <t>10.1177/1354816618811551</t>
  </si>
  <si>
    <t>Economics; Hospitality, Leisure, Sport &amp; Tourism</t>
  </si>
  <si>
    <t>IS9BS</t>
  </si>
  <si>
    <t>WOS:000482444000004</t>
  </si>
  <si>
    <t>Zoia, MG; Barbieri, L; Cortelezzi, F; Marseguerra, G</t>
  </si>
  <si>
    <t>Zoia, Maria Grazia; Barbieri, Laura; Cortelezzi, Flavia; Marseguerra, Giovanni</t>
  </si>
  <si>
    <t>The determinants of Italian firms' technological competencies and capabilities</t>
  </si>
  <si>
    <t>Technological status; Innovative cooperation; Technological competencies; Technological capabilities; Econometric model</t>
  </si>
  <si>
    <t>RESEARCH-AND-DEVELOPMENT; ABSORPTIVE-CAPACITY; MANUFACTURING FIRMS; DEVELOPMENT COOPERATION; EMPIRICAL-EVIDENCE; INNOVATION SURVEY; KNOWLEDGE; PRODUCT; UK; FRAMEWORK</t>
  </si>
  <si>
    <t>This paper aims at investigating the determinants of firms' technological competencies and capabilities as defined by von Tunzelmann and Wang (Economie Appliquee 6:33-64, 2003). The analysis carried out in the paper shows that some company characteristics, such as size, being part of a group and internationalization, as well as cooperation channels significantly impact on the innovative behavior of Italian firms, in increasing both their likelihood of becoming actively innovative and their potential to economically exploit the returns from innovative activity. Moreover, also geographical location appears to be a significant relevant factor. The findings are based on firm-level data provided by the Italian Community Innovation Survey (CIS).</t>
  </si>
  <si>
    <t>[Zoia, Maria Grazia; Marseguerra, Giovanni] Univ Cattolica Sacro Cuore, Dept Econometr &amp; Math, Largo Gemelli 1, I-20123 Milan, Italy; [Barbieri, Laura] Univ Cattolica Sacro Cuore, Dept Econ &amp; Social Sci, Via Emilia Parmense 84, I-29122 Milan, Italy; [Cortelezzi, Flavia] Insubria Univ, Dept Econ &amp; Law, Via Garibaldi 61, I-22100 Como, Italy</t>
  </si>
  <si>
    <t>Catholic University of the Sacred Heart; Catholic University of the Sacred Heart; University of Insubria</t>
  </si>
  <si>
    <t>Zoia, MG (corresponding author), Univ Cattolica Sacro Cuore, Dept Econometr &amp; Math, Largo Gemelli 1, I-20123 Milan, Italy.</t>
  </si>
  <si>
    <t>maria.zoia@unicatt.it</t>
  </si>
  <si>
    <t>10.1007/s40821-018-0103-2</t>
  </si>
  <si>
    <t>GZ4QG</t>
  </si>
  <si>
    <t>WOS:000449381600005</t>
  </si>
  <si>
    <t>Park, HH; Zhou, YJ; Choi, M</t>
  </si>
  <si>
    <t>Park, Ho Hwan; Zhou, Youjia; Choi, Myungweon</t>
  </si>
  <si>
    <t>When Are Individuals Innovative? Three-Way Interaction Among Openness to Experience, Innovative Climate, and Job Complexity</t>
  </si>
  <si>
    <t>openness to experience; innovative climate; job complexity; innovative behavior</t>
  </si>
  <si>
    <t>DEMANDS-RESOURCES MODEL; EMPLOYEE CREATIVITY; ORGANIZATIONAL-CLIMATE; BIG 5; PERSON-ORGANIZATION; WORK ENGAGEMENT; NEGATIVE AFFECT; 5-FACTOR MODEL; PERFORMANCE; BEHAVIOR</t>
  </si>
  <si>
    <t>This study aims to explain: (a) what types of individuals are likely to exhibit innovative behavior and (b) when they are more likely to do so. For this purpose, the study uses trait activation theory (Tett &amp; Burnett, 2003; Tett &amp; Guterman, 2000) as a theoretical framework and simultaneously examines the characteristics of the individual performing the job (openness to experience), the context within which the job is performed (innovative climate), and the nature of the job (job complexity). An analysis of survey data collected in China suggests that innovative climate and job complexity have a joint moderating effect on the relationship between openness to experience and innovative behavior. Based on the results, implications for research and practice are discussed.</t>
  </si>
  <si>
    <t>[Park, Ho Hwan; Choi, Myungweon] Ajou Univ, Dept Business Adm, 206 Worldcup Ro, Suwon 16499, South Korea; [Zhou, Youjia] Hunan Communicat Res Inst CO Ltd, HR Dept, Changsha, Hunan, Peoples R China</t>
  </si>
  <si>
    <t>Ajou University</t>
  </si>
  <si>
    <t>Choi, M (corresponding author), Ajou Univ, Dept Business Adm, 206 Worldcup Ro, Suwon 16499, South Korea.</t>
  </si>
  <si>
    <t>mwchoi@ajou.ac.kr</t>
  </si>
  <si>
    <t>10.1027/1866-5888/a000190</t>
  </si>
  <si>
    <t>FR6RD</t>
  </si>
  <si>
    <t>WOS:000419192800001</t>
  </si>
  <si>
    <t>Rocha, F</t>
  </si>
  <si>
    <t>Rocha, Frederico</t>
  </si>
  <si>
    <t>Procurement as innovation policy and its distinguishing effects on innovative efforts of the Brazilian oil and gas suppliers</t>
  </si>
  <si>
    <t>Public procurement for innovation; structural heterogeneity; firm size; oil and gas sector; Brazil</t>
  </si>
  <si>
    <t>RESEARCH-AND-DEVELOPMENT; PUBLIC PROCUREMENT; SUBSIDIES</t>
  </si>
  <si>
    <t>This paper aims to assess the effect of public procurement for innovation (PPI) in the Brazilian oil and gas sector on the innovative behavior of suppliers. It emphasizes the role PPI may play in developing countries due to its ability to target a wide range of firm sizes and to contribute to a more even diffusion of technical progress. Using microdata from RAIS and coarsened exact matching, results show that treated firms present on average a higher intensity of innovative efforts than the control sample. In small firms, PPI has a positive effect on the probability of carrying out innovative activities. Once small firms have decided to carry out these activities, treated and control samples have similar innovative effort intensities. The treatment's effect on large firms' probability of performing innovative activities is positive but lower than small firms. Nonetheless, there is a significant and positive effect on the intensity of these efforts. The paper suggests that, due to its effects over a wide range of firm sizes, PPI may be a worthwhile policy to implement for the reduction of structural heterogeneity present in developing countries.</t>
  </si>
  <si>
    <t>[Rocha, Frederico] Univ Fed Rio de Janeiro, Inst Econ, Av Pasteur 250, BR-22290902 Rio De Janeiro, RJ, Brazil</t>
  </si>
  <si>
    <t>Universidade Federal do Rio de Janeiro</t>
  </si>
  <si>
    <t>Rocha, F (corresponding author), Univ Fed Rio de Janeiro, Inst Econ, Av Pasteur 250, BR-22290902 Rio De Janeiro, RJ, Brazil.</t>
  </si>
  <si>
    <t>fred@ie.ufrj.br</t>
  </si>
  <si>
    <t>CAPES</t>
  </si>
  <si>
    <t>CAPES(Coordenacao de Aperfeicoamento de Pessoal de Nivel Superior (CAPES))</t>
  </si>
  <si>
    <t>This paper has benefitted from funding from CAPES.</t>
  </si>
  <si>
    <t>10.1080/10438599.2017.1408199</t>
  </si>
  <si>
    <t>HK9JQ</t>
  </si>
  <si>
    <t>WOS:000458307800005</t>
  </si>
  <si>
    <t>O'Shea, W; Serrano-Davies, E; Quinn, JL</t>
  </si>
  <si>
    <t>O'Shea, William; Serrano-Davies, Eva; Quinn, John L.</t>
  </si>
  <si>
    <t>Do personality and innovativeness influence competitive ability? An experimental test in the great tit</t>
  </si>
  <si>
    <t>behavior; competition; competitive ability; exploration; innovation; personality; problem solving</t>
  </si>
  <si>
    <t>PROBLEM-SOLVING PERFORMANCE; HISTORY TRADE-OFFS; INDIVIDUAL VARIATION; EXPLORATORY-BEHAVIOR; FORAGING INNOVATION; LEARNING-ABILITY; SOCIAL-DOMINANCE; PRACTICAL GUIDE; PARUS-MAJOR; STRESS</t>
  </si>
  <si>
    <t>Competitive ability is a major determinant of fitness, yet why individuals vary in their ability to compete for resources remains unclear. Rather than simply reflecting inherent differences in the ability of individuals to reach an assumed optimum behavior, empirical evidence suggests that competitive ability may also reflect alternative strategies that arise because of correlations with other behaviors, such as innovativeness and personality. We examined experimentally how 2 behavioral traits-exploration of a novel environment (an index of the reactive-proactive personality axis) and performance in a novel lever pulling task (a measure of innovativeness)-were related to the outcomes of dyadic contests involving wild-caught great tits. Dyads were then allowed to compete freely at a feeder before being exposed to a novel string-pulling task. Although we found no significant relationship between exploration behavior or innovativeness in isolation and competitiveness, individuals that were less competitive were more likely to spontaneously perform the string-pulling behavior during the dyadic trials, the first direct experimental demonstration of competitive exclusion leading to innovation. Our results support the hypothesis that innovations provide a means for less competitive individuals to access resources in line with the necessity drives innovation hypothesis, and we discuss the functional significance of innovative behaviors in wild populations.</t>
  </si>
  <si>
    <t>[O'Shea, William; Quinn, John L.] Univ Coll Cork, Sch Biol Earth &amp; Environm Sci, Distillery Fields, Cork, Ireland; [Serrano-Davies, Eva] Castilla La Mancha Univ, Environm Sci Dept, Environm Sci &amp; Biochem Fac, Ave Carlos III S-N, E-45071 Toledo, Spain</t>
  </si>
  <si>
    <t>University College Cork</t>
  </si>
  <si>
    <t>O'Shea, W (corresponding author), Univ Coll Cork, Sch Biol Earth &amp; Environm Sci, Distillery Fields, Cork, Ireland.</t>
  </si>
  <si>
    <t>w.oshea@ucc.ie</t>
  </si>
  <si>
    <t>Serrano Davies, Eva/HNR-6585-2023</t>
  </si>
  <si>
    <t>Serrano Davies, Eva/0000-0003-1796-3543</t>
  </si>
  <si>
    <t>Thomas Crawford Hayes Scholarship (School of Biological, Earth and Environmental Sciences, University College Cork); Marie Curie Grant CIG [PCIG12-GA-2012-334383]; UCC's Strategic research grant; mobility grant from the Spanish Ministry of Economy and Competitiveness (FPI-MICINN)</t>
  </si>
  <si>
    <t>Thomas Crawford Hayes Scholarship (School of Biological, Earth and Environmental Sciences, University College Cork); Marie Curie Grant CIG; UCC's Strategic research grant; mobility grant from the Spanish Ministry of Economy and Competitiveness (FPI-MICINN)</t>
  </si>
  <si>
    <t>This work was supported by a Thomas Crawford Hayes Scholarship (School of Biological, Earth and Environmental Sciences, University College Cork) to W.O.S. and a Marie Curie Grant CIG (PCIG12-GA-2012-334383); and UCC's Strategic research grant to J.L.Q. E.S.D. was funded by a mobility grant from the Spanish Ministry of Economy and Competitiveness (FPI-MICINN).</t>
  </si>
  <si>
    <t>10.1093/beheco/arx104</t>
  </si>
  <si>
    <t>FN0NM</t>
  </si>
  <si>
    <t>WOS:000415675000005</t>
  </si>
  <si>
    <t>Schermuly, CC; Busch, V; Grassmann, C</t>
  </si>
  <si>
    <t>Schermuly, Carsten Christoph; Buesch, Victoria; Grassmann, Carolin</t>
  </si>
  <si>
    <t>Psychological empowerment, psychological and physical strain and the desired retirement age</t>
  </si>
  <si>
    <t>Quantitative; Psychological empowerment; Ageing workforce; Desired retirement age; Pre-retirement job factors; Psychological strain; Physical strain</t>
  </si>
  <si>
    <t>LEADER-MEMBER EXCHANGE; BRIDGE EMPLOYMENT; ORGANIZATIONAL COMMITMENT; INNOVATIVE BEHAVIOR; JOB-SATISFACTION; PLANNED BEHAVIOR; MODERATING ROLE; SELF-EFFICACY; WORK; ANTECEDENTS</t>
  </si>
  <si>
    <t>Purpose - The desired retirement age (DRA) becomes more important because some countries adapt their strict retirement regulations to it. A process is tested for how psychological empowerment influences the DRA mediated by psychological and physical strain and how the DRA is connected to the expected retirement age (ERA). The paper aims to discuss these issues. Design/methodology/approach - Structured interviews with 1,485 German employees (55 years and older) were conducted via telephone. Findings - Psychological and physical strain mediated both the relationship between psychological empowerment and the DRA. DRA and ERA were positively associated. The control variables - age, net income, and organizational size - also significantly affected the DRA. Research limitations/implications - The results are only valid for the German job market. All variables were collected at one measurement point. Practical implications - The strengthening of psychological empowerment can be one measure to motivate older employees to delay their retirement and finally keep them longer in the labor force. Originality/value - A large sample was collected and interviewed via telephone, which helps to overcome some limitations of questionnaire research. The process model helps to understand how job characteristics are connected with the DRA and the ERA.</t>
  </si>
  <si>
    <t>[Schermuly, Carsten Christoph] SRH Univ Appl Sci Berlin, Dept Business Psychol, Berlin, Germany; [Buesch, Victoria; Grassmann, Carolin] SRH Univ Appl Sci Berlin, Berlin, Germany</t>
  </si>
  <si>
    <t>Schermuly, CC (corresponding author), SRH Univ Appl Sci Berlin, Dept Business Psychol, Berlin, Germany.</t>
  </si>
  <si>
    <t>Federal Government of Germany</t>
  </si>
  <si>
    <t>The Federal Government of Germany provided research funding through the German Federal Institute for Population Research for the execution of the telephone interviews.</t>
  </si>
  <si>
    <t>10.1108/PR-06-2015-0159</t>
  </si>
  <si>
    <t>FD0GJ</t>
  </si>
  <si>
    <t>WOS:000407217500005</t>
  </si>
  <si>
    <t>Han, YM; Shen, CS; Farn, CK</t>
  </si>
  <si>
    <t>Han, Yang-Ming; Shen, Chu-San; Farn, Cheng-Kiang</t>
  </si>
  <si>
    <t>Determinants of continued usage of pervasive business intelligence systems</t>
  </si>
  <si>
    <t>INFORMATION DEVELOPMENT</t>
  </si>
  <si>
    <t>business information systems; usage; Taiwan</t>
  </si>
  <si>
    <t>PSYCHOLOGICAL EMPOWERMENT; INFORMATION-TECHNOLOGY; BEHAVIORAL INTENTION; INNOVATIVE BEHAVIOR; MODERATING ROLE; HABIT; EXPECTATION; CONSUMPTION; POWER; ANTECEDENTS</t>
  </si>
  <si>
    <t>To cope with the huge data flow in today's uncertain economic environment, organizations have pervasively adopted business intelligence systems (BIS) to provide internal and external information to stakeholders of all working levels in their decision-making scenarios. However, the continued pervasive usage of BIS has become a practical challenge. The aim of this study is to build a model to explain the pervasive BIS user's continued usage. Besides the original Bhattacherjee's continued usage model and Limayem et al.s model, which considers the habit construct, this study also includes the ideas of empowerment through individual authorization and intrinsic task motivation in the pervasive BIS context. The model was empirically tested using data from 117 respondents in Taiwan, obtained in two rounds of questionnaires to explain the situation of voluntary pervasive continued usage of BIS. The results support the original model of continued pervasive BIS usage and can be used to interpret psychological empowerment as a second-order construct. This study also demonstrated that habit has a direct effect on BIS usage and that psychological empowerment is influenced by structural empowerment, and acts as a pure moderator between pervasive continued BIS intention and continued usage behavior.</t>
  </si>
  <si>
    <t>[Han, Yang-Ming; Shen, Chu-San; Farn, Cheng-Kiang] Natl Cent Univ, Dept Informat Management, Taoyuan, Taiwan</t>
  </si>
  <si>
    <t>National Central University</t>
  </si>
  <si>
    <t>Han, YM (corresponding author), Natl Cent Univ, Dept Informat Management, Taoyuan, Taiwan.</t>
  </si>
  <si>
    <t>rayleewhite@gmail.com; innostream@hotmail.com; ckfarn@mgt.ncu.edu.tw</t>
  </si>
  <si>
    <t>0266-6669</t>
  </si>
  <si>
    <t>1741-6469</t>
  </si>
  <si>
    <t>INFORM DEV</t>
  </si>
  <si>
    <t>Inf. Dev.</t>
  </si>
  <si>
    <t>10.1177/0266666914554811</t>
  </si>
  <si>
    <t>DL5ZV</t>
  </si>
  <si>
    <t>WOS:000375717000018</t>
  </si>
  <si>
    <t>Cheng, L; Lei, Z</t>
  </si>
  <si>
    <t>Cheng, Lei; Lei, Zhen</t>
  </si>
  <si>
    <t>Does the expansion of Chinese state-owned enterprises affect the innovative behavior of private enterprises?</t>
  </si>
  <si>
    <t>ASIA-PACIFIC JOURNAL OF ACCOUNTING &amp; ECONOMICS</t>
  </si>
  <si>
    <t>4th Asia-Pacific Innovation Conference</t>
  </si>
  <si>
    <t>DEC 06-07, 2013</t>
  </si>
  <si>
    <t>Natl Taiwan Univ, Taipei, PEOPLES R CHINA</t>
  </si>
  <si>
    <t>Natl Taiwan Univ</t>
  </si>
  <si>
    <t>innovation; SOEs; private enterprises; expansion; patents; interest rate</t>
  </si>
  <si>
    <t>RESEARCH-AND-DEVELOPMENT; MARKET-STRUCTURE; FIRM SIZE; OPPORTUNITY; COMPETITION</t>
  </si>
  <si>
    <t>State-owned enterprises (SOEs) have expanded rapidly in China since 2003. Through an empirical study using Chinese Industrial Enterprises Database and Patent Application Database from 2004 to 2007, we found that the expansion of SOEs negatively affected the innovation of private enterprises. Chinese private enterprises usually do not have extensive assets or strong ability to obtain debt financing, and thus are less likely to maintain investments in R&amp;D when SOEs expand. Considering private enterprises are the main contributors of innovation in China, it is important to note the negative effect of the expansion of SOEs on the innovation of private enterprises. We further distinguished the SOEs along two dimensions: holding type and affiliation type. Based on the first dimension, we divided the SOEs into absolutely controlled SOEs and relatively controlled SOEs (RSOEs); based on the second dimension, we divided the SOEs into those belonging to higher level governments (central or provincial) (HSOEs) and those belonging to lower level governments such as municipal governments (LSOEs). We found that only RSOEs and LSOEs expanded rapidly from 2004 to 2007, and that it is the expansion of RSOEs and LSOEs that led to a decrease in innovation of private enterprises. Moreover, we found that the expansion of SOEs increased the average interest rate faced by private enterprises and that the increase in average interest rate was the primary reason for the decrease in innovation of private enterprises.</t>
  </si>
  <si>
    <t>[Cheng, Lei] Univ Calif Berkeley, Dept Agr &amp; Resource Econ, Berkeley, CA 94720 USA; [Lei, Zhen] Penn State Univ, John &amp; Willie Leone Family Dept Energy &amp; Mineral, University Pk, PA 16802 USA</t>
  </si>
  <si>
    <t>University of California System; University of California Berkeley; Pennsylvania Commonwealth System of Higher Education (PCSHE); Pennsylvania State University; Pennsylvania State University - University Park</t>
  </si>
  <si>
    <t>Cheng, L (corresponding author), Univ Calif Berkeley, Dept Agr &amp; Resource Econ, Berkeley, CA 94720 USA.</t>
  </si>
  <si>
    <t>chenglei@berkeley.edu</t>
  </si>
  <si>
    <t>1608-1625</t>
  </si>
  <si>
    <t>2164-2257</t>
  </si>
  <si>
    <t>ASIA-PAC J ACCOUNT E</t>
  </si>
  <si>
    <t>Asia-Pac. J. Account. Econ.</t>
  </si>
  <si>
    <t>10.1080/16081625.2015.1010269</t>
  </si>
  <si>
    <t>Business, Finance; Economics</t>
  </si>
  <si>
    <t>CD9JY</t>
  </si>
  <si>
    <t>WOS:000351415800004</t>
  </si>
  <si>
    <t>Ho, LH; Wang, YP; Huang, HC; Chen, HC</t>
  </si>
  <si>
    <t>Ho, Li-Hsing; Wang, Ya-Ping; Huang, Hung-Chen; Chen, Hsueh-Chih</t>
  </si>
  <si>
    <t>Influence of humorous leadership at workplace on the innovative behavior of leaders and their leadership effectiveness</t>
  </si>
  <si>
    <t>AFRICAN JOURNAL OF BUSINESS MANAGEMENT</t>
  </si>
  <si>
    <t>Humorous leadership; humor style; innovative behavior; leadership effectiveness</t>
  </si>
  <si>
    <t>STRESS; STYLES; LAUGHTER; HEALTH; SENSE</t>
  </si>
  <si>
    <t>The influence of humor on interpersonal relationship and behavior has been attracting increasing attention from various enterprises. Participants in this study were Taiwan's corporate leaders and the influence of their styles of humor on innovative behavior and leadership effectiveness was examined. The study results showed that self-enhancing humor played a key role in leadership at work place. It not only enhanced leaders' innovative behavior but leadership effectiveness. On the other hand, aggressive humor showed a negative but small effect on leadership effectiveness. The results may serve as the criteria in the selection of prospective department heads/officials and facilitate the development of self-enhancing humor in various trainings.</t>
  </si>
  <si>
    <t>[Ho, Li-Hsing; Wang, Ya-Ping] Chung Hua Univ, Dept Technol Management, Hsinchu 300, Taiwan; [Huang, Hung-Chen] Natl Taiwan Normal Univ, Grad Int Affairs &amp; Global Strategy, Taipei 106, Taiwan; [Chen, Hsueh-Chih] Natl Taiwan Normal Univ, Dept Educ Psychol &amp; Counseling, Taipei 106, Taiwan</t>
  </si>
  <si>
    <t>Chung Hua University; National Taiwan Normal University; National Taiwan Normal University</t>
  </si>
  <si>
    <t>Wang, YP (corresponding author), Chung Hua Univ, Dept Technol Management, 707,Sec 2,WuFu Rd, Hsinchu 300, Taiwan.</t>
  </si>
  <si>
    <t>viviyawang@ntnu.edu.tw</t>
  </si>
  <si>
    <t>ACADEMIC JOURNALS</t>
  </si>
  <si>
    <t>VICTORIA ISLAND</t>
  </si>
  <si>
    <t>P O BOX 5170-00200 NAIROBI, VICTORIA ISLAND, LAGOS 73023, NIGERIA</t>
  </si>
  <si>
    <t>1993-8233</t>
  </si>
  <si>
    <t>AFR J BUS MANAGE</t>
  </si>
  <si>
    <t>Afr. J. Bus. Manag.</t>
  </si>
  <si>
    <t>AUG 18</t>
  </si>
  <si>
    <t>856FJ</t>
  </si>
  <si>
    <t>WOS:000297623400004</t>
  </si>
  <si>
    <t>Ardts, JCA; van der Velde, MEG; Maurer, TJ</t>
  </si>
  <si>
    <t>Ardts, Joost C. A.; van der Velde, Mandy E. G.; Maurer, Todd J.</t>
  </si>
  <si>
    <t>The Influence of Perceived Characteristics of Management Development Programs on Employee Outcomes</t>
  </si>
  <si>
    <t>JOB-SATISFACTION; GOAL ORIENTATION; PROACTIVE PERSONALITY; NORMATIVE COMMITMENT; MODEL; MOTIVATION; IMPACT; WORK; FUTURE; ORGANIZATIONS</t>
  </si>
  <si>
    <t>Employees' perceptions of Management Development ( MD) programs is the topic of this study. The purpose is to examine the influence of three important perceived characteristics of MD programs on relevant MD outcomes. The MD characteristics are: availability of role models, perceived control, and understanding the MD program. Outcomes are: participation in development activities, MD and job satisfaction, affective organizational commitment, perceived benefits of development activities, average salary growth, innovative behavior, and critical opinion sharing. Data are collected from 453 MD participants of seven organizations in the Netherlands. Findings show that perceived control has a positive relationship with MD satisfaction and extrinsic and organizational benefits of development activities. Understanding the MD program positively influences MD satisfaction and extrinsic benefits. Availability of role models has a positive relationship with intrinsic and organizational benefits.</t>
  </si>
  <si>
    <t>[Ardts, Joost C. A.] Dept Management &amp; Dev, Berenschot, Netherlands; [van der Velde, Mandy E. G.] Univ Utrecht, Utrecht Sch Governance, NL-3508 TC Utrecht, Netherlands; [Maurer, Todd J.] Georgia State Univ, Dept Managerial Sci, Atlanta, GA 30303 USA</t>
  </si>
  <si>
    <t>Utrecht University; University System of Georgia; Georgia State University</t>
  </si>
  <si>
    <t>Ardts, JCA (corresponding author), Dept Management &amp; Dev, Berenschot, Netherlands.</t>
  </si>
  <si>
    <t>10.1002/hrdq.20055</t>
  </si>
  <si>
    <t>708WU</t>
  </si>
  <si>
    <t>WOS:000286395800007</t>
  </si>
  <si>
    <t>Wang, HC; Doong, HS; Foxall, GR</t>
  </si>
  <si>
    <t>Wang, Hui-Chih; Doong, Her-Sen; Foxall, Gordon R.</t>
  </si>
  <si>
    <t>Consumers' Intentions to Remain Loyal to Online Reputation Systems</t>
  </si>
  <si>
    <t>PSYCHOLOGY &amp; MARKETING</t>
  </si>
  <si>
    <t>STYLE/INVOLVEMENT MODEL; PERSONAL INVOLVEMENT; USE-INNOVATIVENESS; COGNITIVE STYLES; WEBSITE LOYALTY; DETERMINANTS; ADOPTION; PREDICTORS; BEHAVIOR</t>
  </si>
  <si>
    <t>The implications of recent consumer research for information system usage in the e-marketplace are still poorly understood. However, understanding consumers' intentions to continue to use these systems remains a priority in practical marketing management, as leading marketplaces such as Amazon.com have widely embraced online reputation systems as a useful tactic in online marketing. The reported study proposes an approach that differs from past research on this theme by incorporating Foxall's style/involvement model, which relates innovative behavior to cognitive style and involvement in the product area. Based on a sample of 387 buyers from a top e-marketplace in Taiwan, the findings indicate that consumers' underlying style/involvement levels significantly shape their continuance use intentions toward online reputation systems. The paper argues that consumers' cognitive styles and involvement levels should be adopted by researchers as major influences on system users' decision making in virtual purchase environments. (C) 2010 Wiley Periodicals, Inc.</t>
  </si>
  <si>
    <t>[Doong, Her-Sen] Natl Chiayi Univ, Dept Management Informat Syst, Chiayi 60054, Taiwan; [Wang, Hui-Chih] Natl Chung Cheng Univ, Minhsiung, Taiwan; [Foxall, Gordon R.] Cardiff Univ, Cardiff, S Glam, Wales</t>
  </si>
  <si>
    <t>National Chiayi University; National Chung Cheng University; RLUK- Research Libraries UK; Cardiff University</t>
  </si>
  <si>
    <t>Doong, HS (corresponding author), Natl Chiayi Univ, Dept Management Informat Syst, 580 Sinmin Rd, Chiayi 60054, Taiwan.</t>
  </si>
  <si>
    <t>hsdoong@mail.ncyu.edu.tw</t>
  </si>
  <si>
    <t>0742-6046</t>
  </si>
  <si>
    <t>1520-6793</t>
  </si>
  <si>
    <t>PSYCHOL MARKET</t>
  </si>
  <si>
    <t>Psychol. Mark.</t>
  </si>
  <si>
    <t>10.1002/mar.20363</t>
  </si>
  <si>
    <t>639CD</t>
  </si>
  <si>
    <t>WOS:000280947500004</t>
  </si>
  <si>
    <t>Boulton-Lewis, GM; Brownlee, J; Berthelsen, D; Dunbar, S</t>
  </si>
  <si>
    <t>Boulton-Lewis, G. M.; Brownlee, J.; Berthelsen, D.; Dunbar, S.</t>
  </si>
  <si>
    <t>Child care students' practical conceptions of learning</t>
  </si>
  <si>
    <t>STUDIES IN CONTINUING EDUCATION</t>
  </si>
  <si>
    <t>vocational education; conceptions of learning; workplace learning; practical knowledge</t>
  </si>
  <si>
    <t>This paper describes an analysis of interview transcripts for 77 first-and second-year students enrolled in a vocational education course for child-care work. The purpose was to identify their conceptions of learning. All six categories of conceptions, as identified originally by Marton et al. (1993), were found. However, more than 50% of the conceptions were at level A (increasing knowledge). This category was richer and more differentiated than found in other research and had a practical, applied focus. The participants did not generally situate their learning in a formal context based on reading theoretical material. This finding provides a new perspective on conceptions of learning. The results are compared with research in vocational, informal, workplace and teacher learning. The conceptions of learning held by the child-care students could present a challenge for lecturers in the vocational programme who expect that students will underpin practical skills with theoretical knowledge. It is less likely that students will engage in innovative behaviours in practice if their approach to learning is based mainly on practical, procedural knowledge. The findings raise questions as to how to move students' conceptions to a higher more theoretical mode of learning.</t>
  </si>
  <si>
    <t>[Boulton-Lewis, G. M.] Queensland Univ Technol, Ctr Social Change Res, Brisbane, Qld 4001, Australia; [Brownlee, J.; Berthelsen, D.; Dunbar, S.] Queensland Univ Technol, Ctr Learning Innovat, Brisbane, Qld 4001, Australia</t>
  </si>
  <si>
    <t>Queensland University of Technology (QUT); Queensland University of Technology (QUT)</t>
  </si>
  <si>
    <t>Boulton-Lewis, GM (corresponding author), Queensland Univ Technol, Ctr Social Change Res, Brisbane, Qld 4001, Australia.</t>
  </si>
  <si>
    <t>g.boulton-lewis@qut.edu.au</t>
  </si>
  <si>
    <t>Berthelsen, Donna/0000-0002-3538-5452</t>
  </si>
  <si>
    <t>0158-037X</t>
  </si>
  <si>
    <t>STUD CONTIN EDUC</t>
  </si>
  <si>
    <t>Stud. Contin. Educ.</t>
  </si>
  <si>
    <t>10.1080/01580370802097710</t>
  </si>
  <si>
    <t>V14ZI</t>
  </si>
  <si>
    <t>WOS:000207771900002</t>
  </si>
  <si>
    <t>Liu, XM; Yu, J; Guo, Q; Li, J</t>
  </si>
  <si>
    <t>Liu, Xiaoming (Rose); Yu, Jing (Jasper); Guo, Qiang; Li, Jun (Justin)</t>
  </si>
  <si>
    <t>Employee engagement, its antecedents and effects on business performance in hospitality industry: a multilevel analysis</t>
  </si>
  <si>
    <t>Justice; Innovation; Employee engagement; Business performance; Empowerment leadership</t>
  </si>
  <si>
    <t>SOCIAL-EXCHANGE THEORY; WORK ENGAGEMENT; INNOVATIVE BEHAVIOR; ORGANIZATIONAL JUSTICE; PROCEDURAL JUSTICE; MEDIATING ROLE; JOB RESOURCES; SUPPORT; SATISFACTION; EMPOWERMENT</t>
  </si>
  <si>
    <t>Purpose Employee engagement serves as a critical strategy for tourism and hospitality organizations to support their employees and fight adversity. This study aims to investigate the antecedents and effects of employee engagement and examine innovative behavior as a linchpin mechanism for the relationship between organizational engagement culture and organizational performance. Design/methodology/approach This study analyzed the antecedents and effects of employee engagement through a hierarchical linear model that considers both organizational- and individual-level factors. The data was collected through a questionnaire survey from employees of 39 hotels in Guangzhou, China. Findings The results confirmed the significant positive effect of organizational empowerment, leadership and collaboration atmosphere on employment engagement. An individual's perception of rewards and recognition, distributive justice and procedural justice significantly affected employee engagement. It was also confirmed that employee engagement ultimately improved performance outcomes at the individual and organizational levels. Additionally, the mediation effect of organizational innovation culture on the relationship between organizational employee engagement and organizational performance was confirmed. Practical implications Organizations can improve their performance by enhancing employee engagement, which in turn, can be encouraged by empowering leadership and organizational collaboration culture. Organizations can also improve their performance by providing rewards and recognition appreciated by employees and ensuring justice to them. Originality/value This research contributes to the literature on employee engagement in the hospitality industry by demonstrating how organizational performance can be improved through employee engagement using a multilevel model. The findings highlight that organizations with engaged employees are more likely to achieve an innovative culture, which in turn, leads to organizational success. This study also confirmed that empowerment, leadership and collaboration culture help improve organizational performance in the hospitality industry.</t>
  </si>
  <si>
    <t>[Liu, Xiaoming (Rose); Yu, Jing (Jasper)] Univ Macau, Fac Business Adm, Macau, Peoples R China; [Guo, Qiang] Hainan Univ, Sch Tourism, Haikou, Hainan, Peoples R China; [Li, Jun (Justin)] South China Normal Univ, Higher Educ Mega Ctr, Sch Tourism Management, Guangzhou, Peoples R China; [Li, Jun (Justin)] Southern Marine Sci &amp; Engn Guangdong Lab Zhuhai, Zhuhai, Peoples R China</t>
  </si>
  <si>
    <t>University of Macau; Hainan University; South China Normal University; Southern Marine Science &amp; Engineering Guangdong Laboratory; Southern Marine Science &amp; Engineering Guangdong Laboratory (Zhuhai)</t>
  </si>
  <si>
    <t>Guo, Q (corresponding author), Hainan Univ, Sch Tourism, Haikou, Hainan, Peoples R China.;Li, J (corresponding author), South China Normal Univ, Higher Educ Mega Ctr, Sch Tourism Management, Guangzhou, Peoples R China.;Li, J (corresponding author), Southern Marine Sci &amp; Engn Guangdong Lab Zhuhai, Zhuhai, Peoples R China.</t>
  </si>
  <si>
    <t>gq@hainanu.edu.cn; justinli83@scnu.edu.cn</t>
  </si>
  <si>
    <t>Yu, Jing/0000-0002-6324-4729</t>
  </si>
  <si>
    <t>GuangDong Basic and Applied Basic Research Foundation [2022A1515010376]; GuangDong Planning Office of Philosophy and Social Science [GD19CGL31]; University of Macau [MYRG2019-00058-FBA]</t>
  </si>
  <si>
    <t>GuangDong Basic and Applied Basic Research Foundation; GuangDong Planning Office of Philosophy and Social Science; University of Macau</t>
  </si>
  <si>
    <t>This research was supported by GuangDong Basic and Applied Basic Research Foundation (Grant Number: 2022A1515010376), GuangDong Planning Office of Philosophy and Social Science (Grant Number: GD19CGL31), and University of Macau (Grant Number: MYRG2019-00058-FBA).</t>
  </si>
  <si>
    <t>10.1108/IJCHM-12-2021-1512</t>
  </si>
  <si>
    <t>JUL 2022</t>
  </si>
  <si>
    <t>5S0BZ</t>
  </si>
  <si>
    <t>WOS:000830502500001</t>
  </si>
  <si>
    <t>Hu, Q; Liu, YH</t>
  </si>
  <si>
    <t>Hu, Qian; Liu, Yihong</t>
  </si>
  <si>
    <t>Crisis Management and National Responses to COVID-19: Global Perspectives</t>
  </si>
  <si>
    <t>COVID-19; crisis and emergency management; crisis learning; crisis management; hybrid coordination</t>
  </si>
  <si>
    <t>COMMUNICATION</t>
  </si>
  <si>
    <t>The ongoing COVID-19 pandemic has caused devastating impacts on public health, the global economy, and society. This collection of articles aims to process the lessons learned from the responses to COVID-19 and understand the public management and governance implications. This symposium includes seven articles that address various aspects of the pandemic response. These seven articles suggested several important lessons learned: First, countries need to create supportive work environments for healthcare professionals to overcome the overwhelming stress and engage in innovative behaviors to meet the rapidly growing demand for healthcare services in a health crisis. Second, hybrid coordination structures are needed in response to transboundary crises. Exploring mechanisms and processes to better integrate network-based coordination with hierarchical structures is necessary. Third, digital governance must be carefully designed and implemented to facilitate crisis communication and coordination. Finally, the COVID-19 pandemic offers the international context for comparing the implementation of a diverse range of COVID-19 policies and evaluating their impacts.</t>
  </si>
  <si>
    <t>[Hu, Qian] Univ Cent Florida, Orlando, FL 32816 USA; [Liu, Yihong] Renmin Univ China, Beijing, Peoples R China</t>
  </si>
  <si>
    <t>State University System of Florida; University of Central Florida; Renmin University of China</t>
  </si>
  <si>
    <t>Liu, YH (corresponding author), Renmin Univ China, Sch Publ Adm &amp; Policy, Beijing 100872, Peoples R China.</t>
  </si>
  <si>
    <t>y.liu@ruc.edu.cn</t>
  </si>
  <si>
    <t>Hu, Qian/GWZ-7617-2022</t>
  </si>
  <si>
    <t>Liu, Yihong/0000-0003-2485-0715</t>
  </si>
  <si>
    <t>National Natural Science Foundation of China [72174201]</t>
  </si>
  <si>
    <t>This research is supported by the National Natural Science Foundation of China (No 72174201).</t>
  </si>
  <si>
    <t>10.1080/15309576.2022.2079692</t>
  </si>
  <si>
    <t>JUN 2022</t>
  </si>
  <si>
    <t>WOS:000805759200001</t>
  </si>
  <si>
    <t>Liu, FZ; Li, PK; Taris, TW; Peeters, MCW</t>
  </si>
  <si>
    <t>Liu, Fangzhou; Li, Peikai; Taris, Toon W.; Peeters, Maria C. W.</t>
  </si>
  <si>
    <t>Creative performance pressure as a double-edged sword for creativity: The role of appraisals and resources</t>
  </si>
  <si>
    <t>challenge appraisal; creative performance pressure; creativity; hindrance appraisal; promotion focus; servant leadership</t>
  </si>
  <si>
    <t>ORGANIZATIONAL CITIZENSHIP BEHAVIOR; REGULATORY FOCUS; SERVANT LEADERSHIP; CHALLENGE APPRAISALS; INNOVATIVE BEHAVIOR; CONTEXTUAL FACTORS; TIME PRESSURE; WORK; JOB; STRESSORS</t>
  </si>
  <si>
    <t>Creativity, or the generation of novel and useful ideas or products, is widely viewed as the cornerstone of organizational innovation and success. However, high pressure to be creative may have mixed implications for employee creativity. In this article, we first systematically conceptualize the nature of the concept of creative performance pressure. Next, building on transactional stress theory, we investigate (a) how creative performance pressure influences employee creativity through different appraisals (i.e., challenge and hindrance) and (b) the moderating role of a job and personal resource (i.e., servant leadership and promotion focus) in the stressor appraisal process. In Study 1, we developed a creative performance pressure scale and assessed its psychometric properties across two samples (N = 181 for Sample 1; N = 253 for Sample 2). In addition, using multi-wave, multi-source data (Study 2), we tested our hypotheses in a Chinese sample (N = 206). The results demonstrated that creative performance pressure can have both positive and negative effects on employee creativity through challenge and hindrance appraisals, respectively. Servant leadership moderated the effect of creative performance pressure on challenge and hindrance appraisals, by transmitting the beneficial and detrimental effects of creative performance pressure to creativity, respectively. Similarly, promotion focus moderated the relationship between creative performance pressure and hindrance appraisal. We discuss future research directions and offer several practical implications for both organizational leaders and human resource (HR) practitioners.</t>
  </si>
  <si>
    <t>[Liu, Fangzhou] Huazhong Univ Sci &amp; Technol, Sch Management, Wuhan, Peoples R China; [Li, Peikai; Taris, Toon W.; Peeters, Maria C. W.] Univ Utrecht, Social Hlth &amp; Org Psychol, POB 80-140, NL-3508 TC Utrecht, Netherlands; [Li, Peikai] Univ Ghent, Dept Mkt Innovat &amp; Org, Ghent, Belgium; [Peeters, Maria C. W.] Eindhoven Univ Technol, Human Performance Management Grp, Eindhoven, Netherlands</t>
  </si>
  <si>
    <t>Huazhong University of Science &amp; Technology; Utrecht University; Ghent University; Eindhoven University of Technology</t>
  </si>
  <si>
    <t>Li, PK (corresponding author), Univ Utrecht, Social Hlth &amp; Org Psychol, POB 80-140, NL-3508 TC Utrecht, Netherlands.</t>
  </si>
  <si>
    <t>pk.li@hotmail.com</t>
  </si>
  <si>
    <t>Peeters, Maria/0000-0001-7383-686X; Li, Peikai/0000-0003-3877-0388; Liu, Fangzhou/0000-0002-4133-1151; Taris, Toon/0000-0003-1946-3307</t>
  </si>
  <si>
    <t>10.1002/hrm.22116</t>
  </si>
  <si>
    <t>APR 2022</t>
  </si>
  <si>
    <t>5W8GV</t>
  </si>
  <si>
    <t>WOS:000783307300001</t>
  </si>
  <si>
    <t>Aboramadan, M; Hamid, Z; Kundi, YM; El Hamalawi, E</t>
  </si>
  <si>
    <t>Aboramadan, Mohammed; Hamid, Zeeshan; Kundi, Yasir Mansoor; El Hamalawi, Eissa</t>
  </si>
  <si>
    <t>The effect of servant leadership on employees' extra-role behaviors in NPOs: The role of work engagement</t>
  </si>
  <si>
    <t>NONPROFIT MANAGEMENT &amp; LEADERSHIP</t>
  </si>
  <si>
    <t>creativity; innovative work behavior; NPOs; organizational citizenship behavior; servant leadership; work engagement</t>
  </si>
  <si>
    <t>ORGANIZATIONAL COMMITMENT; NONPROFIT ORGANIZATIONS; VOLUNTEER ENGAGEMENT; INNOVATIVE BEHAVIOR; JOB-SATISFACTION; CREATIVITY; MANAGEMENT; MODEL; CITIZENSHIP; DISTINCTION</t>
  </si>
  <si>
    <t>Building on the social exchange theory and the rule of reciprocity, this study examines the effect of servant leadership on employees' extra-role behaviors (innovative work behavior, organizational citizenship behavior, and creativity) in the nonprofit organizations (NPOs) context. In this model, we examined work engagement as a mediator. Data were collected in two waves from 309 employees and complemented by their supervisors' evaluations. We analyzed the data using structural equation modeling and the Baron and Kenny method for mediation. The findings reveal that servant leadership exerts a positive influence on employees' extra-role behaviors. Furthermore, work engagement plays a significant role as a mediator in the relationship between servant leadership and extra-role behaviors. Finally, discussion, implications, and limitations are presented.</t>
  </si>
  <si>
    <t>[Aboramadan, Mohammed] Univ Insubria, Dept Econ, Varese, Italy; [Hamid, Zeeshan] Univ Innsbruck, Dept Org &amp; Learning, Innsbruck, Austria; [Kundi, Yasir Mansoor] Inst Business Adm IBA Karachi, Sch Business Studies, Karachi, Pakistan; [El Hamalawi, Eissa] Aix Marseille Univ, IAE Aix Grad Sch Management, CERGAM, Marseille, France</t>
  </si>
  <si>
    <t>University of Insubria; University of Innsbruck; Institute of Business Administration, Karachi; UDICE-French Research Universities; Aix-Marseille Universite</t>
  </si>
  <si>
    <t>Aboramadan, M (corresponding author), Univ Insubria, Dept Econ, Varese, Italy.</t>
  </si>
  <si>
    <t>Kundi, Yasir Mansoor/AAH-6724-2021</t>
  </si>
  <si>
    <t>Kundi, Yasir Mansoor/0000-0001-8962-2751; Hamid, Zeeshan/0000-0002-2728-3958</t>
  </si>
  <si>
    <t>Universita degli Studi dell'Insubria</t>
  </si>
  <si>
    <t>Open Access Funding provided by Universita degli Studi dell'Insubria within the CRUI-CARE Agreement.</t>
  </si>
  <si>
    <t>1048-6682</t>
  </si>
  <si>
    <t>1542-7854</t>
  </si>
  <si>
    <t>NONPROFIT MANAG LEAD</t>
  </si>
  <si>
    <t>Nonprofit Manag. Leadersh.</t>
  </si>
  <si>
    <t>10.1002/nml.21505</t>
  </si>
  <si>
    <t>4F1IL</t>
  </si>
  <si>
    <t>WOS:000764963600001</t>
  </si>
  <si>
    <t>Lin, MZ; Zhang, XJ; Ng, BCS; Zhong, LR</t>
  </si>
  <si>
    <t>Lin, Meizhen; Zhang, Xiujuan; Ng, Boon Ching Serene; Zhong, Lirong</t>
  </si>
  <si>
    <t>The dual influences of team cooperative and competitive orientations on the relationship between empowering leadership and team innovative behaviors</t>
  </si>
  <si>
    <t>Team cooperative orientation; Team competitive orientation; Empowering leadership; Team innovative behaviors</t>
  </si>
  <si>
    <t>EMPLOYEE CREATIVITY; YIN-YANG; MULTILEVEL; TASK; MODEL; SELF; UNDISTINCTIVENESS; METAANALYSIS; AMBIVALENCE; COOPETITION</t>
  </si>
  <si>
    <t>In a rapidly changing environment, organizations that thrive are those that place innovation as their key strategic priority. This study examines the influence of empowering leadership on team innovative behaviors in group settings and explicates the dual influences of team cooperative and competitive orientations on the relationship. Drawing on nested data (527 followers nested in 60 departments) from 19 Chinese hotels, our results show that team cooperative orientation plays an important mediating role between empowering leadership and team innovative behaviors. The presence of team competitive orientation moderates the positive influence of team cooperative orientation on team innovative behaviors such that the combined influences of team cooperative and competitive orientations result in the highest levels of team innovative behaviors. We discuss the implications of both theory and practice of empowering leadership on team innovative behaviors.</t>
  </si>
  <si>
    <t>[Lin, Meizhen; Zhong, Lirong] Huaqiao Univ, Coll Tourism, 269 Chenghuabei Rd, Quanzhou 362021, Fujian, Peoples R China; [Zhang, Xiujuan] Sun Yat Sen Univ, Sch Business, 135 Xingang Xi Rd, Guangzhou 510275, Guangdong, Peoples R China; [Ng, Boon Ching Serene] Nanyang Technol Univ, Lee Kong Chian Sch Med, 11 Mandalay Rd, Singapore 308232, Singapore</t>
  </si>
  <si>
    <t>Huaqiao University; Sun Yat Sen University; Nanyang Technological University &amp; National Institute of Education (NIE) Singapore; Nanyang Technological University</t>
  </si>
  <si>
    <t>Zhang, XJ (corresponding author), Sun Yat Sen Univ, Sch Business, 135 Xingang Xi Rd, Guangzhou 510275, Guangdong, Peoples R China.</t>
  </si>
  <si>
    <t>linmeizhen603@163.com; mnszxj@mail.sysu.edu.cn; sereneng@ntu.edu.sg; 2808774520@qq.com</t>
  </si>
  <si>
    <t>Lin, Meizhen/AAJ-2328-2020</t>
  </si>
  <si>
    <t>Lin, Meizhen/0000-0003-2239-8817</t>
  </si>
  <si>
    <t>National Natural Science Foundation of China [71972077, 71372143]</t>
  </si>
  <si>
    <t>This study is supported by two grants from The National Natural Science Foundation of China (#71972077 &amp; #71372143).</t>
  </si>
  <si>
    <t>10.1016/j.ijhm.2022.103160</t>
  </si>
  <si>
    <t>WOS:000766151400026</t>
  </si>
  <si>
    <t>Montani, F; Torres, C; Ferreira, MC; Mendonca, H; Silva, AJ; Courcy, F; Dagenais-Desmarais, V</t>
  </si>
  <si>
    <t>Montani, Francesco; Torres, Claudio; Ferreira, Maria Cristina; Mendonca, Helenides; Silva, Ana Junca; Courcy, Francois; Dagenais-Desmarais, Veronique</t>
  </si>
  <si>
    <t>Self-image goals, compassionate goals and innovative work behavior: The role of organizational support for innovation across countries</t>
  </si>
  <si>
    <t>Self-image goals; Compassionate goals; Innovative work behavior; Organizational support for innovation; Country</t>
  </si>
  <si>
    <t>IMPRESSION MANAGEMENT; INTERPERSONAL GOALS; DARK SIDE; CREATIVITY; LEVEL; MODEL; RECOMMENDATIONS; DETERMINANTS; ORIENTATION; PERCEPTIONS</t>
  </si>
  <si>
    <t>The present study examines the relationship between interpersonal goals - i.e., self-image and compassionate goals - and innovative work behavior by taking into account the organizational context and the country as boundary conditions. By integrating self-presentation theory with cross-cultural research on innovation, we hypothesized that in high innovation-supportive organizations, employees from more collectivistic, higher power distance and higher uncertainty avoidance countries (Brazil) would be more engaged in innovative behaviors when they hold self-image goals, whereas those from more individualistic, lower power distance and lower uncertainty avoidance countries (Canada) would be more innovative when they are driven by compassionate goals. The results from moderated regression analyses on two independent samples - i.e., 291 Brazilian employees and 114 Canadian employees from different organizations - supported our predictions. We conclude that the organizational context and the country play a key, synergistic role in shaping costs and benefits of interpersonal goals for employee innovativeness.</t>
  </si>
  <si>
    <t>[Montani, Francesco] Univ Bologna, Dept Management, Rimini Campus,Via Anghera 22, I-47900 Rimini, Italy; [Torres, Claudio] Univ Brasilia, ICC Brasilia, SQS 108,Bloco K,Apt 604, BR-70347110 Brasilia, DF, Brazil; [Ferreira, Maria Cristina] Univ Salgado de Oliveira, Rua Marques Valenca 80 Apto 602, BR-20550030 Rio De Janeiro, RJ, Brazil; [Mendonca, Helenides] Pontificia Univ Catolica Goias, Av Univ 1440, BR-74605010 Goiania, Go, Brazil; [Silva, Ana Junca] ISCTE Inst Univ Lisboa ISCTE IUL, Av Forcas Armadas, P-1649026 Lisbon, Portugal; [Courcy, Francois] Univ Sherbrooke, 2500 Blvd Univ, Sherbrooke, PQ J1K 2R1, Canada; [Dagenais-Desmarais, Veronique] Univ Montreal, POB 6128, Montreal, PQ H3C 3J7, Canada</t>
  </si>
  <si>
    <t>University of Bologna; Universidade de Brasilia; Universidade Salgado de Oliveira; Pontificia Universidade Catolica de Goias; Instituto Universitario de Lisboa; University of Sherbrooke; Universite de Montreal</t>
  </si>
  <si>
    <t>Montani, F (corresponding author), Univ Bologna, Rimini Campus,Via Anghera 22, I-47900 Rimini, Italy.</t>
  </si>
  <si>
    <t>francesco.montani@unibo.it</t>
  </si>
  <si>
    <t>Junça-Silva, Ana/E-6831-2016</t>
  </si>
  <si>
    <t>Junça-Silva, Ana/0000-0001-6341-9771</t>
  </si>
  <si>
    <t>Social Sciences and Humanities Research Council of Canada [425-2018-1520]</t>
  </si>
  <si>
    <t>This work was funded by the Social Sciences and Humanities Research Council of Canada under grant 425-2018-1520. We sincerely thank the associate editor and two anonymous re-viewers for their very constructive guidance throughout the review process.</t>
  </si>
  <si>
    <t>10.1016/j.jbusres.2021.08.072</t>
  </si>
  <si>
    <t>WA4VO</t>
  </si>
  <si>
    <t>WOS:000702884800020</t>
  </si>
  <si>
    <t>Lv, M; Yang, S; Lv, XY; Zhang, L; Chen, ZQ; Zhang, SX</t>
  </si>
  <si>
    <t>Lv, Meng; Yang, Sha; Lv, Xiao-Yan; Zhang, Li; Chen, Zhi-Qiang; Zhang, Shu-Xiang</t>
  </si>
  <si>
    <t>Organisational innovation climate and innovation behaviour among nurses in China: A mediation model of psychological empowerment</t>
  </si>
  <si>
    <t>organisational innovation climate; innovation behaviour; psychological empowerment</t>
  </si>
  <si>
    <t>PATIENT SAFETY CLIMATE; CROSS-LEVEL IMPACT; NURSING INNOVATION; TEAM CLIMATE; QUALITY; LEADERSHIP; CONTEXT; CARE</t>
  </si>
  <si>
    <t>Aim This study aimed to explore the effect of organisational innovation climate on nurse innovation behaviour and the mediating role of psychological empowerment. Background Encouraging nurses to generate more innovative behaviours has become an important development direction for improving the quality of nursing services. Method We employed a self-report questionnaire to collect data in Jinan City, China. A total of 2018 valid surveys were obtained. Hierarchical multiple regression model analysis was conducted to test the study hypothesis. Result The mean values of innovation behaviour and organisational innovation climate were 35.29 and 83.30, respectively. Psychological empowerment was found to have partially mediating effect on the relationship between organisational innovation climate and innovation behaviour. Conclusion Organisational innovation climate has significant impact on innovation behaviour, and it can indirectly affect innovation behaviour via the mediating role of psychological empowerment. Implications for nursing management Nursing managers should enhance innovation climate through formal rules, procedures and training activities. They can establish resource guarantee system and information sharing platform, and strengthen work autonomy for nurses to improve their psychological empowerment.</t>
  </si>
  <si>
    <t>[Lv, Meng; Yang, Sha; Zhang, Li; Chen, Zhi-Qiang; Zhang, Shu-Xiang] Shandong First Med Univ, Affiliated Hosp 1, Dept Operating Room, Jinan, Shandong, Peoples R China; [Lv, Xiao-Yan] Shandong Univ, Qilu Hosp, Dept Gen Surg, Jinan, Shandong, Peoples R China; [Zhang, Shu-Xiang] Shandong First Med Univ, Nursing Dept, Affiliated Hosp 1, 16766 Jingshi Rd, Jinan, Shandong, Peoples R China</t>
  </si>
  <si>
    <t>Shandong First Medical University &amp; Shandong Academy of Medical Sciences; Shandong University; Shandong First Medical University &amp; Shandong Academy of Medical Sciences</t>
  </si>
  <si>
    <t>Zhang, SX (corresponding author), Shandong First Med Univ, Nursing Dept, Affiliated Hosp 1, 16766 Jingshi Rd, Jinan, Shandong, Peoples R China.</t>
  </si>
  <si>
    <t>zsx6551@126.com</t>
  </si>
  <si>
    <t>Lv, Meng/0000-0001-8137-5952</t>
  </si>
  <si>
    <t>10.1111/jonm.13381</t>
  </si>
  <si>
    <t>WOS:000678810100001</t>
  </si>
  <si>
    <t>Mulligan, R; Ramos, J; Martin, P; Zornoza, A</t>
  </si>
  <si>
    <t>Mulligan, Rowan; Ramos, Jose; Martin, Pilar; Zornoza, Ana</t>
  </si>
  <si>
    <t>Inspiriting Innovation: The Effects of Leader-Member Exchange (LMX) on Innovative Behavior as Mediated by Mindfulness and Work Engagement</t>
  </si>
  <si>
    <t>leader-member exchange; mindfulness; work engagement; innovative work behavior</t>
  </si>
  <si>
    <t>TRANSFORMATIONAL LEADERSHIP; EMPLOYEE CREATIVITY; MENTAL FATIGUE; JOB DEMANDS; CLIMATE; PERFORMANCE; VALIDATION; TASK; PERCEPTIONS; INDUSTRY</t>
  </si>
  <si>
    <t>Continuous innovation has become a key to gaining a sustainable competitive advantage for organizations in the 21st century. By focusing on the underlying mechanisms (i.e., mindfulness and work engagement) by which it works, this study addresses the quality of leader-member relationships and their relevance for innovation in the workplace. Using a sample of 210 employees from 17 Spanish companies, a two-wave longitudinal design evaluated the mediational roles of mindfulness and engagement between leader-member exchange (LMX) quality and innovative work behavior (IWB) in an organizational context. Over the course of a year, two questionnaires were administered to measure LMX quality, mindfulness, engagement, and IWB. Results from structural equation modeling provided support for the hypothesized double-mediation model with a significant full double mediation. Findings suggested that mindfulness and engagement could be characteristic mechanisms of high-quality LMX that helps to facilitate innovation. Practical implications include its creative value in gaining a competitive edge over market competitors and helping organizations to find a sustainable source for their consistent growth through their human capital and innovative potential.</t>
  </si>
  <si>
    <t>[Mulligan, Rowan; Ramos, Jose; Zornoza, Ana] Univ Valencia, IDOCAL, Valencia 46010, Spain; [Ramos, Jose] IVIE, Valencia 46010, Spain; [Martin, Pilar] Univ Zaragoza, Dept Psychol &amp; Sociol, Zaragoza 50009, Spain</t>
  </si>
  <si>
    <t>University of Valencia; University of Zaragoza</t>
  </si>
  <si>
    <t>Ramos, J (corresponding author), Univ Valencia, IDOCAL, Valencia 46010, Spain.;Ramos, J (corresponding author), IVIE, Valencia 46010, Spain.</t>
  </si>
  <si>
    <t>rmulligan18@students.daremontmckenna.edu; ramosj@uv.es; pimartin@unizar.es; Ana.Zornoza@uv.es</t>
  </si>
  <si>
    <t>Martín, Pilar/HHN-7427-2022; Ramos, Jose/P-5084-2016</t>
  </si>
  <si>
    <t>Ramos, Jose/0000-0003-0821-214X; ZORNOZA, ANA/0000-0002-9407-0821</t>
  </si>
  <si>
    <t>10.3390/su13105409</t>
  </si>
  <si>
    <t>ST6JB</t>
  </si>
  <si>
    <t>WOS:000662546200001</t>
  </si>
  <si>
    <t>Veronica, P; Victor, MG; Elena, MM; Jose-Maria, GAC</t>
  </si>
  <si>
    <t>Veronica, Pineiro; Victor, Martinez-Gomez; Elena, Melia-Marti; Jose-Maria, Garcia-Alvarez-Coque</t>
  </si>
  <si>
    <t>Drivers of joint cropland management strategies in agri-food cooperatives</t>
  </si>
  <si>
    <t>Social innovation; Land abandonment; fsQCA; Agri-food cooperatives; Joint cropland management</t>
  </si>
  <si>
    <t>AGRICULTURAL COOPERATIVES; CONTROL RIGHTS; INNOVATION COLLABORATION; FARMERS; GOVERNANCE; TRUST; PERFORMANCE; MEMBERSHIP; OWNERSHIP; PARTICIPATION</t>
  </si>
  <si>
    <t>In several Spanish regions, collective action through production and marketing cooperatives has traditionally concentrated the food supply of small and medium-sized farms. However, many cooperatives are threatened by the risk of abandonment of members' cropland, which reduces their sourcing capacity. In this context, joint cropland management initiatives have become a useful form of social and organizational innovation. This research's contribution is twofold: it examines the relevance of some drivers of this organizational innovation, and it determines the cooperative characteristics or combinations of characteristics that can sufficiently explain the adoption of a joint cropland management strategy. Some cooperatives' features have been a priori identified as related to the achievement of joint cropland initiatives: economic size, social innovation, innovative behavior, and collaborative orientation. The study is mainly based on data from a cooperatives survey, and fuzzy set Qualitative Comparative Analysis (fsQCA) methodology has been used. The analysis has been completed by surveying cooperatives' managers about their opinions on a joint cropland management strategy's main advantages and drivers. Results indicate that social and economic innovation, size, and propensity to cooperate with other cooperatives are key factors that help create a cooperative profile capable of tackling the challenge of land abandonment and the consequent loss of production.</t>
  </si>
  <si>
    <t>[Veronica, Pineiro] Univ Nacl Sur UNS, Dept Agron, San Andres 800, RA-8000 Bahia Blanca, Buenos Aires, Argentina; [Veronica, Pineiro; Victor, Martinez-Gomez; Jose-Maria, Garcia-Alvarez-Coque] Univ Politecn Valencia, Grp Int Econ &amp; Dev, Camino Vera S-N, Valencia 46022, Spain; [Elena, Melia-Marti] Univ Politecn Valencia, CEGEA, Ctr Invest Gest Empresas, Camino Vera S-N, Valencia 46022, Spain</t>
  </si>
  <si>
    <t>National University of the South; Universitat Politecnica de Valencia; Universitat Politecnica de Valencia</t>
  </si>
  <si>
    <t>Veronica, P (corresponding author), Univ Nacl Sur UNS, Dept Agron, San Andres 800, RA-8000 Bahia Blanca, Buenos Aires, Argentina.;Veronica, P (corresponding author), Univ Politecn Valencia, Grp Int Econ &amp; Dev, Camino Vera S-N, Valencia 46022, Spain.</t>
  </si>
  <si>
    <t>veronica.pineiro@uns.edu.ar; vicmargo@esp.upv.es; emeliam@esp.upv.es; jmgarcia@upvnet.upv.es</t>
  </si>
  <si>
    <t>Garcia-Alvarez-Coque, Jose-Maria/G-9964-2015; Pineiro, Veronica/S-8587-2018; Melia-Marti, Elena/K-5154-2016</t>
  </si>
  <si>
    <t>Garcia-Alvarez-Coque, Jose-Maria/0000-0002-4334-7843; Pineiro, Veronica/0000-0003-3658-969X; Melia-Marti, Elena/0000-0002-0417-2139</t>
  </si>
  <si>
    <t>Ministry of Science and Innovation, Spain; European Regional Development Fund; European Commission [RTI2018-093791-B-C22]</t>
  </si>
  <si>
    <t>Ministry of Science and Innovation, Spain(Ministry of Science and Innovation, Spain (MICINN)Spanish Government); European Regional Development Fund(European Commission); European Commission(European CommissionEuropean Commission Joint Research Centre)</t>
  </si>
  <si>
    <t>Ministry of Science and Innovation, Spain, European Regional Development Fund, European Commission. Project Strengthening innovation policy in the agri-food sector (RTI2018-093791-B-C22).</t>
  </si>
  <si>
    <t>10.1016/j.jrurstud.2021.04.003</t>
  </si>
  <si>
    <t>APR 2021</t>
  </si>
  <si>
    <t>SJ6AW</t>
  </si>
  <si>
    <t>WOS:000655616500015</t>
  </si>
  <si>
    <t>Xerri, MJ; Brunetto, Y; Farr-Wharton, B; Cully, A</t>
  </si>
  <si>
    <t>Xerri, Matthew J.; Brunetto, Yvonne; Farr-Wharton, Benjamin; Cully, Ashley</t>
  </si>
  <si>
    <t>Shaping emotional contagion in healthcare: the role of human resource practices and work harassment</t>
  </si>
  <si>
    <t>Employee well-being; Innovative behaviour; Work harassment; Human resource practices; Emotional contagion</t>
  </si>
  <si>
    <t>MULTIVARIATE SKEWNESS; EMPLOYEE OUTCOMES; POSITIVE EMOTIONS; HRM; CONSERVATION; MANAGEMENT; NURSES; MODEL; PERFORMANCE; IMPACT</t>
  </si>
  <si>
    <t>Purpose This research examines the extent to which emotional contagions are shaped by human resource practices (HRPs) and work harassment and the influence of this on employee well-being and innovative behaviour. Design/methodology/approach The authors examined a structural equation model, including two waves of survey data from 240 healthcare professionals to explore the statistical associations between the tested variables. Findings The results do not show support for a significant relationship linking HRPs with work harassment. However, a significant positive effect linking HRPs, positive contagion, well-being and innovative behaviour was noted, in addition to a significant negative link from harassment on positive contagion, well-being and innovation behaviour. Originality/value The research highlights the limited role that HRPs (alone) play in mitigating harassment and their deleterious effects. Notwithstanding, HRPs can have a positive role in shaping the positive contagions and subsequent positive effects on employee and work outcomes.</t>
  </si>
  <si>
    <t>[Xerri, Matthew J.] Griffith Univ, Employment Relat &amp; Human Resources, Gold Coast, Qld, Australia; [Brunetto, Yvonne] Southern Cross Univ, Southern Cross Business Sch, Bilinga, Australia; [Farr-Wharton, Benjamin] Edith Cowan Univ, Joondalup Campus, Joondalup, Australia; [Cully, Ashley] Griffith Univ, GC Campus, Southport, Qld, Australia</t>
  </si>
  <si>
    <t>Griffith University; Southern Cross University; Edith Cowan University; Griffith University</t>
  </si>
  <si>
    <t>Xerri, MJ (corresponding author), Griffith Univ, Employment Relat &amp; Human Resources, Gold Coast, Qld, Australia.</t>
  </si>
  <si>
    <t>m.xerri@griffith.edu.au; yvonne.brunetto@scu.edu.au; b.farrwharton@ecu.edu.au; ashleycully@outlook.com</t>
  </si>
  <si>
    <t>Brunetto, Yvonne o/0000-0001-7219-0817; Xerri, Matthew/0000-0002-7179-8262; Farr-Wharton, Ben/0000-0001-9987-934X</t>
  </si>
  <si>
    <t>OCT 17</t>
  </si>
  <si>
    <t>10.1108/PR-06-2020-0484</t>
  </si>
  <si>
    <t>XN4RK</t>
  </si>
  <si>
    <t>WOS:000612941800001</t>
  </si>
  <si>
    <t>Berber, N; Slavic, A; Aleksic, M</t>
  </si>
  <si>
    <t>Berber, Nemanja; Slavic, Agnes; Aleksic, Marko</t>
  </si>
  <si>
    <t>Relationship between Perceived Teamwork Effectiveness and Team Performance in Banking Sector of Serbia</t>
  </si>
  <si>
    <t>team; effectiveness; team performances; sustainability; banking industry</t>
  </si>
  <si>
    <t>ORGANIZATIONS; PERSONALITY</t>
  </si>
  <si>
    <t>Teamwork is one of the most important factors for business success in the modern economy. In almost every area of business, teams receive more and more attention, since it has been found that teamwork leads to greater individual, group, and even organizational performance. The aim of this research is to investigate the effectiveness of teamwork and its relationship with team performances. Specifically, the authors tried to investigate which factors of teamwork effectiveness have a positive relationship with teamwork performance and the sustainability of teams in the future. The subject of the research is the effectiveness of teamwork as a construct that is widely presented in the scientific field of organizational behavior and human resource management, but is still underexplored in empirical research, especially in the banking sector. An investigation with a self-audit questionnaire on teamwork effectiveness was conducted on a sample of 401 employees in the banking sector in Serbia, in 16 out of the 26 existing banks in the country. The authors used SmartPLS software in order to test the questionnaire (indicator loadings, internal consistency reliability, convergent validity, and discriminant validity) and proposed research question (PLS-SEM). The results showed that factors such as innovative behavior of the team members, the quality of teamwork, and teamwork synergy have positive relations to teamwork performance. This paper contributes to the better understanding of the factors of teamwork effectiveness that contribute to team performances, with respect to the banking industry in Serbia. The limitation of the paper is the size of the sample, with respect to the total population.</t>
  </si>
  <si>
    <t>[Berber, Nemanja; Slavic, Agnes; Aleksic, Marko] Univ Novi Sad, Fac Econ Subotica, Subotica 24000, Serbia</t>
  </si>
  <si>
    <t>University of Novi Sad</t>
  </si>
  <si>
    <t>Aleksic, M (corresponding author), Univ Novi Sad, Fac Econ Subotica, Subotica 24000, Serbia.</t>
  </si>
  <si>
    <t>nemanja.berber@ef.uns.ac.rs; agnes.slavic@ef.uns.ac.rs; marko.aleksic@ef.uns.ac.rs</t>
  </si>
  <si>
    <t>Berber, Nemanja/C-8235-2018; Slavić, Agneš/AAM-3260-2020; Slavic, Agnes/ABB-9227-2021</t>
  </si>
  <si>
    <t>Berber, Nemanja/0000-0002-1433-6416; Slavić, Agneš/0000-0001-8730-9884; Aleksic, Marko/0000-0002-4488-4472</t>
  </si>
  <si>
    <t>10.3390/su12208753</t>
  </si>
  <si>
    <t>OI1YT</t>
  </si>
  <si>
    <t>WOS:000583083600001</t>
  </si>
  <si>
    <t>Tian, J; Peng, Y; Zhou, X</t>
  </si>
  <si>
    <t>Tian, Jian; Peng, Yan; Zhou, Xing</t>
  </si>
  <si>
    <t>The Effects of Abusive Supervision and Motivational Preference on Employees' Innovative Behavior</t>
  </si>
  <si>
    <t>abusive supervision; creative self-efficacy; motivational preference; employees&amp;#8217; innovative behavior</t>
  </si>
  <si>
    <t>CREATIVE SELF-EFFICACY; ORGANIZATIONAL CITIZENSHIP BEHAVIOR; SOCIAL COGNITIVE THEORY; TRANSFORMATIONAL LEADERSHIP; ETHICAL LEADERSHIP; WORK; PERFORMANCE; CONSEQUENCES; ANTECEDENTS; PERSPECTIVE</t>
  </si>
  <si>
    <t>Individual innovative behavior has an important relationship with the sustainable development of an organization. Thus, mostly drawing on social cognitive theory, this study examined the relationship between abusive supervision and employees' innovative behavior, focusing on the mediating role of creative self-efficacy and the moderating role of motivational preference. In an analysis of time-lagged data from three technological, innovation-based enterprises in Shenzhen, this study found that abusive supervision was negatively related to employees' innovative behavior and that this relationship was mediated by creative self-efficacy. Moreover, motivational preference was found to moderate this relationship as well as that between abusive supervision and creative self-efficacy. Employees with higher levels of motivational preference (i.e., intrinsic motivational preference weighs more than extrinsic motivational preference) are more vulnerable to abusive supervision, causing lower creative self-efficacy performance and less innovative behavior. Alternately, employees with lower levels of motivational preference (i.e., extrinsic motivational preference weighs more than intrinsic motivational preference) are less vulnerable to abusive supervision, thus resulting in a weaker negative relationship between abusive supervision and their creative self-efficacy and innovative behavior.</t>
  </si>
  <si>
    <t>[Tian, Jian; Peng, Yan; Zhou, Xing] Xiamen Univ, Sch Management, 422 Siming South Rd, Xiamen 361005, Peoples R China</t>
  </si>
  <si>
    <t>Xiamen University</t>
  </si>
  <si>
    <t>Peng, Y (corresponding author), Xiamen Univ, Sch Management, 422 Siming South Rd, Xiamen 361005, Peoples R China.</t>
  </si>
  <si>
    <t>17820171150654@stu.xmu.edu.cn; 17820180155002@stu.xmu.edu.cn; xzhou@xmu.edu.cn</t>
  </si>
  <si>
    <t>Peng, Yan/0000-0003-3670-7916</t>
  </si>
  <si>
    <t>Fundamental Research Funds for the Central Universities of Xiamen University [20720201060]</t>
  </si>
  <si>
    <t>Fundamental Research Funds for the Central Universities of Xiamen University(Fundamental Research Funds for the Central Universities)</t>
  </si>
  <si>
    <t>This research was funded by [Fundamental Research Funds for the Central Universities of Xiamen University] grant number [No. 20720201060].</t>
  </si>
  <si>
    <t>10.3390/su12208510</t>
  </si>
  <si>
    <t>OI2VL</t>
  </si>
  <si>
    <t>WOS:000583142700001</t>
  </si>
  <si>
    <t>Workgroup accord and change-oriented behavior in public service organizations: Mediating and contextual factors</t>
  </si>
  <si>
    <t>public service; motivation; change-oriented behavior; workgroup accord; commitment</t>
  </si>
  <si>
    <t>COMMON SOURCE BIAS; WORK GROUP; TRANSFORMATIONAL LEADERSHIP; PERFORMANCE MANAGEMENT; CITIZENSHIP BEHAVIOR; INNOVATIVE BEHAVIOR; TASK CONFLICT; COMMITMENT; CREATIVITY; IDENTIFICATION</t>
  </si>
  <si>
    <t>Workgroup relationships are characterized by interdependence and intensity and can produce powerful norms that shape how work is performed. This study focuses on the effect of workgroup accord, defined as positive exchange, cooperation, and consensus among workgroup members, on change-oriented behavior in public service organizations. Change-oriented behavior denotes discretionary corrective or creative initiatives on the part of employees, and workgroup accord is hypothesized to increase change-oriented behavior both directly and indirectly via organizational commitment. The theoretical model is operationalized using survey data collected from employees of the Australian Public Service. The results of regression analysis are consistent with the hypothesis that workgroup accord positively influences organizational commitment, which in turn facilitates change-oriented behavior. However, a negative direct effect renders the total effect of workgroup accord on change-oriented behavior non-significant. Additionally, the findings suggest that innovation climate and employee performance agreement efficacy each positively moderate the negative relationship between workgroup accord and change-oriented behavior.</t>
  </si>
  <si>
    <t>Campbell, Jesse W/O-8019-2015</t>
  </si>
  <si>
    <t>This work was supported by an Incheon National University Research Grant in 2016.</t>
  </si>
  <si>
    <t>PII S1833367218000421</t>
  </si>
  <si>
    <t>10.1017/jmo.2018.42</t>
  </si>
  <si>
    <t>OC7CX</t>
  </si>
  <si>
    <t>WOS:000579314400005</t>
  </si>
  <si>
    <t>Ding, H; Yu, EH; Li, YB</t>
  </si>
  <si>
    <t>Ding, He; Yu, Enhai; Li, Yanbin</t>
  </si>
  <si>
    <t>Core self-evaluation, perceived organizational support for strengths use and job performance: Testing a mediation model</t>
  </si>
  <si>
    <t>Core self-evaluation; Perceived organizational support for strengths use; Task performance; Innovative behavior</t>
  </si>
  <si>
    <t>TASK-PERFORMANCE; INNOVATIVE BEHAVIOR; LIFE SATISFACTION; SOCIAL SUPPORT; WORK; PERCEPTIONS; WORKPLACE; PERSONALITY; EFFICACY; ORIENTATION</t>
  </si>
  <si>
    <t>The purpose of this study was to investigate the relationship between core self-evaluation (CSE) and innovative behavior and the mediating role of perceived organizational support for strengths use (POS for strengths use) in the associations of CSE with job performance, particularly, task performance and employee innovative behavior. A three-wave survey research design was applied to collect data from 157 full-time employees working in various organizations in China. Structural equation modelling was employed to examine our predictions. Results demonstrated that CSE has a positive effect on innovative behavior. More importantly, POS for strengths use significantly and partially mediated the associations of CSE with task performance and innovative behavior. This study contributes to unlocking the black box in the relationships between CSE and task performance and innovative behavior by investigating the mediating role of POS for strengths use in these relationships.</t>
  </si>
  <si>
    <t>[Ding, He; Yu, Enhai; Li, Yanbin] North China Elect Power Univ, Sch Econ &amp; Management, 2 Beinong Rd, Beijing, Peoples R China</t>
  </si>
  <si>
    <t>Yu, EH (corresponding author), North China Elect Power Univ, Sch Econ &amp; Management, 2 Beinong Rd, Beijing, Peoples R China.</t>
  </si>
  <si>
    <t>10.1007/s12144-020-01029-z</t>
  </si>
  <si>
    <t>WOS:000563607900002</t>
  </si>
  <si>
    <t>De Clercq, D; Azeem, MU; Ul Haq, I</t>
  </si>
  <si>
    <t>De Clercq, Dirk; Azeem, Muhammad Umer; Ul Haq, Inam</t>
  </si>
  <si>
    <t>If the organization is a mess, do employees explain or exploit the situation?</t>
  </si>
  <si>
    <t>Dissatisfaction with the organizational status quo; Problem-focused voice behavior; Job performance; Machiavellianism; Conservation of resources theory</t>
  </si>
  <si>
    <t>COUNTERPRODUCTIVE WORK BEHAVIOR; EXTRA-ROLE BEHAVIORS; VOICE BEHAVIOR; INNOVATIVE BEHAVIOR; JOB-SATISFACTION; DARK TRIAD; EMOTIONAL EXHAUSTION; PROHIBITIVE VOICE; MACHIAVELLIANISM; PERFORMANCE</t>
  </si>
  <si>
    <t>Purpose This study investigates the connection between employees' dissatisfaction with the organizational status quo and their job performance, with a particular focus on the mediating role of their problem-focused voice behavior - through which they pinpoint possible causes of organizational problem situations - and the moderating role of their Machiavellianism. Design/methodology/approach Three-wave survey data were collected from employees and their supervisors in Pakistani organizations. Findings An important reason that employees' beliefs about organizational underperformance spur their own performance, as rated by supervisors, is that they spend significant energy expressing their concerns about shortcomings. The mediating role of such constructive voice behaviors is mitigated though, to the extent that employees have stronger Machiavellian tendencies. Practical implications For human resource managers, the findings reveal problem-focused voice as a key mechanism by which employees' negative perceptions about how well their organization fares can be channeled into higher job performance. They also elucidate how this process is less likely among employees who are self-centered and less concerned about their organization' well-being, such that they hold back pertinent information about organizational failures from others. Originality/value The study pinpoints problem-focused voice as an unexplored behavioral response by which employees' beliefs about organizational underperformance can enhance their job performance. It also details how the tendency of Machiavellian employees to stay away from such voice activities may backfire in the form of lower performance evaluations.</t>
  </si>
  <si>
    <t>[De Clercq, Dirk] Brock Univ, Goodman Sch Business, St Catharines, ON, Canada; [Azeem, Muhammad Umer] Univ Management &amp; Technol, Sch Business &amp; Econ, Lahore, Pakistan; [Ul Haq, Inam] Monash Univ, Sch Business, Bandar Sunway, Malaysia</t>
  </si>
  <si>
    <t>Brock University; University of Management &amp; Technology (UMT); Monash University; Monash University Sunway</t>
  </si>
  <si>
    <t>Ul Haq, I (corresponding author), Monash Univ, Sch Business, Bandar Sunway, Malaysia.</t>
  </si>
  <si>
    <t>ddeclercq@brocku.ca; umer.azeem@umt.edu.pk; inamulhaq27@gmail.com</t>
  </si>
  <si>
    <t>10.1108/PR-11-2019-0600</t>
  </si>
  <si>
    <t>WOS:000558294600001</t>
  </si>
  <si>
    <t>Taylor, C; Ivcevic, Z; Moeller, J; Brackett, M</t>
  </si>
  <si>
    <t>Taylor, Christa; Ivcevic, Zorana; Moeller, Julia; Brackett, Marc</t>
  </si>
  <si>
    <t>Gender and support for creativity at work</t>
  </si>
  <si>
    <t>creativity; gender; innovation; occupation</t>
  </si>
  <si>
    <t>INNOVATIVE BEHAVIOR; SELF-EFFICACY; STEREOTYPES; SEX; SEGREGATION; ENVIRONMENT; FEMALE; MODEL</t>
  </si>
  <si>
    <t>Although innovation is vital for the success of organizations, many may not be capitalizing on the creativity of all workers. Gender bias in attributions of creativity may lead to an imbalance in the extent to which organizations support the creativity of men and women. Because organizational support for creativity is positively associated with creative outcomes, this may undermine the creativity of women in the workplace. To determine if gender influences creative workplace behavior through support for creativity, conditional process models were used to analyze the survey responses and external employment data of workers (N= 14,590) across industries in the US. Our analyses demonstrate that men report greater support for creativity in the workplace than women, and greater support for workplace creativity leads to more frequent creative workplace behaviors. The proportion of women employed in an industry influences this relationship, such that differences between men and women become smaller as the proportion of women in an industry increases. However, the level of creativity required in an occupation does not influence the relationship between gender and creativity. The theoretical and practical implications of these results are discussed.</t>
  </si>
  <si>
    <t>[Taylor, Christa; Ivcevic, Zorana; Brackett, Marc] Yale Univ, Yale Ctr Emot Intelligence, New Haven, CT USA; [Moeller, Julia] Univ Leipzig, Psychol, Leipzig, Germany</t>
  </si>
  <si>
    <t>Yale University; Leipzig University</t>
  </si>
  <si>
    <t>Taylor, C (corresponding author), Catholic Univ Louvain, IPSY Pl Cardinal Mercier 10-L3-05-01, B-1348 Louvain La Neuve, Belgium.</t>
  </si>
  <si>
    <t>christa.taylor@uclouvain.be</t>
  </si>
  <si>
    <t>Moeller, Julia/HHN-7489-2022</t>
  </si>
  <si>
    <t>Taylor, Christa/0000-0002-6472-3107; Ivcevic, Zorana/0000-0002-0321-2071</t>
  </si>
  <si>
    <t>Faas Foundation</t>
  </si>
  <si>
    <t>We would like to thank Arielle White and Ling Dong for their work during data collection. This research was supported by the Faas Foundation.</t>
  </si>
  <si>
    <t>10.1111/caim.12397</t>
  </si>
  <si>
    <t>WOS:000545144800001</t>
  </si>
  <si>
    <t>Brunetto, Y; Xerri, M; Farr-Wharton, B</t>
  </si>
  <si>
    <t>Brunetto, Yvonne; Xerri, Matthew; Farr-Wharton, Benjamin</t>
  </si>
  <si>
    <t>Comparing the role of personal and organisational support on the innovative behaviour of frontline healthcare workers in Australia and the United States</t>
  </si>
  <si>
    <t>discretionary power; individual support; organisational support; professionals; psychological capital; SLBs; work harassment and bullying</t>
  </si>
  <si>
    <t>MEMBER EXCHANGE LMX; WORKPLACE RELATIONSHIPS; PUBLIC-SECTOR; IMPACT; MANAGEMENT; ENGAGEMENT; EMPLOYEES; EMOTIONS; OUTCOMES; NURSES</t>
  </si>
  <si>
    <t>This paper empirically uses a street-level bureaucrat (SLB) lens to compare the impact of personal and organisational support on the innovative behaviour of frontline healthcare workers in Australia and the United States. Survey data came from the 260 U.S. and 220 Australian respondents. The structural equation model shows that organisational (i.e. manager-subordinate relationships) and personal supports (i.e. psychological capital [PsyCap]) significantly influence the innovative behaviour of frontline SLBs in health care. Further, the mediation results show that reciprocal social exchanges provide the foundations for facilitating the growth of healthcare workers' PsyCap, which then gives them the resilience to be innovative in the workplace. The U.S. respondents perceived stronger organisational support and consequently had a better platform for building PsyCap - providing better work conditions for facilitating innovative behaviour to bourgeon. The paper adds to SLB theory concerning the influence of two variables on SLBs' innovative behaviour, in addition to a meaningful comparison of the U.S. and Australian healthcare workers. If governments and organisations want innovative workers, then the policies must be based on empirical evidence that shows the impact on all stakeholders, including SLBs, because otherwise, irrespective of policy directives, the outcome is low levels of employee wellbeing (which likely results in limited innovative activity).</t>
  </si>
  <si>
    <t>[Brunetto, Yvonne] Southern Cross Univ, Sch Business &amp; Tourism, Gold Coast Campus, Bilinga, Qld, Australia; [Xerri, Matthew] Griffith Univ, Southport, Qld, Australia; [Farr-Wharton, Benjamin] Edith Cowan Univ, Dept Business, Joondalup, WA, Australia</t>
  </si>
  <si>
    <t>Southern Cross University; Griffith University; Edith Cowan University</t>
  </si>
  <si>
    <t>Brunetto, Y (corresponding author), Southern Cross Univ, Gold Coast, Qld, Australia.</t>
  </si>
  <si>
    <t>Wesley Mission, Queensland</t>
  </si>
  <si>
    <t>Please note that the majority of Australian data collection was funded by Wesley Mission, Queensland.</t>
  </si>
  <si>
    <t>10.1111/1467-8500.12414</t>
  </si>
  <si>
    <t>WOS:000562311900001</t>
  </si>
  <si>
    <t>Luo, SW; Wang, J; Tong, DYK</t>
  </si>
  <si>
    <t>Luo, Shiwen; Wang, Jie; Tong, David Yoon Kin</t>
  </si>
  <si>
    <t>Does Power Distance Necessarily Hinder Individual Innovation? A Moderated-Mediation Model</t>
  </si>
  <si>
    <t>power distance; individual innovation behavior; task characteristics; voice behavior</t>
  </si>
  <si>
    <t>EMPLOYEE INNOVATION; CROSS-LEVEL; ORGANIZATIONAL CULTURE; BEHAVIOR; PERFORMANCE; CREATIVITY; LEADERSHIP; VOICE; ORIENTATION; PERSPECTIVE</t>
  </si>
  <si>
    <t>Individual innovation behavior is the driving force for enterprise sustainable development and can be affected by many factors, among which power distance is important. To explore the mediating mechanism and boundary conditions of power distance on individual innovation behavior, this paper constructed a moderated mediation model with task characteristics as the moderator and voice behavior as the mediator from the two-dimensional perspective of individual innovation behavior (innovative idea generation and implementation). Responses to 336 valid questionnaires from 133 technological innovation enterprises in China revealed that power distance has a negative effect on innovative idea generation, but a positive effect on innovative idea implementation. In this process, task characteristics only play a moderating effect in the relationship between power distance and innovative idea implementation, but fail to moderate the relationship between power distance and innovative idea generation. In addition, it was found that voice behavior mediates the relationship between power distance and individual innovation behavior. This study provides useful insight on the mechanism of organizational culture on individual innovation behavior, and suggests leaders take effective measures to improve the enterprise sustainable development ability.</t>
  </si>
  <si>
    <t>[Luo, Shiwen; Wang, Jie] Zhejiang Tech Inst Econ, Sch Shangmao Liutong, Hangzhou 310018, Peoples R China; [Tong, David Yoon Kin] Int Univ Malaya Wales, IUMW Business Sch, Jalan Tun Ismail, Kuala Lumpur 50480, Malaysia</t>
  </si>
  <si>
    <t>Universiti Malaya</t>
  </si>
  <si>
    <t>Wang, J (corresponding author), Zhejiang Tech Inst Econ, Sch Shangmao Liutong, Hangzhou 310018, Peoples R China.</t>
  </si>
  <si>
    <t>990184@zjtie.edu.cn; 1202000334@pop.zjgsu.edu.cn; davidtong@iumw.edu.my</t>
  </si>
  <si>
    <t>Tong, David/AAG-1514-2021; Tong, David Yoon Kin/A-1299-2010</t>
  </si>
  <si>
    <t>JIE, WANG/0000-0002-3024-1193; Tong, David Yoon Kin/0000-0003-4868-7270</t>
  </si>
  <si>
    <t>Zhejiang Technical Institute of Economics [JKY2019016, JKY2019006]; National Natural Science Foundation of China [71902042]; Humanities and Social Sciences Project of Ministry of Education [18YJA910002]; Key Project of Philosophy and Social Sciences in Zhejiang Province [19NDJC027Z]</t>
  </si>
  <si>
    <t>Zhejiang Technical Institute of Economics; National Natural Science Foundation of China(National Natural Science Foundation of China (NSFC)); Humanities and Social Sciences Project of Ministry of Education; Key Project of Philosophy and Social Sciences in Zhejiang Province</t>
  </si>
  <si>
    <t>This work was supported by the research fund of Zhejiang Technical Institute of Economics (JKY2019016, JKY2019006), National Natural Science Foundation of China (71902042), Humanities and Social Sciences Project of Ministry of Education (18YJA910002) and the Key Project of Philosophy and Social Sciences in Zhejiang Province (19NDJC027Z).</t>
  </si>
  <si>
    <t>10.3390/su12062526</t>
  </si>
  <si>
    <t>LA1YW</t>
  </si>
  <si>
    <t>WOS:000523751400373</t>
  </si>
  <si>
    <t>Su, FG; Zhang, J</t>
  </si>
  <si>
    <t>Su, Fangguo; Zhang, Jin</t>
  </si>
  <si>
    <t>Proactive personality and innovative behavior: A moderated mediation model</t>
  </si>
  <si>
    <t>proactive personality; feedback seeking; academic self-efficacy; innovative behavior; graduate students</t>
  </si>
  <si>
    <t>FEEDBACK-SEEKING; SELF-EFFICACY; EMPLOYEE CREATIVITY; WORK; EXCHANGE</t>
  </si>
  <si>
    <t>A 2 time-point survey was used to examine the mediating mechanism and boundary conditions through which proactive personality affects graduate students' innovative behavior. Results revealed that a proactive personality positively affected the innovative behavior of the students; feedback seeking mediated the influence of proactive personality on innovative behavior, and academic self-efficacy moderated the relationship between proactive personality and innovative behavior through feedback seeking. Namely, when graduate students' academic self-efficacy is high, for those with a proactive personality there is a stronger positive influence on their innovative behavior through feedback seeking. When graduate students' academic self-efficacy is low, a proactive personality has a weaker positive impact on their innovative behavior through feedback seeking. In this study we have, therefore, established a new mediating mechanism and boundary conditions through which proactive personality influences innovative behavior and have expanded existing innovation theory. Finally, we proposed management recommendations for ways to enhance and increase graduate students' innovative behavior.</t>
  </si>
  <si>
    <t>[Su, Fangguo] Shenzhen Univ, Coll Management, Shenzhen, Peoples R China; [Zhang, Jin] Cent South Univ, Business Sch, 932 Lushan South Rd, Changsha 210093, Peoples R China</t>
  </si>
  <si>
    <t>Shenzhen University; Central South University</t>
  </si>
  <si>
    <t>Zhang, J (corresponding author), Cent South Univ, Business Sch, 932 Lushan South Rd, Changsha 210093, Peoples R China.</t>
  </si>
  <si>
    <t>zhangjino131@126.com</t>
  </si>
  <si>
    <t>National Natural Science Foundation of China [71772128]; Science Foundation of the Ministry of Education of China [15YJA630056]</t>
  </si>
  <si>
    <t>National Natural Science Foundation of China(National Natural Science Foundation of China (NSFC)); Science Foundation of the Ministry of Education of China(Ministry of Education, China)</t>
  </si>
  <si>
    <t>This work was supported by the National Natural Science Foundation of China (71772128) and the Science Foundation of the Ministry of Education of China (15YJA630056).</t>
  </si>
  <si>
    <t>e8622</t>
  </si>
  <si>
    <t>10.2224/sbp.8622</t>
  </si>
  <si>
    <t>KU4YW</t>
  </si>
  <si>
    <t>WOS:000519717800005</t>
  </si>
  <si>
    <t>Kong, H; Chiu, WCK; Leung, HKW</t>
  </si>
  <si>
    <t>Kong, Hao; Chiu, Warren C. K.; Leung, Humphrey K. W.</t>
  </si>
  <si>
    <t>Building creative self-efficacy via learning goal orientation, creativity job requirement, and team learning behavior: The key to employee creativity</t>
  </si>
  <si>
    <t>AUSTRALIAN JOURNAL OF MANAGEMENT</t>
  </si>
  <si>
    <t>Creative self-efficacy; creativity as a job requirement; employee creativity; learning goal orientation; team learning behavior</t>
  </si>
  <si>
    <t>TRANSFORMATIONAL LEADERSHIP; INNOVATIVE BEHAVIOR; MEDIATING ROLE; WORK; PERFORMANCE; DETERMINANTS; WORKPLACE; CONTEXT; ABILITY; NEED</t>
  </si>
  <si>
    <t>This study examined the antecedents of an individual's creative self-efficacy (CSE) using a sample of 41 semiconductor design teams. Drawing from social cognitive theory, we expected that a dynamic interaction of an individual's learning goal orientation, creativity as a job requirement, and team learning behavior would build CSE. In addition, employing the combinational perspective, we conjectured that consistency among the three antecedents would enhance CSE, and subsequently, creative performance. As predicted, results showed that effects of learning goal orientation and job requirement on CSE were subject to other members' learning behavior. A significant three-way interaction supported the position that individual-contextual congruence facilitates the development of CSE, while incongruence of these factors impedes such development. Implications for theory and human resource practices are discussed in light of these findings. JEL Classification: M54, O32</t>
  </si>
  <si>
    <t>[Kong, Hao] Hang Seng Management Coll, Dept Management, Sha Tin, Hong Kong, Peoples R China; [Chiu, Warren C. K.] Hong Kong Polytech Univ, SPEED, Kowloon, Hong Kong, Peoples R China; [Leung, Humphrey K. W.] Growgreen Ltd, Sha Tin, Hong Kong, Peoples R China</t>
  </si>
  <si>
    <t>Hang Seng University of Hong Kong; Hong Kong Polytechnic University</t>
  </si>
  <si>
    <t>Kong, H (corresponding author), Hang Seng Management Coll, Dept Management, Sha Tin, Hong Kong, Peoples R China.</t>
  </si>
  <si>
    <t>hkong@hsmc.edu.hk</t>
  </si>
  <si>
    <t>Chiu, Chi Kwan Warren/0000-0002-6579-5188</t>
  </si>
  <si>
    <t>0312-8962</t>
  </si>
  <si>
    <t>1327-2020</t>
  </si>
  <si>
    <t>AUST J MANAGE</t>
  </si>
  <si>
    <t>Aust. J. Manag.</t>
  </si>
  <si>
    <t>10.1177/0312896218792957</t>
  </si>
  <si>
    <t>IE7QS</t>
  </si>
  <si>
    <t>WOS:000472569600005</t>
  </si>
  <si>
    <t>Di Fabio, A; Duradoni, M</t>
  </si>
  <si>
    <t>Di Fabio, Annamaria; Duradoni, Mirko</t>
  </si>
  <si>
    <t>Intrapreneurial Self-Capital: A Primary Preventive Resource for Twenty-First Century Entrepreneurial Contexts</t>
  </si>
  <si>
    <t>intrapreneurial self-capital; entrepreneurial context; primary prevention; employability; career decision making; innovative behavior; well-being</t>
  </si>
  <si>
    <t>PERCEIVED EMPLOYABILITY; POSITIVE PSYCHOLOGY; INNOVATION; VALIDATION; EFFICACY; ORGANIZATIONS; QUESTIONNAIRE; INTELLIGENCE; PERSONALITY; INSTRUMENT</t>
  </si>
  <si>
    <t>This article discusses the role of intrapreneurial self-capital (ISC) as a possible primary preventive resource to effectively deal with the complexity of the current entrepreneurial environment. The article deepens both the similarities and differences between ISC and psychological capital and thus proceeds to present the most recent empirical evidence that connects ISC to (1) employability and career decision making, (2) innovative behavior, and (3) well-being. The possibilities for further research and interventions are additionally discussed.</t>
  </si>
  <si>
    <t>[Di Fabio, Annamaria] Univ Florence, Dept Educ Languages Intercultures Literatures &amp; P, Psychol Sect, Florence, Italy; [Duradoni, Mirko] Univ Florence, Dept Informat Engn, Florence, Italy</t>
  </si>
  <si>
    <t>Di Fabio, A (corresponding author), Univ Florence, Dept Educ Languages Intercultures Literatures &amp; P, Psychol Sect, Florence, Italy.</t>
  </si>
  <si>
    <t>adifabior@psico.unifi.it</t>
  </si>
  <si>
    <t>MAY 8</t>
  </si>
  <si>
    <t>10.3389/fpsyg.2019.01060</t>
  </si>
  <si>
    <t>HX5NJ</t>
  </si>
  <si>
    <t>WOS:000467447900001</t>
  </si>
  <si>
    <t>Role ambiguity and perceptions of unfair performance appraisals: mitigating roles of personal resources</t>
  </si>
  <si>
    <t>attribution theory; conservation of resources theory; Islamic work ethic; organization-specific experience; role ambiguity; unfairness</t>
  </si>
  <si>
    <t>ORGANIZATIONAL JUSTICE; ROLE-CONFLICT; AFFECTIVE COMMITMENT; TURNOVER INTENTIONS; INNOVATIVE BEHAVIOR; MEDIATING ROLE; SELF-EFFICACY; ANTECEDENTS; STRESS; CONSEQUENCES</t>
  </si>
  <si>
    <t>Drawing from conservation of resources theory and attribution theory, this study adds to human resource literature by investigating the relationship between role ambiguity and employees' beliefs that their performance is unfairly evaluated by their organization, as well as the buffering roles of relevant personal resources. In particular, the presence of unclear role descriptions may spur perceptions of unfair performance appraisals, but this process should be mitigated by organization-specific experience and Islamic work values. Data from Pakistani firms offer empirical support for these hypothesized effects. From a practical perspective, the findings indicate that human resource managers who fail to provide clear role descriptions to employees can mitigate accompanying concerns about the presence of unfair performance evaluations, to the extent that they encourage employees to leverage valuable personal resources.</t>
  </si>
  <si>
    <t>[De Clercq, Dirk] Brock Univ, Goodman Sch Business, Management, St Catharines, ON, Canada; [Ul Haq, Inam] Riphah Int Univ, Fac Management Sci, Lahore, Pakistan; [Azeem, Muhammad Umer] Univ Management &amp; Technol, Sch Business &amp; Econ, Lahore, Pakistan; [Ul Haq, Inam] Univ Lahore, Lahore, Pakistan</t>
  </si>
  <si>
    <t>Brock University; University of Management &amp; Technology (UMT); University of Lahore</t>
  </si>
  <si>
    <t>Azeem, Muhammad Umer/Y-3510-2019; Ul Haq, Inam/P-9121-2019</t>
  </si>
  <si>
    <t>Azeem, Muhammad Umer/0000-0002-1649-8099; Ul Haq, Inam/0000-0002-9027-3103; De Clercq, Dirk/0000-0003-1476-2965</t>
  </si>
  <si>
    <t>10.1111/1744-7941.12178</t>
  </si>
  <si>
    <t>HX9PG</t>
  </si>
  <si>
    <t>WOS:000467739800002</t>
  </si>
  <si>
    <t>Qian, YM; Wang, MJ; Zou, Y; Jin, RY; Yuan, RJ; Wang, QG</t>
  </si>
  <si>
    <t>Qian, Yingmiao; Wang, Mengjun; Zou, Yang; Jin, Ruoyu; Yuan, Ruijia; Wang, Qinge</t>
  </si>
  <si>
    <t>Understanding the Double-Level Influence of Guanxi on Construction Innovation in China: The Mediating Role of Interpersonal Knowledge Sharing and the Cross-Level Moderating Role of Inter-Organizational Relationships</t>
  </si>
  <si>
    <t>inter-personal relationships; construction innovation; knowledge sharing; inter-organizational relationships</t>
  </si>
  <si>
    <t>SOCIAL-EXCHANGE THEORY; COLLABORATIVE RELATIONSHIPS; ORGANIZATIONAL DYNAMICS; INDIVIDUAL INNOVATION; 3RD-PARTY LOGISTICS; PERFORMANCE; NETWORKS; TRUST; COMMITMENT; IMPACT</t>
  </si>
  <si>
    <t>Guanxi, a Chinese term that defines social networks of power and benefits, can be divided into inter-personal and inter-organizational relationships. Guanxi significantly influences construction innovation in China. Many studies have examined the relationship between guanxi and construction innovation at the project or organizational level. However, few of these studies explain how guanxi might affect an individual's innovative behaviour from a double-level perspective. This paper builds on social capital theory and social exchange theory to examine guanxi's role in motivating innovative behaviour in a China-specific construction context. It investigates the main effects of inter-personal relationships on innovative behaviour, the mediating effects of knowledge sharing, and the cross-level moderating effects of inter-organizational relationships. These elements were tested using a survey that received 178 responses from 35 different organizations. The results were analysed using Hierarchical Linear Modelling (HLM) and revealed that inter-personal relationships have positive influences on innovative behaviour, thus highlighting the partial mediating effects of knowledge sharing. In addition, the analyses showed that inter-organizational relationships augment inter-personal relationships and knowledge sharing on innovative behaviour by cross-level interaction. The research findings enhance an understanding of guanxi and innovative behaviour in China-specific construction project settings, as well as verifying the significance of guanxi in stimulating innovative behaviour.</t>
  </si>
  <si>
    <t>[Qian, Yingmiao; Wang, Mengjun; Yuan, Ruijia; Wang, Qinge] Cent S Univ, Sch Civil Engn, Changsha 410075, Hunan, Peoples R China; [Qian, Yingmiao; Zou, Yang; Yuan, Ruijia] Univ Auckland, Dept Civil &amp; Environm Engn, Auckland 1010, New Zealand; [Jin, Ruoyu] Univ Brighton, Dept Built Environm, Brighton BN2 4AT, E Sussex, England</t>
  </si>
  <si>
    <t>Central South University; University of Auckland; University of Brighton</t>
  </si>
  <si>
    <t>Wang, MJ (corresponding author), Cent S Univ, Sch Civil Engn, Changsha 410075, Hunan, Peoples R China.</t>
  </si>
  <si>
    <t>154801047@csu.edu.cn; Wmjcs@163.com; yang.zou@auckland.ac.nz; rj.yuan@csu.edu.cn; R.Jin@brighton.ac.uk; wqecsu@126.com</t>
  </si>
  <si>
    <t>Jin, Ruoyu/K-6433-2019; Zou, Yang/HLQ-0796-2023; Jin, Ruoyu/A-8520-2017</t>
  </si>
  <si>
    <t>Zou, Yang/0000-0001-6150-6126; Jin, Ruoyu/0000-0003-0360-6967</t>
  </si>
  <si>
    <t>overseas Study Project in Central South University</t>
  </si>
  <si>
    <t>This study is supported by overseas Study Project in Central South University (2018).</t>
  </si>
  <si>
    <t>10.3390/su11061657</t>
  </si>
  <si>
    <t>Green Submitted, Green Accepted, gold, Green Published</t>
  </si>
  <si>
    <t>WOS:000465613000112</t>
  </si>
  <si>
    <t>Salas-Vallina, A; Ferrer-Franco, A; Guerrero, RF</t>
  </si>
  <si>
    <t>Salas-Vallina, Andres; Ferrer-Franco, Anna; Fernandez Guerrero, Rafael</t>
  </si>
  <si>
    <t>Altruistic leadership and affiliative humor's role on service innovation: Lessons from Spanish public hospitals</t>
  </si>
  <si>
    <t>INTERNATIONAL JOURNAL OF HEALTH PLANNING AND MANAGEMENT</t>
  </si>
  <si>
    <t>altruism; altruistic leadership; humor; innovation; innovative behavior</t>
  </si>
  <si>
    <t>CONSTRUCT DEVELOPMENT; FAIRNESS PERCEPTIONS; AGGRESSIVE HUMOR; IMPACT; PERFORMANCE; MANAGERS; BEHAVIOR; MODERATOR; SUPPORT; CLIMATE</t>
  </si>
  <si>
    <t>Despite literature identifies aspects that might promote innovation, the relationship between the leadership style and nurses' innovative behavior still remains unclear, and little research has provided evidence of this. To help advance in knowledge of effects of leadership on nurses' innovative behavior, we researched the effect of altruistic leadership on nurses' innovative behavior. In addition, the mediating role of affiliative humor in the relationship between altruistic leadership and nurses' innovative behavior was examined. Questionnaire survey method was followed with a sample of 324 nurses working in public hospitals in Spain. We used structural equation models, to check the research hypotheses. This research reveals that affiliative humor partially mediates the relationship between altruistic leadership and nurses' innovative behavior. Thus, unselfish leaders are crucial to promoting innovative behaviors among nurses, and affiliative humor plays a fundamental role to explain how altruistic leaders enhance nurses' innovative behavior.</t>
  </si>
  <si>
    <t>[Salas-Vallina, Andres; Fernandez Guerrero, Rafael] Univ Valencia, Fac Econ, Business Management, Av Tarongers S-N, Valencia 46022, Spain; [Ferrer-Franco, Anna] Hosp Univ Doctor Peset, Allergy Dept, Valencia, Spain</t>
  </si>
  <si>
    <t>Salas-Vallina, A (corresponding author), Univ Valencia, Fac Econ, Business Management, Av Tarongers S-N, Valencia 46022, Spain.</t>
  </si>
  <si>
    <t>andres.salas@uv.es</t>
  </si>
  <si>
    <t>Salas-Vallina, Andrés/ABF-3286-2020</t>
  </si>
  <si>
    <t>Salas-Vallina, Andrés/0000-0003-0129-7013</t>
  </si>
  <si>
    <t>0749-6753</t>
  </si>
  <si>
    <t>1099-1751</t>
  </si>
  <si>
    <t>INT J HEALTH PLAN M</t>
  </si>
  <si>
    <t>Int. J. Health Plan. Manag.</t>
  </si>
  <si>
    <t>E861</t>
  </si>
  <si>
    <t>E872</t>
  </si>
  <si>
    <t>10.1002/hpm.2549</t>
  </si>
  <si>
    <t>Health Policy &amp; Services; Public, Environmental &amp; Occupational Health</t>
  </si>
  <si>
    <t>Health Care Sciences &amp; Services; Public, Environmental &amp; Occupational Health</t>
  </si>
  <si>
    <t>GR0QC</t>
  </si>
  <si>
    <t>WOS:000442224700030</t>
  </si>
  <si>
    <t>Piacentino, D; Bono, F; Cracolici, MF; Giuliani, D</t>
  </si>
  <si>
    <t>Piacentino, Davide; Bono, Filippa; Cracolici, Maria Francesca; Giuliani, Diego</t>
  </si>
  <si>
    <t>A spatial analysis of new business formation: Replicative vs innovative behaviour</t>
  </si>
  <si>
    <t>SPATIAL STATISTICS</t>
  </si>
  <si>
    <t>New business formation; Replicative and innovative behaviour; Urbanization; Spatial analysis</t>
  </si>
  <si>
    <t>FIRM FORMATION; REGIONAL-DEVELOPMENT; URBAN; ENTRY; ENTREPRENEURSHIP; SPECIFICATION; DETERMINANTS; ECONOMETRICS; EMPLOYMENT</t>
  </si>
  <si>
    <t>Using spatial econometric tools, the paper examines the spatial structure of new business formation of Italian regions during the period 2004-2007. In particular, the study empirically investigates whether new business formation in a given geographical area may be explained in terms of replicative and/or innovative entrepreneurial behaviour in each area as well as in the neighbouring areas. Additionally, the analysis focuses on the influence of urbanization on the birth of new firms. From the estimation of a Spatial Durbin Model, we find a significant degree of spatial dependence among Italian regions not only in new business formation but also in some of its determinants. We also find that new business formation in Italy can be explained in terms of both replicative and innovative entrepreneurial behaviour, whose effects depend strictly on the degree of urbanization. Specifically, the replicative behaviour of new firms seems to be significantly dependent on the degree of urbanization, i.e. we find positive effects only when regions are lowly urbanized. A similar result is not found for the innovative behaviour, which positively influences new business formation independently on the degree of urbanization. However, when regions are lowly urbanized, some obstacles to new business of innovative nature can be observed. (C) 2017 Elsevier B.V. All rights reserved.</t>
  </si>
  <si>
    <t>[Piacentino, Davide; Bono, Filippa; Cracolici, Maria Francesca] Univ Palermo, Dept Econ Business &amp; Stat, Vle Sci Ed 13, I-90128 Palermo, Italy; [Giuliani, Diego] Univ Trento, Dept Econ &amp; Management, Via Inama 5, I-38122 Trento, Italy</t>
  </si>
  <si>
    <t>University of Palermo; University of Trento</t>
  </si>
  <si>
    <t>Piacentino, D (corresponding author), Univ Palermo, Dept Econ Business &amp; Stat, Vle Sci Ed 13, I-90128 Palermo, Italy.</t>
  </si>
  <si>
    <t>davide.piacentino@unipa.it; filippa.bono@unipa.it; mariafrancesca.cracolici@unipa.it; diego.giuliani@unitn.it</t>
  </si>
  <si>
    <t>PIACENTINO, Davide/0000-0001-6252-1264</t>
  </si>
  <si>
    <t>2211-6753</t>
  </si>
  <si>
    <t>SPAT STAT-NETH</t>
  </si>
  <si>
    <t>Spat. Stat.</t>
  </si>
  <si>
    <t>10.1016/j.spasta.2017.02.004</t>
  </si>
  <si>
    <t>Geosciences, Multidisciplinary; Mathematics, Interdisciplinary Applications; Remote Sensing; Statistics &amp; Probability</t>
  </si>
  <si>
    <t>Geology; Mathematics; Remote Sensing</t>
  </si>
  <si>
    <t>FG8BB</t>
  </si>
  <si>
    <t>WOS:000410649600005</t>
  </si>
  <si>
    <t>Sesen, H; Tabak, A; Arli, O</t>
  </si>
  <si>
    <t>Sesen, Harun; Tabak, Akif; Arli, Ozgur</t>
  </si>
  <si>
    <t>Consequences of Self-Leadership: A Study on Primary School Teachers</t>
  </si>
  <si>
    <t>EDUCATIONAL SCIENCES-THEORY &amp; PRACTICE</t>
  </si>
  <si>
    <t>self-leadership; Job satisfaction; Organizational commitment; Innovation; Self-observation</t>
  </si>
  <si>
    <t>JOB-SATISFACTION; ORGANIZATIONAL COMMITMENT; INNOVATIVE BEHAVIOR; STRATEGIES; EMPLOYEE; TALK; PERFORMANCE; MANAGEMENT; MODEL; IMPLEMENTATION</t>
  </si>
  <si>
    <t>This study explores the consequences of self-leadership on job satisfaction, organizational commitment and innovative behaviors of teachers. For this purpose, a field study was conducted with the data gathered from 440 primary school teachers who work in different cities. To test the research hypotheses, correlation and regression analysis were conducted. Results showed that self-leadership behaviors had significant effects on job satisfaction, organizational commitment and innovation. Findings revealed that self-reward and self-punishment strategies had no effect on dependent variables while self-observation and focusing thoughts on natural rewards had the strongest impacts. Also, it was found that some of the demographic variables had effects on some of the factors.</t>
  </si>
  <si>
    <t>[Sesen, Harun] European Univ Lefke, Fac Econ &amp; Adm Sci, TR-10 Gemikonagi, Mersin, Turkey; [Tabak, Akif] Izmir Katip Celebi Univ, Fac Econ &amp; Adm Sci, Izmir, Turkey; [Arli, Ozgur] Turkish Army, Ankara, Turkey</t>
  </si>
  <si>
    <t>Lefke Avrupa University; Izmir Katip Celebi University; Uludag University</t>
  </si>
  <si>
    <t>Sesen, H (corresponding author), European Univ Lefke, Fac Econ &amp; Adm Sci, TR-10 Gemikonagi, Mersin, Turkey.</t>
  </si>
  <si>
    <t>hsesen@eul.edu.tr; akif.tabak@ikc.edu.tr; ozgurarli1212@hotmail.com</t>
  </si>
  <si>
    <t>sesen, Harun/AAJ-1475-2020</t>
  </si>
  <si>
    <t>sesen, Harun/0000-0002-7068-2487; Arli, Ozgur/0000-0002-6490-619X</t>
  </si>
  <si>
    <t>EDAM</t>
  </si>
  <si>
    <t>ISTANBUL</t>
  </si>
  <si>
    <t>KISIKLI MH ALEMDAG CD YAN YOL SK, SBK IS MERKEZI NO 5, KAT 1 USKUDAR, ISTANBUL, 81190, TURKEY</t>
  </si>
  <si>
    <t>2630-5984</t>
  </si>
  <si>
    <t>2148-7561</t>
  </si>
  <si>
    <t>EDUC SCI-THEOR PRACT</t>
  </si>
  <si>
    <t>Educ. Sci.-Theory Pract.</t>
  </si>
  <si>
    <t>10.12738/estp.2017.3.0520</t>
  </si>
  <si>
    <t>FB2EI</t>
  </si>
  <si>
    <t>WOS:000405956500011</t>
  </si>
  <si>
    <t>Silva, PES; Godinho, MH</t>
  </si>
  <si>
    <t>Santos Silva, Pedro Emanuel; Godinho, Maria Helena</t>
  </si>
  <si>
    <t>Helical Microfilaments with Alternating Imprinted Intrinsic Curvatures</t>
  </si>
  <si>
    <t>MACROMOLECULAR RAPID COMMUNICATIONS</t>
  </si>
  <si>
    <t>electrospinning; helices; intrinsic curvature; urethane/urea elastic microfilaments</t>
  </si>
  <si>
    <t>TENDRIL PERVERSION; ELECTROSPUN NANOFIBERS; MOLECULAR-DYNAMICS; SELF-BURIAL; DNA; PROTEINS; MOTILITY; DRIVEN; SEEDS</t>
  </si>
  <si>
    <t>There has been an intense research for developing techniques that can produce filaments with helical shapes, given the widespread of potential applications. In this work, how helices with different curvatures can be precisely imprinted in microfilaments is shown. It is also shown that using this technique, it is possible to produce, in a single fiber, helices with different curvatures. This striking and innovative behavior is observed when one side of the stretched filaments is irradiated with UV light, modifying the mechanical properties at surface. Upon release, the regions with higher curvature start to curl first, while regions with lower intrinsic curvature remain stretched until start to curl later. The results presented here can be important to understand why structures adopt a helical shape in general, which can be of interest in nanotechnology, biomolecular science, or even to understand why plant filaments curl.</t>
  </si>
  <si>
    <t>[Santos Silva, Pedro Emanuel] Univ Aveiro, Dept Fis I3N, Univ Santiago, P-3810193 Aveiro, Portugal; [Godinho, Maria Helena] Univ Nova Lisboa, Fac Ciencias Tecnol, CENIMAT I3N, Dept Ciencias Mat, P-1200 Lisbon, Portugal</t>
  </si>
  <si>
    <t>Universidade de Aveiro; Universidade Nova de Lisboa</t>
  </si>
  <si>
    <t>Godinho, MH (corresponding author), Univ Nova Lisboa, Fac Ciencias Tecnol, CENIMAT I3N, Dept Ciencias Mat, P-1200 Lisbon, Portugal.</t>
  </si>
  <si>
    <t>mhg@fct.unl.pt</t>
  </si>
  <si>
    <t>Godinho, Maria/IAM-8991-2023; Godinho, Maria/J-3679-2013; Silva, P.E.S./F-4918-2016</t>
  </si>
  <si>
    <t>Godinho, Maria/0000-0002-9760-5983; Silva, P.E.S./0000-0002-8783-8740</t>
  </si>
  <si>
    <t>Portuguese Science and Technology Foundation (FCT) [UID/CTM/50025/2013 (LA0025)]; FCT [SFRH/BD/76369/2011]</t>
  </si>
  <si>
    <t>Portuguese Science and Technology Foundation (FCT)(Fundacao para a Ciencia e a Tecnologia (FCT)); FCT(Fundacao para a Ciencia e a Tecnologia (FCT))</t>
  </si>
  <si>
    <t>The authors gratefully acknowledge Portuguese Science and Technology Foundation (FCT) for supporting this research through contracts UID/CTM/50025/2013 (LA0025). P.E.S.S. acknowledges FCT for grant SFRH/BD/76369/2011. M.H.G. acknowledges PTDC/CTM-BIO/6178/2014. The authors are thankful to Fernao Vistulo de Abreu for important discussions and to the reviewers for their helpful comments.</t>
  </si>
  <si>
    <t>WILEY-V C H VERLAG GMBH</t>
  </si>
  <si>
    <t>WEINHEIM</t>
  </si>
  <si>
    <t>POSTFACH 101161, 69451 WEINHEIM, GERMANY</t>
  </si>
  <si>
    <t>1022-1336</t>
  </si>
  <si>
    <t>1521-3927</t>
  </si>
  <si>
    <t>MACROMOL RAPID COMM</t>
  </si>
  <si>
    <t>Macromol. Rapid Commun.</t>
  </si>
  <si>
    <t>10.1002/marc.201600700</t>
  </si>
  <si>
    <t>Polymer Science</t>
  </si>
  <si>
    <t>EM6BP</t>
  </si>
  <si>
    <t>WOS:000395398100005</t>
  </si>
  <si>
    <t>Ferguson, DM; Jablokow, KW; Ohland, MW; Purzer, S</t>
  </si>
  <si>
    <t>Ferguson, Daniel M.; Jablokow, Kathryn W.; Ohland, Matthew W.; Purzer, Senay</t>
  </si>
  <si>
    <t>Identifying the Characteristics of Engineering Innovativeness</t>
  </si>
  <si>
    <t>ENGINEERING STUDIES</t>
  </si>
  <si>
    <t>Engineers; innovation; innovators; innovative</t>
  </si>
  <si>
    <t>COMPETENCES; MODEL</t>
  </si>
  <si>
    <t>The use of science and engineering skills to address the novel challenges of modern society through innovative solutions is regarded as an essential strategy around the world. Many of the studies on innovators, however, are not specific to engineers. To address this gap, this study explored engineers' views of innovation and the attributes of engineers who create, develop, and implement innovations through in-depth interviews with expert engineering innovators. The study was set in an interpretivist framework and developed a socially constructed description of engineering innovativeness. Forty-five US-based expert engineering innovators were interviewed; these interviews were coded using a grounded-theory approach until categorical saturation was achieved. The results include the identification of 20 characteristics of engineering innovativeness, as well as an engineer's definition' of an innovation and several general descriptors of non-innovative' engineers. The significance of this study comes from its use of detailed qualitative data gathered from peer-recognized innovative engineers from industry, entrepreneurial ventures, and academia to identify and define characteristics of engineering innovativeness in particular. The identification of these characteristics has implications for the training and development of engineers, for engineering team formation and management, and for programs, policies, and interventions aimed at supporting innovative behavior by engineers.</t>
  </si>
  <si>
    <t>[Ferguson, Daniel M.; Ohland, Matthew W.; Purzer, Senay] Purdue Univ, Sch Engn Educ, W Lafayette, IN 47907 USA; [Jablokow, Kathryn W.] Penn State Univ, Sch Grad Profess Studies, Malvern, PA USA</t>
  </si>
  <si>
    <t>Purdue University System; Purdue University; Purdue University West Lafayette Campus; Pennsylvania Commonwealth System of Higher Education (PCSHE); Pennsylvania State University</t>
  </si>
  <si>
    <t>dfergus@purdue.edu</t>
  </si>
  <si>
    <t>Purzer, Senay/AFP-4041-2022</t>
  </si>
  <si>
    <t>Purzer, Senay/0000-0003-0784-6079; Ohland, Matthew/0000-0003-4052-1452</t>
  </si>
  <si>
    <t>National Science Foundation [1264901, 1264769]; Directorate For Engineering; Div Of Engineering Education and Centers [1264769] Funding Source: National Science Foundation; Div Of Engineering Education and Centers; Directorate For Engineering [1264901] Funding Source: National Science Foundation</t>
  </si>
  <si>
    <t>National Science Foundation(National Science Foundation (NSF)); Directorate For Engineering; Div Of Engineering Education and Centers(National Science Foundation (NSF)NSF - Directorate for Engineering (ENG)); Div Of Engineering Education and Centers; Directorate For Engineering(National Science Foundation (NSF)NSF - Directorate for Engineering (ENG))</t>
  </si>
  <si>
    <t>The authors gratefully acknowledge the support of the National Science Foundation (Collaborative Research: Identifying and Assessing Key Factors of Engineering Innovativeness) [EEC (REE) grants 1264901 and 1264769] in completing this work.</t>
  </si>
  <si>
    <t>1937-8629</t>
  </si>
  <si>
    <t>1940-8374</t>
  </si>
  <si>
    <t>ENG STUD</t>
  </si>
  <si>
    <t>Eng. Stud.</t>
  </si>
  <si>
    <t>10.1080/19378629.2017.1312419</t>
  </si>
  <si>
    <t>Education, Scientific Disciplines; Engineering, Multidisciplinary; History &amp; Philosophy Of Science</t>
  </si>
  <si>
    <t>Education &amp; Educational Research; Engineering; History &amp; Philosophy of Science</t>
  </si>
  <si>
    <t>EV0VV</t>
  </si>
  <si>
    <t>WOS:000401465300004</t>
  </si>
  <si>
    <t>Froehlich, JK; Hoegl, M; Weiss, M</t>
  </si>
  <si>
    <t>Froehlich, Julia K.; Hoegl, Martin; Weiss, Matthias</t>
  </si>
  <si>
    <t>Thematic Thinking and Individual Performance in Research and Development</t>
  </si>
  <si>
    <t>POLITICAL SKILL; DEVELOPMENT PROFESSIONALS; JOB-PERFORMANCE; COGNITIVE-STYLE; WORK CONTEXT; SIMILARITY; CREATIVITY; KNOWLEDGE; INDIA; PROMOTABILITY</t>
  </si>
  <si>
    <t>Individuals differ in their preference for processing information on the basis of taxonomic, feature-based similarity, or thematic, relation-based similarity. These differences, which have been investigated in a recently emerging research stream in cognitive psychology, affect innovative behavior and thus constitute an important antecedent of individual performance in research and development (R&amp;D) that has been overlooked so far in the literature on innovation management. To fill this research gap, survey and test data from the employees of a multinational information technology services firm are used to examine the relationship between thematic thinking and R&amp;D professionals' individual performance. A moderated mediation model is applied to investigate the proposed relationships of thematic thinking and individual-level performance indicators. Results show a positive relationship between thematic thinking and innovativeness, as well as individual job performance. While the results do not support the postulated moderation of the innovativeness-job performance relationship by employees' political skill, they show that the relationship between thematic thinking and job performance is fully mediated by R&amp;D professionals' innovativeness. The present study is thus the first to reveal a positive relationship between thematic thinking and innovative performance.</t>
  </si>
  <si>
    <t>[Froehlich, Julia K.] Univ Bern, Inst Org &amp; Human Resource Management, CH-3012 Bern, Switzerland; [Froehlich, Julia K.; Hoegl, Martin; Weiss, Matthias] Univ Munich, Inst Leadership &amp; Org, Munich, Germany; [Froehlich, Julia K.] WHU Otto Beisheim Sch Management, Chair Leadership &amp; Human Resource Management, Vallendar, Germany; [Hoegl, Martin] Washington State Univ, Pullman, WA 99164 USA; [Hoegl, Martin] Bocconi Univ, Milan, Italy; [Hoegl, Martin] WHU, Vallendar, Germany; [Weiss, Matthias] WHU Otto Beisheim Sch Management, Vallendar, Germany</t>
  </si>
  <si>
    <t>University of Bern; University of Munich; WHU - Otto Beisheim School of Management; Washington State University; Bocconi University; WHU - Otto Beisheim School of Management; WHU - Otto Beisheim School of Management</t>
  </si>
  <si>
    <t>Froehlich, JK (corresponding author), Univ Bern, Inst Org &amp; HRM, Dept HRM, Fac Business Econ &amp; Social Sci, Engehaldenstr 4, CH-3012 Bern, Switzerland.</t>
  </si>
  <si>
    <t>julia.froehlich@iop.unibe.ch</t>
  </si>
  <si>
    <t>Weiss, Matthias/0000-0003-0447-760X; de Groote, Julia K./0000-0002-2457-3562</t>
  </si>
  <si>
    <t>10.1111/jpim.12210</t>
  </si>
  <si>
    <t>CT0PT</t>
  </si>
  <si>
    <t>WOS:000362499400007</t>
  </si>
  <si>
    <t>Cousins, SD</t>
  </si>
  <si>
    <t>Cousins, Steven D.</t>
  </si>
  <si>
    <t>The semiotic coevolution of mind and culture</t>
  </si>
  <si>
    <t>CULTURE &amp; PSYCHOLOGY</t>
  </si>
  <si>
    <t>Incompleteness thesis; Baldwin effect; niche construction; symbolic reference; Acheulian handaxe; Evolutionary Psychology; semiotic coevolution; informational coevolution</t>
  </si>
  <si>
    <t>PREFRONTAL CORTEX; LANGUAGE-ACQUISITION; NICHE CONSTRUCTION; STONE TOOLS; EVOLUTION; SPEECH; HUMANS; GENES; ORGANIZATION; TECHNOLOGY</t>
  </si>
  <si>
    <t>The incompleteness thesis in cultural anthropology holds that the human mind is incomplete apart from culture, based on the rationale that the human brain and culture developed in interaction with each other, or coevolved.'' In evolutionary biology this process is known as the Baldwin effect, a form of natural selection in which individuals' innovative behavior creates novel selection pressures leading to genetic support or assimilation of that behavior. While the nature of these selection pressures is still controversial, as reflected in recent evolutionary accounts of language and tools, the Baldwin effect does not imply that evolution left the mind unfinished'' or rule out the possibility of psychic unity. Two basic approaches to the coevolution of mind and culture can be distinguished, according to how the human-made niche is defined. Informational coevolution is based on the idea that cultural artifacts and practices consist of information, such that the coevolutionary process produces cognitive mechanisms for acquiring and manipulating such information. Semiotic coevolution is based on the idea that culture consists of the meaning-making activity of the individuals who partake in it, such that the coevolutionary process produces the capacity to generate and experience such meaning. Although Evolutionary Psychology reflects the informational approach, the semiotic approach fits better with basic evolutionary principles.</t>
  </si>
  <si>
    <t>[Cousins, Steven D.] Rikkyo Univ, Coll Intercultural Commun, Tokyo 1718501, Japan</t>
  </si>
  <si>
    <t>Rikkyo University</t>
  </si>
  <si>
    <t>Cousins, SD (corresponding author), Rikkyo Univ, Coll Intercultural Commun, Toshima Ku, 3-34-1 Nishi Ikebukuro, Tokyo 1718501, Japan.</t>
  </si>
  <si>
    <t>cousins@rikkyo.ne.jp</t>
  </si>
  <si>
    <t>1354-067X</t>
  </si>
  <si>
    <t>1461-7056</t>
  </si>
  <si>
    <t>CULT PSYCHOL</t>
  </si>
  <si>
    <t>Cult. Psychol.</t>
  </si>
  <si>
    <t>10.1177/1354067X14532331</t>
  </si>
  <si>
    <t>AJ5CN</t>
  </si>
  <si>
    <t>WOS:000337699000002</t>
  </si>
  <si>
    <t>Segarra-Ona, M; Peiro-Signes, A; Miret-Pastor, L; Albors-Garrigos, J</t>
  </si>
  <si>
    <t>Segarra-Ona, M.; Peiro-Signes, A.; Miret-Pastor, L.; Albors-Garrigos, J.</t>
  </si>
  <si>
    <t>Eco-innovation an evolution of innovation? Empirical analysis at the Spanish tile ceramic industry</t>
  </si>
  <si>
    <t>BOLETIN DE LA SOCIEDAD ESPANOLA DE CERAMICA Y VIDRIO</t>
  </si>
  <si>
    <t>Spanish</t>
  </si>
  <si>
    <t>Eco-innovation; environment; ceramic industry</t>
  </si>
  <si>
    <t>ENVIRONMENTAL INNOVATIONS; PRODUCT INNOVATION; MODERATING FACTORS; PANEL-DATA; MANAGEMENT; PERFORMANCE; SYSTEMS; DETERMINANTS; TECHNOLOGY; BUSINESSES</t>
  </si>
  <si>
    <t>Innovation and sustainable development are considered to be economic drivers and crucial in fixing competitive position of companies. Eco-innovation, known as a synergic relation among both concepts must be an element to consider when designing the company's strategy. The objective of this paper is to analyze which are the variables that determine that innovative companies go beyond and consider the improvement of their environmental impact as an output when developing innovating activities. This research considers firms belonging to the Spanish tile industry. Data has beeen provided by PITEC Database. The paper identifies the moderating factors that influence the eco-innovative behavior of firms.</t>
  </si>
  <si>
    <t>[Segarra-Ona, M.; Peiro-Signes, A.; Albors-Garrigos, J.] Univ Politecn Valencia, Dept Org Empresas, Escuela Tecn Super Ingn Ind, Valencia, Spain; [Miret-Pastor, L.] Univ Politecn Valencia, Dept Econ &amp; Ciencias Sociales, Escuela Politecn Super Gandia, Valencia, Spain</t>
  </si>
  <si>
    <t>Segarra-Ona, M (corresponding author), Univ Politecn Valencia, Dept Org Empresas, Escuela Tecn Super Ingn Ind, Valencia, Spain.</t>
  </si>
  <si>
    <t>Miret-Pastor, Luis/H-6940-2015; Segarra-Oña, Marival/K-8235-2014; albors-garrigos, jose/P-6837-2015; Peiro-Signes, Angel/K-8328-2014</t>
  </si>
  <si>
    <t>Miret-Pastor, Luis/0000-0002-9644-0021; Segarra-Oña, Marival/0000-0001-9674-9056; albors-garrigos, jose/0000-0003-3669-879X; Peiro-Signes, Angel/0000-0002-1549-6972</t>
  </si>
  <si>
    <t>0366-3175</t>
  </si>
  <si>
    <t>2173-0431</t>
  </si>
  <si>
    <t>BOL SOC ESP CERAM V</t>
  </si>
  <si>
    <t>Bol. Soc. Esp. Ceram. Vidr.</t>
  </si>
  <si>
    <t>10.3989/cyv.332011</t>
  </si>
  <si>
    <t>Materials Science, Ceramics</t>
  </si>
  <si>
    <t>Materials Science</t>
  </si>
  <si>
    <t>848XM</t>
  </si>
  <si>
    <t>Green Submitted, Green Published, Bronze</t>
  </si>
  <si>
    <t>WOS:000297088400006</t>
  </si>
  <si>
    <t>Athreye, SS; Keeble, D</t>
  </si>
  <si>
    <t>Sources of increasing returns and regional innovation in the UK</t>
  </si>
  <si>
    <t>increasing returns and growth; specialized markets; public R&amp;D; innovation by firms; regional innovation; regional development</t>
  </si>
  <si>
    <t>BUSINESS SERVICE FIRMS; UNITED-KINGDOM; SOUTH EAST; BRITAIN; GROWTH; COMPETITIVENESS; CREATION; SCOTLAND; ENGLAND</t>
  </si>
  <si>
    <t>This empirical paper investigates the impact of different sources of increasing returns on firm innovative behaviour in different regions of the UK. Of the different sources of increasing returns, the impact of intermediation and the emergence of specialized markets on the probability of innovation is of particular interest to this analysis. The existing literature on regional development in the UK strongly suggests that the South East has many features that may characterize an economy growing with a greater division of labour. These are less evident in the Industrial Heartland region of northern England. Other influences on innovation such as the impact of regional public R&amp;D and dynamic economies to scale due to learning within a firm are also considered.</t>
  </si>
  <si>
    <t>Open Univ, Fac Social Sci, Econ Discipline, Milton Keynes MK7 6AA, Bucks, England; Univ Cambridge, Dept Geog, Ctr Business Res, ESRC, Cambridge CB2 3EN, England</t>
  </si>
  <si>
    <t>Open University - UK; RLUK- Research Libraries UK; University of Cambridge; UK Research &amp; Innovation (UKRI); Economic &amp; Social Research Council (ESRC)</t>
  </si>
  <si>
    <t>Athreye, SS (corresponding author), Open Univ, Fac Social Sci, Econ Discipline, Walton Hall, Milton Keynes MK7 6AA, Bucks, England.</t>
  </si>
  <si>
    <t>Athreye, Suma/0000-0002-2230-9688</t>
  </si>
  <si>
    <t>10.1080/00343400220131124</t>
  </si>
  <si>
    <t>550MU</t>
  </si>
  <si>
    <t>WOS:000175507500003</t>
  </si>
  <si>
    <t>Tylecote, A; Cho, YD; Zhang, W</t>
  </si>
  <si>
    <t>National technological styles explained in terms of stakeholding patterns, enfranchisement and cultural differences: Britain and Japan</t>
  </si>
  <si>
    <t>The process of technological innovation poses three challenges to a financial system: novelty, visibility, and appropriability. Its capacity to cope with these challenges is a function of which groups/organizations are stakeholders in innovation and to what extent; and in what way and to what extent they are enfranchised. I;ron this point of view, the British and Japanese financial systems differ very sharply. So do British and Japanese culture, in relevant ways. The steel, fine chemicals and pharmaceuticals industries show the effects of these differences in practice. The importance of novelty, visibility and appropriability differs among them, as does the value of certain culturally-influenced features of innovative behaviour. Steel (and even more so engineering into which the Japanese steel companies have diversified) appears well suited to Japanese characteristics, with fine chemicals and pharmaceuticals well suited to British characteristics. This accounts well for the two countries' comparative advantage in these al ear, in technology and trade.</t>
  </si>
  <si>
    <t>Univ Sheffield, Sch Management, Sheffield S1 4DT, S Yorkshire, England; Sch E Asian Studies, Sheffield S1 4DT, S Yorkshire, England</t>
  </si>
  <si>
    <t>N8 Research Partnership; RLUK- Research Libraries UK; White Rose University Consortium; University of Sheffield</t>
  </si>
  <si>
    <t>Tylecote, A (corresponding author), Univ Sheffield, Sch Management, 9 Mappin St, Sheffield S1 4DT, S Yorkshire, England.</t>
  </si>
  <si>
    <t>10.1080/09537329808524325</t>
  </si>
  <si>
    <t>146GE</t>
  </si>
  <si>
    <t>WOS:000077420300003</t>
  </si>
  <si>
    <t>Calderini, M; Cantamessa, M</t>
  </si>
  <si>
    <t>Innovation paths in product development: An empirical research</t>
  </si>
  <si>
    <t>INTERNATIONAL JOURNAL OF PRODUCTION ECONOMICS</t>
  </si>
  <si>
    <t>product development; innovation</t>
  </si>
  <si>
    <t>The paper presents the results of a research which investigated the dynamics of technological change and organisational structure in discrete-parts manufacturing firms located in the industrial area surrounding Turin, in north-western Italy. The field study focused on a micro-level analysis of the impact of innovation in product development practices on small and medium enterprises. Specifically, the paper shows that exogenous determinants of innovation, computer-aided technologies, design methodologies and organisational structures interact in a fairly complex fashion and adapt themselves to a changing competitive environment. Eventually, in order to provide an aggregate view of the phenomena, a causal model of innovative behaviour in product design is proposed.</t>
  </si>
  <si>
    <t>Calderini, M (corresponding author), POLITECN TORINO, DIPARTIMENTO SISTEMI PROD &amp; ECON AZIENDA, CORSO DUCA ABRUZI 24, I-10129 TURIN, ITALY.</t>
  </si>
  <si>
    <t>CANTAMESSA, Marco/0000-0002-3518-8619</t>
  </si>
  <si>
    <t>0925-5273</t>
  </si>
  <si>
    <t>INT J PROD ECON</t>
  </si>
  <si>
    <t>Int. J. Prod. Econ.</t>
  </si>
  <si>
    <t>AUG 15</t>
  </si>
  <si>
    <t>10.1016/S0925-5273(97)00076-5</t>
  </si>
  <si>
    <t>Engineering, Industrial; Engineering, Manufacturing; Operations Research &amp; Management Science</t>
  </si>
  <si>
    <t>Engineering; Operations Research &amp; Management Science</t>
  </si>
  <si>
    <t>XV922</t>
  </si>
  <si>
    <t>WOS:A1997XV92200002</t>
  </si>
  <si>
    <t>Eghbali, MA; Rasti-Barzoki, M; Safarzadeh, S</t>
  </si>
  <si>
    <t>Eghbali, Mohammad-Ali; Rasti-Barzoki, Morteza; Safarzadeh, Soroush</t>
  </si>
  <si>
    <t>A hybrid evolutionary game-theoretic and system dynamics approach for analysis of implementation strategies of green technological innovation under government intervention</t>
  </si>
  <si>
    <t>Green technological innovation; Technological firms; Green startups; Evolutionary game theory (EGT); System dynamics (SD)</t>
  </si>
  <si>
    <t>IMPACT; PERFORMANCE; INDUSTRY; PRODUCT; FORCES</t>
  </si>
  <si>
    <t>Green technological innovation (GTI) is accompanied by a high level of risk and cost. Therefore, choosing the optimal strategy for its implementation has attracted the attention of decision-makers. In this regard, technological firms have two strategies: collaboration with green startups and performing independent green R&amp;D. This paper analyzes the impact of maturity level and innovation level of green startups, as well as the competitive intensity between technological firms on their evolutionary behavior. For this purpose, an evolutionary game model was developed, and the impact of government static and dynamic intervention on the firms' innovative behavior was investigated by the system dynamics. There are six possible stable equilibrium points. The results suggest that when the government adopts static intervention, at the same time, reducing the maturity level and increasing the innovation level of the green startups decreases technological firms' desire to collaborate with them. When the government adopts dynamic intervention, then it would be more desirable for the technological firms to collaborate with green startups. If a technological firm can increase its product sales compared to the competitor, this change will affect the evolution trend of the system. Increasing sale amounts by a technological firm leads to more own stability rate, decreasing it for its competitor.</t>
  </si>
  <si>
    <t>[Eghbali, Mohammad-Ali; Rasti-Barzoki, Morteza] Isfahan Univ Technol, Dept Ind &amp; Syst Engn, Esfahan 8415683111, Iran; [Safarzadeh, Soroush] Quchan Univ Technol, Dept Ind Engn, Quchan, Iran</t>
  </si>
  <si>
    <t>Isfahan University of Technology</t>
  </si>
  <si>
    <t>Rasti-Barzoki, M (corresponding author), Isfahan Univ Technol, Dept Ind &amp; Syst Engn, Esfahan 8415683111, Iran.;Safarzadeh, S (corresponding author), Quchan Univ Technol, Dept Ind Engn, Quchan, Iran.</t>
  </si>
  <si>
    <t>ma.eghbali@in.iut.ac.ir; rasti@snu.ac.kr; s.safarzadeh@qiet.ac.ir</t>
  </si>
  <si>
    <t>Safarzadeh, Soroush/D-4085-2018; Rasti-Barzoki, Morteza/F-7472-2017</t>
  </si>
  <si>
    <t>Safarzadeh, Soroush/0000-0003-2477-525X; Rasti-Barzoki, Morteza/0000-0002-6979-4123; Eghbali, Mohammad-Ali/0000-0002-0943-3107</t>
  </si>
  <si>
    <t>10.1016/j.techsoc.2022.102039</t>
  </si>
  <si>
    <t>2X3DE</t>
  </si>
  <si>
    <t>WOS:000825087400011</t>
  </si>
  <si>
    <t>Zhu, YF; Liu, JL; Lin, S; Liang, KX</t>
  </si>
  <si>
    <t>Zhu, Yifan; Liu, Jinlan; Lin, Sheng; Liang, Kexin</t>
  </si>
  <si>
    <t>Unlock the potential of regional innovation environment: The promotion of innovative behavior from the career perspective</t>
  </si>
  <si>
    <t>Scientific workers; Regional innovation environment; Career satisfaction; Innovative behavior; Need for achievement; Importance-performance map analysis</t>
  </si>
  <si>
    <t>INDIVIDUAL INNOVATION; PERFORMANCE; SATISFACTION; CLIMATE; PREDICTORS; PLS; UNIVERSITIES; DETERMINANTS; ORIENTATION; ACHIEVEMENT</t>
  </si>
  <si>
    <t>This study conducts an empirical analysis on the relationship between the regional innovation environment (RIE) and scientific workers' innovative behavior. Additionally, it examines the role of career satisfaction and the need for achievement in the relationship between RIE and innovative behavior. A questionnaire is used to elicit responses from a sample of 4,007 scientific workers in China. The data are analyzed on the SmartPLS software using a structural equation model. The results show a positive and significant effect of RIE on innovative behavior, while career satisfaction plays a partial mediating role in the relationship. The need for achievement serves as a moderator between career satisfaction and innovative behavior, such that the relationship is stronger for scientific workers with less need for achievement. Additionally, an importance -performance map analysis of RIE is conducted; the results suggest that three of the RIE aspects (industry university-research cooperation, policy on entrepreneurship, and policy on talents) are in urgent need of improvement. The study aims to understand RIE more fully and shed light on the relationships between RIE, career satisfaction, need for achievement, and scientific workers' innovative behavior and to obtain valuable information for designing strategies aimed at creating a favorable RIE for stimulating scientific workers' innovation. (c) 2022 The Authors. Published by Elsevier Espana, S.L.U. on behalf of Journal of Innovation &amp; Knowledge. This is an open access article under the CC BY-NC-ND license (http://creativecommons.org/licenses/by-nc-nd/4.0/)</t>
  </si>
  <si>
    <t>[Zhu, Yifan; Liu, Jinlan; Lin, Sheng; Liang, Kexin] Tianjin Univ, Coll Management &amp; Econ, Tianjin 300072, Peoples R China; [Liu, Jinlan] Tianjin Univ Finance &amp; Econ, Tianjin 300221, Peoples R China; [Lin, Sheng] 92 Weijin Rd,Nankai Dist, Tianjin 300072, Peoples R China</t>
  </si>
  <si>
    <t>Tianjin University; Tianjin University of Finance &amp; Economics</t>
  </si>
  <si>
    <t>Lin, S (corresponding author), Tianjin Univ, Coll Management &amp; Econ, Tianjin 300072, Peoples R China.;Lin, S (corresponding author), 92 Weijin Rd,Nankai Dist, Tianjin 300072, Peoples R China.</t>
  </si>
  <si>
    <t>linsheng@tju.edu.cn</t>
  </si>
  <si>
    <t>Zhu, Yifan/GXH-6179-2022</t>
  </si>
  <si>
    <t>Survey of Science and Technology Workers in Tianjin [2020GZX-0028]</t>
  </si>
  <si>
    <t>Survey of Science and Technology Workers in Tianjin</t>
  </si>
  <si>
    <t>Authors gratefully acknowledge financial support from the research project Survey of Science and Technology Workers in Tianjin, project no.2020GZX-0028</t>
  </si>
  <si>
    <t>10.1016/j.jik.2022.100206</t>
  </si>
  <si>
    <t>MAY 2022</t>
  </si>
  <si>
    <t>1Y8AP</t>
  </si>
  <si>
    <t>WOS:000808361200003</t>
  </si>
  <si>
    <t>Wang, ZN; Cui, T; Cai, SH; Ren, S</t>
  </si>
  <si>
    <t>Wang, Zhining; Cui, Tao; Cai, Shaohan; Ren, Shuang</t>
  </si>
  <si>
    <t>How and when high-involvement work practices influence employee innovative behavior</t>
  </si>
  <si>
    <t>HIWPs; Self-reflection; Self-rumination; TMS; Employee innovative behavior</t>
  </si>
  <si>
    <t>TRANSACTIVE MEMORY-SYSTEMS; MEDIATING ROLE; POSITIVE MOOD; CREATIVITY; REFLECTION; MULTILEVEL; PERFORMANCE; LEADERSHIP; CLIMATE; EMPOWERMENT</t>
  </si>
  <si>
    <t>Purpose Based on social information processing (SIP) theory, this study explores the cross-level effect of high-involvement work practices (HIWPs) on employee innovative behavior by studying the mediating role of self-reflection/rumination and the moderating role of transactive memory system (TMS). Design/methodology/approach This study collects data from 452 employees and their direct supervisors in 94 work units, and tests a cross-level moderated mediation model using multilevel path analysis. Findings The results suggest that HIWPs significantly contribute to employee innovative behavior. Both self-reflection and self-rumination mediate the above relationship. TMS not only positively moderates the relationship between HIWPs and self-reflection, but also reinforces the linkage of HIWPs. -&gt; self-reflection -&gt; employee innovative behavior. Furthermore, TMS negatively moderates the relationship between HIWPs and self-rumination, and attenuates the mediating effect of self-rumination. Practical implications The study suggests that enterprises should invest more in promoting HIWPs and TMS in the workplace. Furthermore, managers should provide employees training programs to enhance their self-reflection, as well as lower self-rumination, in order to facilitate employee innovative behavior. Originality/value This research identifies self-reflection and self-rumination as key mediators that link HIWPs to employee innovative behavior and reveals the moderating role of TMS in the process.</t>
  </si>
  <si>
    <t>[Wang, Zhining; Cui, Tao] China Univ Min &amp; Technol, Sch Econ &amp; Management, Xuzhou, Jiangsu, Peoples R China; [Cai, Shaohan] Carleton Univ, Sprott Sch Business, Ottawa, ON, Canada; [Ren, Shuang] Deakin Univ, Deakin Business Sch, Geelong, Vic, Australia</t>
  </si>
  <si>
    <t>China University of Mining &amp; Technology; Carleton University; Deakin University</t>
  </si>
  <si>
    <t>Social science Research Funds of Jiangsu province of China [19GLB014]</t>
  </si>
  <si>
    <t>Social science Research Funds of Jiangsu province of China</t>
  </si>
  <si>
    <t>This research is supported by The Social science Research Funds of Jiangsu province of China (Grant No. 19GLB014).</t>
  </si>
  <si>
    <t>10.1108/IJM-11-2020-0531</t>
  </si>
  <si>
    <t>3P4XZ</t>
  </si>
  <si>
    <t>WOS:000749533300001</t>
  </si>
  <si>
    <t>Peiro-Signes, A; Segarra-Ona, M; Trull-Dominguez, O; Sanchez-Planelles, J</t>
  </si>
  <si>
    <t>Peiro-Signes, Angel; Segarra-Ona, Marival; Trull-Dominguez, Oscar; Sanchez-Planelles, Joaquin</t>
  </si>
  <si>
    <t>Exposing the ideal combination of endogenous-exogenous drivers for companies' ecoinnovative orientation: Results from machine-learning methods</t>
  </si>
  <si>
    <t>SOCIO-ECONOMIC PLANNING SCIENCES</t>
  </si>
  <si>
    <t>Eco-innovation; Drivers; Innovative firms; Machine learning</t>
  </si>
  <si>
    <t>INNOVATION EMPIRICAL-EVIDENCE; ECO-INNOVATION; ENVIRONMENTAL INNOVATION; ECONOMETRIC-ANALYSIS; FEATURE-SELECTION; DETERMINANTS; FIRMS; PERFORMANCE; MANAGEMENT; INSIGHTS</t>
  </si>
  <si>
    <t>This study provides an XGBoost model to characterize the environmental orientation of innovative firms. This novel approach, using state-of-the-art machine learning methodologies and multiple recognized drivers of ecoinnovation, provides solid empirical support for the understanding of the mechanisms that are crucial for firms' transition to a low-carbon economy. Although many drivers have been considered to affect firms' ecoinnovation, our feature selection process using the BorutaShap algorithm demonstrates that few aspects are truly relevant. Furthermore, analyzing a tree surrogate of the final model, our study explores the different paths or combinations of aspects that consistently lead to a specific eco-innovation orientation. The accuracy of the model and the large and complete spectrum of innovative companies in the sample contribute to the generalizability of the results. This study is particularly relevant because the main drivers of firms' eco-innovative orientation depend on their innovative behavior, indicating that the managerial and policy work has to be directed to raising awareness of the different externalities derived from innovation. On one side, policy regulations should continue to pressure firms with environmental standards. On the other side, managers can stimulate the creation of a corporate innovative culture oriented toward improving operational efficiency (reducing unnecessary costs), improving the workplace environment, and focusing on new customer demands, which, in essence, will guide the organization to be more environmentally and socially responsible.</t>
  </si>
  <si>
    <t>[Peiro-Signes, Angel; Segarra-Ona, Marival] Univ Politecn Valencia, Management Dept, 7D Bldg,Camino Vera,S-N, E-46022 Valencia, Spain; [Trull-Dominguez, Oscar] Univ Politecn Valencia, Dept Appl Stat &amp; Operat Res &amp; Qual, 7A Bldg,Camino Vera,S-N, E-46022 Valencia, Spain; [Sanchez-Planelles, Joaquin] Univ Politecn Valencia, PhD Sch, Management Program, 2E Bldg,Camino Vera,S-N, E-46022 Valencia, Spain</t>
  </si>
  <si>
    <t>Universitat Politecnica de Valencia; Universitat Politecnica de Valencia; Universitat Politecnica de Valencia</t>
  </si>
  <si>
    <t>Peiro-Signes, A (corresponding author), Univ Politecn Valencia, Management Dept, 7D Bldg,Camino Vera,S-N, E-46022 Valencia, Spain.</t>
  </si>
  <si>
    <t>anpeisig@omp.upv.es; maseo@omp.upv.es; otrull@eio.upv.es; joasanpl@ade.upv.es</t>
  </si>
  <si>
    <t>; Segarra-Ona, Marival/K-8235-2014</t>
  </si>
  <si>
    <t>Sanchez-Planelles, Joaquin/0000-0001-5318-9378; Segarra-Ona, Marival/0000-0001-9674-9056; Trull, Oscar/0000-0003-2896-8606</t>
  </si>
  <si>
    <t>0038-0121</t>
  </si>
  <si>
    <t>1873-6041</t>
  </si>
  <si>
    <t>SOCIO-ECON PLAN SCI</t>
  </si>
  <si>
    <t>Socio-Econ. Plan. Sci.</t>
  </si>
  <si>
    <t>10.1016/j.seps.2021.101145</t>
  </si>
  <si>
    <t>Economics; Management; Operations Research &amp; Management Science</t>
  </si>
  <si>
    <t>YL7NO</t>
  </si>
  <si>
    <t>WOS:000746075600006</t>
  </si>
  <si>
    <t>Dar, N; Ahmad, S; Rahman, W</t>
  </si>
  <si>
    <t>Dar, Nasib; Ahmad, Saima; Rahman, Wali</t>
  </si>
  <si>
    <t>How and when overqualification improves innovative work behaviour: the roles of creative self-confidence and psychological safety</t>
  </si>
  <si>
    <t>Perceived overqualification; Innovative behaviour; Creative self-confidence; Psychological safety</t>
  </si>
  <si>
    <t>PERSON-ENVIRONMENT FIT; PERCEIVED OVERQUALIFICATION; TRANSFORMATIONAL LEADERSHIP; INDIVIDUAL INNOVATION; EMPLOYEE CREATIVITY; MODERATING ROLE; MEDIATING ROLE; JOB-ATTITUDES; SMALL POND; BIG FISH</t>
  </si>
  <si>
    <t>Purpose This paper aims to examine the influence of perceived overqualification on innovative behaviour in the workplace. By integrating self-efficacy and human capital theories, this study proposes that perceived overqualification improves innovative behaviour directly and indirectly by boosting employee creative self-confidence. It further investigates the boundary conditions imposed by perceived psychological safety in this process. Design/methodology/approach The research utilises a quantitative research methodology through a two-wave survey of 335 employees and their 135 leaders. Moderated and mediated regression analyses were used to analyse the research data. Findings The results revealed that perceived overqualification promotes innovative behaviour at work directly and indirectly through its positive influence on creative self-confidence. The mediating effect of creative self-confidence in the relationship between perceived overqualification and innovative behaviour is moderated by perceived psychological safety at work, such that the relationship is stronger in a higher perceived psychological safety condition compared to when it is low. Research limitations/implications This study has theoretical and practical implications for personnel management. From a theoretical perspective, it integrates human capital and self-efficacy theories to explain a mechanism through which perceived overqualification will lead to innovative behaviour in the workplace. From a managerial perspective, it mitigates the stigma associated with an overqualified workforce by suggesting that perceived overqualification can be a source of innovation at work. Originality/value This is the first study that examines the creative self-confidence-based mechanism in the relationship between perceived overqualification and innovative behaviour at work. It also explores the moderating role of psychological safety in this relationship.</t>
  </si>
  <si>
    <t>[Dar, Nasib] Sarhad Univ Sci &amp; Informat Technol, Business Adm, Peshawar, Pakistan; [Ahmad, Saima] RMIT Univ, Grad Sch Business &amp; Law, Melbourne, Vic, Australia; [Rahman, Wali] Sarhad Univ Sci &amp; Informat Technol, Fac Management Sci, Peshawar, Pakistan</t>
  </si>
  <si>
    <t>Ahmad, S (corresponding author), RMIT Univ, Grad Sch Business &amp; Law, Melbourne, Vic, Australia.</t>
  </si>
  <si>
    <t>saima.ahmad@rmit.edu.au</t>
  </si>
  <si>
    <t>Rahman, Wali/0000-0003-2511-2730; Ahmad, Saima/0000-0002-4713-1791; Dar, Nasib/0000-0001-7699-3713</t>
  </si>
  <si>
    <t>DEC 13</t>
  </si>
  <si>
    <t>10.1108/PR-06-2020-0429</t>
  </si>
  <si>
    <t>6Z9UK</t>
  </si>
  <si>
    <t>WOS:000748515000001</t>
  </si>
  <si>
    <t>Wang, XY; Zhang, ZY; Chun, D</t>
  </si>
  <si>
    <t>Wang, Xinyuan; Zhang, Zhenyang; Chun, Dongphil</t>
  </si>
  <si>
    <t>How Does Mobile Workplace Stress Affect Employee Innovative Behavior? The Role of Work-Family Conflict and Employee Engagement</t>
  </si>
  <si>
    <t>mobile workplace stress; work-family conflict; employee engagement; employee innovative behavior</t>
  </si>
  <si>
    <t>HOME INTERFERENCE; PERSONAL ENGAGEMENT; SMARTPHONE USE; PERFORMANCE; RESOURCES; BURNOUT; IMPACT; CONSERVATION; INTEGRATION; FIT</t>
  </si>
  <si>
    <t>The new wave of interest in mobile workplaces is profoundly changing the internal ecology of Chinese companies and creating new stress for employees. To investigate the mechanisms of mobile workplace stress on employee innovative behavior and the role of work-family conflict and employee engagement, we collected 426 valid samples from married male employees in the software and information service industries. The results show that mobile workplace stress has a significant negative effect on employee innovative behavior. In contrast, it has a significant positive effect on work-family conflict and employee engagement. In addition, work-family conflict partially mediates the relationship between mobile workplace stress and employee innovative behavior; employee engagement produces the suppressing effects. The chain intermediary effect of work-family conflict and employee engagement between the mobile workplace and employee innovative behavior is present. When we focus on the high performance of the mobile workplace, we should also pay attention to its impact on the company's ability for innovation.</t>
  </si>
  <si>
    <t>[Wang, Xinyuan] Hulunbuir Univ, Sch Econ &amp; Management, Hulunbuir 021000, Peoples R China; [Wang, Xinyuan; Zhang, Zhenyang; Chun, Dongphil] Pukyong Natl Univ, Grad Sch Management Technol, Busan 48547, South Korea</t>
  </si>
  <si>
    <t>Pukyong National University</t>
  </si>
  <si>
    <t>Zhang, ZY; Chun, D (corresponding author), Pukyong Natl Univ, Grad Sch Management Technol, Busan 48547, South Korea.</t>
  </si>
  <si>
    <t>wangxinyuan@pukyong.ac.kr; zyzhang@pukyong.ac.kr; performance@pknu.ac.kr</t>
  </si>
  <si>
    <t>Wang, Xinyuan/GLT-0640-2022; ZHANG, ZHENYANG/ABG-6996-2021</t>
  </si>
  <si>
    <t>ZHANG, ZHENYANG/0000-0002-3435-796X; Chun, Dongphil/0000-0003-1169-5197</t>
  </si>
  <si>
    <t>10.3390/bs12010002</t>
  </si>
  <si>
    <t>ZD1RC</t>
  </si>
  <si>
    <t>WOS:000757982200001</t>
  </si>
  <si>
    <t>Dong, WL; Zhong, LF</t>
  </si>
  <si>
    <t>Dong, Wenli; Zhong, Lifeng</t>
  </si>
  <si>
    <t>Responsible Leadership Fuels Innovative Behavior: The Mediating Roles of Socially Responsible Human Resource Management and Organizational Pride</t>
  </si>
  <si>
    <t>responsible leadership; innovative behavior; socially responsible HRM; organizational pride; sequential mediation</t>
  </si>
  <si>
    <t>AUTHENTIC LEADERSHIP; MODERATING ROLE; EMPLOYEES; HRM; DETERMINANTS; PERCEPTIONS; PERSPECTIVE; PERFORMANCE</t>
  </si>
  <si>
    <t>Leaders are under increasing pressure to inspire innovative endeavors in responsible ways. However, whether and how responsible leadership can fuel employee innovative behavior remains unknown. Therefore, drawing on social identity theory and social exchange theory, this study aims to investigate the psychological mechanisms underlying the responsible leadership-innovative behavior relationship. Multi-phase data were collected from 280 employees working in Chinese manufacturing firms to test the hypotheses using hierarchical regression analyses and the bootstrap method. The results reveal that responsible leadership is positively related to innovative behavior. Additionally, perceived socially responsible human resource management (HRM) and organizational pride separately and sequentially mediate the responsible leadership-innovative behavior relationship. This study empirically reveals the effectiveness of responsible leadership and sheds new light on the psychological processes through which it facilitates innovative behavior, revealing the generalizability of responsible leadership and innovative behavior in the Chinese context. Moreover, we respond to the call for incorporating leadership theory into HRM research and further advance the existing knowledge on both antecedents and outcomes of socially responsible HRM. For practical guidance, organizations are encouraged to foster innovation through investment in responsible management practices. Research limitations and implications are also discussed.</t>
  </si>
  <si>
    <t>[Dong, Wenli; Zhong, Lifeng] Renmin Univ China, Sch Business, Beijing, Peoples R China</t>
  </si>
  <si>
    <t>Zhong, LF (corresponding author), Renmin Univ China, Sch Business, Beijing, Peoples R China.</t>
  </si>
  <si>
    <t>zhonglf@ruc.edu.cn</t>
  </si>
  <si>
    <t>National Natural Science Foundation of China [71672190]</t>
  </si>
  <si>
    <t>Funding This research was supported by a grant from the National Natural Science Foundation of China (Grant Number: 71672190).</t>
  </si>
  <si>
    <t>DEC 10</t>
  </si>
  <si>
    <t>10.3389/fpsyg.2021.787833</t>
  </si>
  <si>
    <t>YF4GR</t>
  </si>
  <si>
    <t>WOS:000741767600001</t>
  </si>
  <si>
    <t>Zhong, J; Li, YQ; Luo, JL</t>
  </si>
  <si>
    <t>Zhong, Jing; Li, Yingqi; Luo, Jinlian</t>
  </si>
  <si>
    <t>The Trickle-Down Effects of Inclusive Leadership on Employees' Innovative Behavior: The Joint Moderating Effects of Vicarious Learning and Organizational Inclusion Climate</t>
  </si>
  <si>
    <t>inclusive leadership; employees' innovative behavior; vicarious learning; organizational inclusion climate; trickle-down effect</t>
  </si>
  <si>
    <t>ETHICAL LEADERSHIP; MEMBER EXCHANGE; PSYCHOLOGICAL CLIMATE; SERVICE CLIMATE; WORK OUTCOMES; TRANSFORMATIONAL LEADERSHIP; MULTIPLE-REGRESSION; WORKPLACE INCLUSION; TEAM INNOVATION; MEDIATING ROLE</t>
  </si>
  <si>
    <t>The supervisor-subordinate dyad has been well articulated in the framework of inclusive leadership and employee outcomes. Applying a multisource dataset from China, the present study develops a trickle-down model of inclusive leadership across three hierarchical levels (i.e., top managers, supervisors, and employees). Building on social learning theory and social exchange theory, the study found empirical support for the assumptions that both top management and supervisory inclusive leadership have a positive effect on employees' innovative behavior. In addition, the findings support the proposition that supervisor's inclusive leadership mediates the effects of top manager's inclusive leadership on employees' innovative behavior. The study also verified that vicarious learning and organizational inclusion climate jointly moderate the relationship between the top manager's inclusive leadership and the supervisor's inclusive leadership. The contribution, limitations, and future directions are also discussed.</t>
  </si>
  <si>
    <t>[Zhong, Jing; Li, Yingqi; Luo, Jinlian] Tongji Univ, Shanghai, Peoples R China</t>
  </si>
  <si>
    <t>Tongji University</t>
  </si>
  <si>
    <t>Li, YQ (corresponding author), Tongji Univ, Sch Econ &amp; Management, Tongji Bldg A,Siping Rd 1500, Shanghai 200092, Peoples R China.</t>
  </si>
  <si>
    <t>Chloe_7777@163.com</t>
  </si>
  <si>
    <t>Humanities and Social Science Foundation of the Ministry of Education of China [19YJA630125]; National Natural Science Foundation of China [72072128, 72002154, 71772138]</t>
  </si>
  <si>
    <t>Humanities and Social Science Foundation of the Ministry of Education of China(Ministry of Education, China); National Natural Science Foundation of China(National Natural Science Foundation of China (NSFC))</t>
  </si>
  <si>
    <t>The author(s) disclosed receipt of the following financial support for the research, authorship, and/or publication of this article: This work was supported by the Humanities and Social Science Foundation of the Ministry of Education of China [19YJA630125], the National Natural Science Foundation of China [72072128, 72002154, 71772138].</t>
  </si>
  <si>
    <t>10.1177/15480518211059941</t>
  </si>
  <si>
    <t>2E6AN</t>
  </si>
  <si>
    <t>WOS:000727861800001</t>
  </si>
  <si>
    <t>Jakobsen, ML; Kjeldsen, AM; Pallesen, T</t>
  </si>
  <si>
    <t>Jakobsen, Mads Leth; Kjeldsen, Anne Mette; Pallesen, Thomas</t>
  </si>
  <si>
    <t>Distributed leadership and performance-related employee outcomes in public sector organizations</t>
  </si>
  <si>
    <t>PUBLIC ADMINISTRATION</t>
  </si>
  <si>
    <t>INTERNAL POLITICAL EFFICACY; JOB-SATISFACTION; TRANSFORMATIONAL LEADERSHIP; INNOVATIVE BEHAVIOR; HEALTH-CARE; VALIDATION; COMMITMENT; EVOLUTION; LESSONS; FUTURE</t>
  </si>
  <si>
    <t>Distributed leadership is the sharing of leadership tasks between managers and employees. This article demonstrates how a distributed leadership perspective adds to the public administration literature by including an important sensitivity to planned and nonplanned leadership. We propose a theoretical model that explains the impact of distributed leadership on employee outcomes which have a direct or indirect impact on organizational performance in public organizations contingent on alignment with individual leadership capacity and organizational goals. Our empirical analysis in the Danish hospital sector shows initial support for the expected relationships between distributed leadership and performance-related employee outcomes such as job satisfaction and innovative behavior. This indicates that the distributed leadership perspective holds the potential to strengthen service delivery in complex public service organizations while there is weaker support for the notion that the positive impact of distributed leadership depends on individual leadership capacity and their support for organizational goals.</t>
  </si>
  <si>
    <t>[Jakobsen, Mads Leth; Kjeldsen, Anne Mette] Aarhus Univ, Dept Polit Sci, Bartholins 7, DK-8000 Aarhus C, Denmark; [Pallesen, Thomas] Aarhus Univ, Sch Business &amp; Social Sci, Aarhus C, Denmark</t>
  </si>
  <si>
    <t>Kjeldsen, AM (corresponding author), Aarhus Univ, Dept Polit Sci, Bartholins 7, DK-8000 Aarhus C, Denmark.</t>
  </si>
  <si>
    <t>annemette@ps.au.dk</t>
  </si>
  <si>
    <t>Kjeldsen, Anne Mette/0000-0003-0787-0351</t>
  </si>
  <si>
    <t>Velux Fonden [904122]</t>
  </si>
  <si>
    <t>Velux Fonden(Velux Fonden)</t>
  </si>
  <si>
    <t>Velux Fonden, Grant/Award Number: 904122</t>
  </si>
  <si>
    <t>0033-3298</t>
  </si>
  <si>
    <t>1467-9299</t>
  </si>
  <si>
    <t>PUBLIC ADMIN</t>
  </si>
  <si>
    <t>Public Adm.</t>
  </si>
  <si>
    <t>10.1111/padm.12801</t>
  </si>
  <si>
    <t>NOV 2021</t>
  </si>
  <si>
    <t>XA0LH</t>
  </si>
  <si>
    <t>WOS:000720349300001</t>
  </si>
  <si>
    <t>Nedkovski, V; Guerci, M</t>
  </si>
  <si>
    <t>Nedkovski, Vojkan; Guerci, Marco</t>
  </si>
  <si>
    <t>When homophilous ties matter: Social network brokerage and individuals' innovative behavior</t>
  </si>
  <si>
    <t>Innovative behavior; Social network brokerage; Homophilous ties; Profession; Gender</t>
  </si>
  <si>
    <t>STRUCTURAL HOLES; JOB DEMANDS; KNOWLEDGE; CREATIVITY; WORK; PERFORMANCE; MODEL; TEAM; ORGANIZATIONS; COLLABORATION</t>
  </si>
  <si>
    <t>Occupying a brokerage network position provides the focal actor with structural opportunities to access non-redundant information and knowledge which may result in an enhanced innovative behavior. However, such a network position entails important challenges associated with knowledge articulation and behavioral constraints, which may hinder focal actors' innovative outcomes. Drawing on the con-tingency perspective of social capital theory, in this study, we examine how socio-demographic similarity between a focal actor and his/her direct contacts may affect the relationship between brokerage and innovative behavior. Specifically, we focus on professional background and gender as salient socio-demographic categories that depict the type of knowledge possessed as well as informational, and behavioral differences among people. The results of an empirical study on 134 employees (the response rate was 88%) and 31 supervisors (the response rate was 97%) of an Italian consulting company show that having many homophilous ties, in terms of professional background and gender, strengthens the positive relationship between social network brokerage and individuals' innovative behavior. These findings furnish important insights for the research on intra-organizational social networks and innovative behavior. At the end of the paper, we discuss its theoretical and practical implications as well as the potential limitations that open avenues for future research in the field. (c) 2021 Elsevier Ltd. All rights reserved.</t>
  </si>
  <si>
    <t>[Nedkovski, Vojkan; Guerci, Marco] Univ Milan, Dept Social &amp; Polit Sci, Via Conservatorio 7, I-20122 Milan, Italy</t>
  </si>
  <si>
    <t>University of Milan</t>
  </si>
  <si>
    <t>Nedkovski, V (corresponding author), Univ Milan, Dept Social &amp; Polit Sci, Via Conservatorio 7, I-20122 Milan, Italy.</t>
  </si>
  <si>
    <t>vojkan.nedkovski@unimi.it</t>
  </si>
  <si>
    <t>NEDKOVSKI, VOJKAN/0000-0001-6579-5965</t>
  </si>
  <si>
    <t>10.1016/j.emj.2021.01.012</t>
  </si>
  <si>
    <t>XB8PS</t>
  </si>
  <si>
    <t>WOS:000721585600008</t>
  </si>
  <si>
    <t>Choi, SB; Ullah, SME; Kang, SW</t>
  </si>
  <si>
    <t>Choi, Suk Bong; Ullah, S. M. Ebrahim; Kang, Seung-Wan</t>
  </si>
  <si>
    <t>Proactive Personality and Creative Performance: Mediating Roles of Creative Self-Efficacy and Moderated Mediation Role of Psychological Safety</t>
  </si>
  <si>
    <t>proactive personality; creative performance; creative self-efficacy; psychological safety; moderated mediation</t>
  </si>
  <si>
    <t>EMPLOYEE CREATIVITY; TRANSFORMATIONAL LEADERSHIP; INNOVATIVE BEHAVIOR; WORK; FEEDBACK; METAANALYSIS; INVOLVEMENT; EXPRESSION; MOTIVATION; WORKPLACE</t>
  </si>
  <si>
    <t>Previous research has suggested that employees' proactive personality can enhance their creative performance. However, studies that address the underlying mechanism of the effect of proactive personality on creative performance have been scarce. Additionally, contextual factors that could serve as useful conditions have received insufficient academic attention. Therefore, the present study proposed that creative self-efficacy serves as a mediator and psychological safety serves as a moderator in the positive relationship between employees' proactive personality and their creative performance. The results of a large-scale survey revealed that a proactive personality was positively associated with creative performance. Furthermore, we found that the positive relationship between a proactive personality and creative performance was positively mediated by creative self-efficacy and further strengthened by psychological safety. Additionally, we found that psychological safety influenced the mediating role of creative self-efficacy in the link between employees' proactive personality and creative performance. We have discussed theoretical and practical implications with future research directions.</t>
  </si>
  <si>
    <t>[Choi, Suk Bong] Korea Univ, Coll Global Business, Sejong 30019, South Korea; [Ullah, S. M. Ebrahim] ACI Godrej Agrovet Pvt Ltd, HR Team, Dhaka 1212, Bangladesh; [Kang, Seung-Wan] Gachon Univ, Coll Business, Seongnam 13120, South Korea</t>
  </si>
  <si>
    <t>Choi, SB (corresponding author), Korea Univ, Coll Global Business, Sejong 30019, South Korea.;Kang, SW (corresponding author), Gachon Univ, Coll Business, Seongnam 13120, South Korea.</t>
  </si>
  <si>
    <t>sukchoi@korea.ac.kr; ebrahim.ullah@acigodrej.com; global7@gachon.ac.kr</t>
  </si>
  <si>
    <t>Gachon University [GCU-202002580001]</t>
  </si>
  <si>
    <t>Gachon University</t>
  </si>
  <si>
    <t>FundingThis work was supported by the Gachon University research fund of 2020 (GCU-202002580001).</t>
  </si>
  <si>
    <t>10.3390/su132212517</t>
  </si>
  <si>
    <t>XJ6VJ</t>
  </si>
  <si>
    <t>WOS:000726922600001</t>
  </si>
  <si>
    <t>Zainal, MA; Matore, MEEM</t>
  </si>
  <si>
    <t>Zainal, Mohammed Afandi; Mohd Matore, Mohd Effendi Ewan</t>
  </si>
  <si>
    <t>The Influence of Teachers' Self-Efficacy and School Leaders' Transformational Leadership Practices on Teachers' Innovative Behaviour</t>
  </si>
  <si>
    <t>innovative behaviour; self-efficacy; transformational leadership; school administrators; teachers</t>
  </si>
  <si>
    <t>WORK BEHAVIOR; PERFORMANCE; CREATIVITY; EDUCATION; AUTONOMY; MODEL</t>
  </si>
  <si>
    <t>Background: The current rapid development demands educators to possess innovative behaviour. Presently, in the environment of rapid technological growth and borderless global communication, teachers with innovative behaviour are capable of facing each painful challenge that confronts the education system; therefore, it is essential to understand the factors influencing the innovative behaviour of teachers. Purpose: To identify the influence of teachers' self-efficacy and school administrators' transformational leadership practices on teachers' innovative behaviour. Method: A quantitative approach using a cross-sectional survey design with a sample of 1415 teachers from four states in Malaysia, and the data were statistically analysed using SPSS(R) version 26.0 for Windows (TM) (IBM Corporation, New York, NY, USA). Result: Multiple Regression Analysis found that teachers' self-efficacy and school administrators' transformational leadership practices both had a significant influence on teachers' innovative behaviour by contributing 47.0% of the variance in teachers' innovative behaviour. Conclusion: The findings suggested that teachers' self-efficacy and school administrators' transformational leadership practices both play a role in influencing teachers' innovative behaviour. Therefore, the stakeholders need to consider the aspects of self-efficacy and transformational leadership practices of school administrators in drafting policies and related programmes to improve teachers' innovative behaviour.</t>
  </si>
  <si>
    <t>[Zainal, Mohammed Afandi; Mohd Matore, Mohd Effendi Ewan] Univ Kebangsaan Malaysia, Fac Educ, Res Ctr Educ Leadership &amp; Policy, Bangi 43600, Selangor, Malaysia</t>
  </si>
  <si>
    <t>Universiti Kebangsaan Malaysia</t>
  </si>
  <si>
    <t>Matore, MEEM (corresponding author), Univ Kebangsaan Malaysia, Fac Educ, Res Ctr Educ Leadership &amp; Policy, Bangi 43600, Selangor, Malaysia.</t>
  </si>
  <si>
    <t>afan.zainal@gmail.com; effendi@ukm.edu.my</t>
  </si>
  <si>
    <t>Matore, Mohd Effendi @ Ewan Mohd/AAU-1530-2020; Zainal, Mohammed Afandi/AFX-5960-2022</t>
  </si>
  <si>
    <t>Matore, Mohd Effendi @ Ewan Mohd/0000-0002-6369-8501; Zainal, Mohammed Afandi/0000-0001-6941-8892</t>
  </si>
  <si>
    <t>Ministry of Higher Education (MOHE), Malaysia; Universiti Kebangsaan Malaysia (UKM) through the Fundamental Research Grant Scheme (FRGS) [FRGS/1/2018/SSI09/UKM/02/1]</t>
  </si>
  <si>
    <t>Ministry of Higher Education (MOHE), Malaysia; Universiti Kebangsaan Malaysia (UKM) through the Fundamental Research Grant Scheme (FRGS)</t>
  </si>
  <si>
    <t>This study was funded by the Ministry of Higher Education (MOHE), Malaysia and Universiti Kebangsaan Malaysia (UKM) through the Fundamental Research Grant Scheme (FRGS) (FRGS/1/2018/SSI09/UKM/02/1).</t>
  </si>
  <si>
    <t>10.3390/ijerph18126423</t>
  </si>
  <si>
    <t>SY5ZO</t>
  </si>
  <si>
    <t>WOS:000665966000001</t>
  </si>
  <si>
    <t>Amankwaa, A; Susomrith, P; Seet, PS</t>
  </si>
  <si>
    <t>Amankwaa, Albert; Susomrith, Pattanee; Seet, Pi-Shen</t>
  </si>
  <si>
    <t>Innovative behavior among service workers and the importance of leadership: evidence from an emerging economy</t>
  </si>
  <si>
    <t>Innovative behavior; Leadership; Job embeddedness; Emerging economy</t>
  </si>
  <si>
    <t>JOB EMBEDDEDNESS; TRANSFORMATIONAL LEADERSHIP; MEDIATING ROLE; VOLUNTARY TURNOVER; ORGANIZATIONAL INNOVATION; TRANSACTIONAL LEADERSHIP; PERFORMANCE; SATISFACTION; IMPACT; RESOURCES</t>
  </si>
  <si>
    <t>This study focuses on how service firms can nurture innovative behavior of employees through the important role of leadership. Despite the growth in innovation research, scholars have been slow to move from an R&amp;D (i.e., technical capital) focus to that focusing on employee innovative behavior. However, organizations' innovation initiatives heavily depend on employee human capital and behavior at work as these are key inputs in the value creation process. We focus on a specific type of leadership, transformational leadership, and explore a nascent employee concept, job embeddedness, to enhance our understanding of the mechanisms and conditions by which leaders may encourage follower innovative behavior. We collected data from employees working in the hotel service sector in Ghana, and analyzed the data using structural equation modelling and Hayes' PROCESS Macro. Our results revealed that leaders can promote innovative behavior among service workers only when the workers are embedded in the organization. Further, our results showed positive relationships between transformational leadership and organizational embeddedness, and organizational embeddedness and innovative behavior. However, we found no evidence to suggest that employees' embeddedness in their community might alter the relationship between organizational embeddedness and innovative behavior. We conclude that to support innovation among employees, the behaviors of leaders are important especially in terms of encouraging employees to proactively embed themselves in their organizations, thereby contributing to the development of the hospitality industry and other service sectors in emerging economies.</t>
  </si>
  <si>
    <t>[Amankwaa, Albert; Susomrith, Pattanee; Seet, Pi-Shen] Edith Cowan Univ, Sch Business &amp; Law, Joondalup, WA, Australia</t>
  </si>
  <si>
    <t>Amankwaa, A (corresponding author), Edith Cowan Univ, Sch Business &amp; Law, Joondalup, WA, Australia.</t>
  </si>
  <si>
    <t>amankwaaalbert@gmail.com</t>
  </si>
  <si>
    <t>Amankwaa, Albert/X-9631-2019; Seet, Pi-Shen/J-5721-2016</t>
  </si>
  <si>
    <t>Amankwaa, Albert/0000-0002-6725-7885; Seet, Pi-Shen/0000-0002-0267-5947</t>
  </si>
  <si>
    <t>10.1007/s10961-021-09853-6</t>
  </si>
  <si>
    <t>ZW8MB</t>
  </si>
  <si>
    <t>WOS:000630268500001</t>
  </si>
  <si>
    <t>Park, IJ; Kim, PB; Hai, SY; Zhang, XM</t>
  </si>
  <si>
    <t>Park, In-Jo; Kim, Peter B.; Hai, Shenayang; Zhang, Xiaomin</t>
  </si>
  <si>
    <t>What matters for employees' daily interpersonal behaviors?</t>
  </si>
  <si>
    <t>Leader-member exchange (LMX); Agreeableness; Daily counterproductive work behavior toward other individuals (CWB-I); Daily interpersonal harmony; Daily self-esteem</t>
  </si>
  <si>
    <t>ORGANIZATIONAL CITIZENSHIP BEHAVIOR; LEADER-MEMBER-EXCHANGE; COUNTERPRODUCTIVE WORK BEHAVIOR; SELF-ESTEEM; JOB-PERFORMANCE; MEDIATING ROLE; INNOVATIVE BEHAVIOR; WORKPLACE BEHAVIOR; SOCIAL-EXCHANGE; MODERATING ROLE</t>
  </si>
  <si>
    <t>Purpose This study aims to investigate the impact of service employees' agreeableness personality and daily self-esteem on their daily interpersonal behaviors in terms of interpersonal harmony and counterproductive work behavior toward other individuals (CWB-I). Furthermore, this study examines whether the impact of daily self-esteem on daily interpersonal behaviors is moderated by the quality of service employees' relationship with their manager and leader-member exchange (LMX). Design/methodology/approach Using a sample of 111 restaurant employees in China who took daily surveys with 1,412 ratings for 10 consecutive days, a longitudinal analysis was conducted to test the research hypotheses using hierarchical linear modeling. Findings The results show that agreeableness personality predicted daily interpersonal harmony but had no significant effect on daily CWB-I. It was also found that daily self-esteem predicted both daily interpersonal harmony and daily CWB-I, and LMX moderated the effect of daily self-esteem on daily interpersonal behaviors. Practical implications Given the fluctuation of employees' interpersonal behaviors, organizations should guide the variability of interpersonal behaviors in the positive direction. To promote daily interpersonal harmony and reduce daily CWB-I, managers could focus on recruiting employees with agreeableness, offering daily self-esteem training and enhancing the quality of LMX. Originality/value This research is unique in its objectives to examine what influences service employees' interpersonal behaviors on a daily basis and its methods to implement a longitudinal approach unlike previous studies that often relied on cross-sectional designs to enhance the ecological validity of the findings.</t>
  </si>
  <si>
    <t>[Park, In-Jo; Hai, Shenayang; Zhang, Xiaomin] Henan Univ, Dept Psychol, Kaifeng, Peoples R China; [Kim, Peter B.] Auckland Univ Technol, Sch Hospitality &amp; Tourism, Auckland, New Zealand</t>
  </si>
  <si>
    <t>Henan University; Auckland University of Technology</t>
  </si>
  <si>
    <t>Park, IJ (corresponding author), Henan Univ, Dept Psychol, Kaifeng, Peoples R China.</t>
  </si>
  <si>
    <t>park@henu.edu.cn; pkim@aut.ac.nz; haishenyang111@163.com; samuelpark73@gmail.com</t>
  </si>
  <si>
    <t>Kim, Peter B./0000-0003-1063-5264</t>
  </si>
  <si>
    <t>MAY 6</t>
  </si>
  <si>
    <t>10.1108/IJCHM-05-2020-0479</t>
  </si>
  <si>
    <t>RX4QO</t>
  </si>
  <si>
    <t>WOS:000625413900001</t>
  </si>
  <si>
    <t>Kim, D; Shin, J; Seo, MG; Sung, MJ</t>
  </si>
  <si>
    <t>Kim, Daeho; Shin, Jiseon; Seo, Myeong-Gu; Sung, Mi-Jin</t>
  </si>
  <si>
    <t>Enjoy the pain that you cannot avoid: Investigation on the relationship between developmental job experience and employees' innovative behavior</t>
  </si>
  <si>
    <t>Developmental job experience; Innovative behavior; Burnout; Psychological capital; Perceived job mobility within an organization</t>
  </si>
  <si>
    <t>SIDE-BET THEORY; DEMANDS-RESOURCES MODEL; LEADER-MEMBER EXCHANGE; MEDIATING ROLE; SELF-EFFICACY; ORGANIZATIONAL COMMITMENT; LEARNING ORIENTATION; POSITIVE EMOTIONS; PERFORMANCE; CHALLENGE</t>
  </si>
  <si>
    <t>This study investigates the positive and negative effects of developmental job experience (DJE) on employees' innovative behavior. Relying on transactional stress theory, we hypothesize the mediating roles of psychological capital and burnout in the relationship between DJE and innovative behavior as assessed by team leaders. The results reveal that DJE is only indirectly related to innovative behavior via psychological capital and burnout when employees' perceived job mobility within an organization (PJM) is low (moderated mediation). We also find that employees' PJM significantly and differentially moderates the relationships between DJE and psychological capital and between DJE and burnout. Our study provides both theoretical and practical guidance on how to utilize developmental jobs to promote employees' innovative behavior.</t>
  </si>
  <si>
    <t>[Kim, Daeho; Shin, Jiseon] Sungkyunkwan Univ, 33311 Business Bldg,25-2 Sungkyunkwan Ro, Seoul 03063, South Korea; [Seo, Myeong-Gu] Univ Maryland, College Pk, MD 20742 USA; [Sung, Mi-Jin] Korea Forestry Promot Inst, Seoul, South Korea</t>
  </si>
  <si>
    <t>Sungkyunkwan University (SKKU); University System of Maryland; University of Maryland College Park</t>
  </si>
  <si>
    <t>Shin, J (corresponding author), Sungkyunkwan Univ, 33311 Business Bldg,25-2 Sungkyunkwan Ro, Seoul 03063, South Korea.</t>
  </si>
  <si>
    <t>jishin@skku.edu</t>
  </si>
  <si>
    <t>Seo, Myeong Gu/C-1739-2015; Seo, Myeong-Gu/AAG-2687-2021</t>
  </si>
  <si>
    <t>Sungkyunkwan University</t>
  </si>
  <si>
    <t>An earlier version of this study was presented at the 76th annual meeting of the Academy of Management in Anaheim, CA, USA. This paper was supported by Sungkyun Research Fund, Sungkyunkwan University, 2018.</t>
  </si>
  <si>
    <t>10.1016/j.jbusres.2020.12.064</t>
  </si>
  <si>
    <t>QK0EN</t>
  </si>
  <si>
    <t>WOS:000620055100031</t>
  </si>
  <si>
    <t>Gao, Y; Liu, HY</t>
  </si>
  <si>
    <t>Gao, Yu; Liu, Haiyan</t>
  </si>
  <si>
    <t>How Supervisor-Subordinate Guanxi Influence Employee Innovative Behavior: A Moderated Mediation Model</t>
  </si>
  <si>
    <t>supervisor-subordinate guanxi; job satisfaction; organizational commitment; innovative behavior; psychological safety</t>
  </si>
  <si>
    <t>SOCIAL-EXCHANGE THEORY; JOB-SATISFACTION; PSYCHOLOGICAL SAFETY; ORGANIZATIONAL COMMITMENT; WORK OUTCOMES; CONSERVATION; RESOURCES; PERCEPTIONS; PERFORMANCE; MANAGEMENT</t>
  </si>
  <si>
    <t>Purpose: In the practice of inspiring employees' innovative behavior (IB), managers often pay attention to the role of policies, capitals, incentive measures, equipment and other factors, while ignoring the role of the relationship between leaders and employees. Based on social exchange theory and conservation of resources theory, this paper is to examine the mediating role of job satisfaction (JS) and organizational commitment (OC) in the relationship between supervisor- subordinate guanxi (SSG) and employee IB, and the moderating role of psychological safety (PS) in the series mediation model between SSG and employee IB. Patients and Methods: Cross-sectional data came from 207 employees of Chinese scientific and technological enterprises. The participants completed the SSG scale, JS scale, OC scale, IB scale, and PS scale. SPSS PROCESS macro was used to test the research hypothesis. Results: SSG was positively associated with employee IB. SSG can not only influence IB through JS or OC (SSG -&gt; JS -&gt; IB; SSG -&gt; OC -&gt; IB) but also influence IB through JS and OC (SSG -&gt; JS -&gt; OC -&gt; IB). PS moderated the joint mediating effects between SSG and IB (SSG -&gt; JS -&gt; OC -&gt; IB). Conclusion: To stimulate employees' IB within an enterprise can pay attention to the relationship between leaders and employees, improve employee JS, and strengthen employee OC. The lower the PS, the stronger the joint mediation effects between SSG and employee IB. Therefore, leaders should also pay attention to employees with high PS to avoid the counterproductive effect of cultivating SSG.</t>
  </si>
  <si>
    <t>[Gao, Yu; Liu, Haiyan] China Univ Geosci Beijing, Sch Econ &amp; Management, Beijing, Peoples R China</t>
  </si>
  <si>
    <t>China University of Geosciences</t>
  </si>
  <si>
    <t>Liu, HY (corresponding author), China Univ Geosci Beijing, Sch Econ &amp; Management, Beijing, Peoples R China.</t>
  </si>
  <si>
    <t>liuhy@cugb.edu.cn</t>
  </si>
  <si>
    <t>10.2147/PRBM.S342875</t>
  </si>
  <si>
    <t>XS2SB</t>
  </si>
  <si>
    <t>WOS:000732763900001</t>
  </si>
  <si>
    <t>Sun, HJ; Yoon, HH</t>
  </si>
  <si>
    <t>Sun, Hyo Jung; Yoon, Hye Hyun</t>
  </si>
  <si>
    <t>Linking Organizational Virtuousness, Engagement, and Organizational Citizenship Behavior: The Moderating Role of Individual and Organizational Factors</t>
  </si>
  <si>
    <t>organizational virtuousness; engagement; organizational citizenship behavior; proactive personality; organizational support</t>
  </si>
  <si>
    <t>WORK ENGAGEMENT; PROACTIVE PERSONALITY; MEDIATING ROLE; EMPLOYEE ENGAGEMENT; PLS-SEM; PSYCHOLOGICAL EMPOWERMENT; AFFECTIVE COMMITMENT; INNOVATIVE BEHAVIOR; JOB-SATISFACTION; SUPPORT</t>
  </si>
  <si>
    <t>This study examines the effect of organizational virtuousness on employees' engagement and organizational citizenship behavior in a deluxe hotel. It also verifies the moderating role of a positive personality at the individual level and the perception of organizational support at the organizational level in this causal relationship. The sample consists of 353 employees of a deluxe hotel in South Korea. The finding showed that managers can increase employees' engagement without fail by improving their perception of organizational virtuousness. Employees' engagement can increase organizational citizenship behavior, and the perception of organizational virtuousness can be linked to better organizational citizenship behavior, as it increases engagement. In addition, the more employees have proactive personality or favorable perception of organizational support, the more the effect of organizational virtuousness on work engagement increased. This result demonstrates the fact that improving employees' perception of organizational virtuousness is a way of increasing employees' work engagement and organizational citizenship behavior from managers' perspective.</t>
  </si>
  <si>
    <t>[Sun, Hyo Jung] Kyung Hee Univ, Ctr Converging Humanities, Seoul, South Korea; [Yoon, Hye Hyun] Kyung Hee Univ, Coll Hotel &amp; Tourism Management, Dept Culinary Arts &amp; Foodserv Management, Seoul, South Korea</t>
  </si>
  <si>
    <t>Yoon, HH (corresponding author), Kyung Hee Univ, Coll Hotel &amp; Tourism Management, Dept Culinary Arts &amp; Foodserv Management, Seoul, South Korea.</t>
  </si>
  <si>
    <t>10.1177/1096348020963701</t>
  </si>
  <si>
    <t>OCT 2020</t>
  </si>
  <si>
    <t>1G7AS</t>
  </si>
  <si>
    <t>WOS:000578550400001</t>
  </si>
  <si>
    <t>Stark, H; Omer, A; N'Diaye, AW; Sapp, AC; Moore, EV; McKune, SL</t>
  </si>
  <si>
    <t>Stark, Heather; Omer, Anteneh; N'Diaye, Aissata Wereme; Sapp, Amanda C.; Moore, Emily, V; McKune, Sarah L.</t>
  </si>
  <si>
    <t>TheUn Oeufstudy: Design, methods and baseline data from a cluster randomised controlled trial to increase child egg consumption in Burkina Faso</t>
  </si>
  <si>
    <t>MATERNAL AND CHILD NUTRITION</t>
  </si>
  <si>
    <t>animal source food; cluster-randomised controlled trail; complementary feeding; early growth; infant and child nutrition; low-income countries; nutrition education</t>
  </si>
  <si>
    <t>ANIMAL SOURCE FOODS; NUTRITION; LIVESTOCK; GROWTH; SYSTEMS</t>
  </si>
  <si>
    <t>In many low-income countries, such as Burkina Faso, rates of malnutrition are high among children. Research indicates that animal source foods may provide important elements to improve growth and development of young children, especially during periods of rapid development, such as the first 1,000 days of life. TheUn Oeufstudy is designed to test an innovative behaviour change communication strategy to increase egg consumption in children 6-24 months in Burkina Faso, thereby improving dietary diversity and nutritional outcomes. This 1-year cluster randomised controlled trial tests whether the gifting of chickens by a community champion directly to a child, combined with a behaviour change package of integrated poultry management and human nutrition trainings, can significantly increase egg consumption among children under 2 years in rural communities where egg consumption is very low. The nutrition-sensitive behaviour change package is designed to increase egg consumption through improving livestock production, women's empowerment and food security at the household level. This paper presents a detailed account of the study design and protocol for theUn Oeufstudy, alongside a description of the study population. Baseline data show a study population with high rates of malnutrition (stunting 21.6%, wasting 10.8% and underweight 20.4%) and a very low rate of egg consumption-less than 10% among children. Although poultry production is quite common, egg consumption is low reportedly because of cultural norms, including widespread practice of allowing eggs to hatch and a lack of knowledge about the nutritional benefits of egg consumption.</t>
  </si>
  <si>
    <t>[Stark, Heather; Sapp, Amanda C.; Moore, Emily, V; McKune, Sarah L.] Univ Florida, Coll Publ Hlth &amp; Hlth Practices, Dept Environm &amp; Global Hlth, Gainesville, FL 32610 USA; [Omer, Anteneh] Hawassa Univ, Sch Nutr Food Sci &amp; Technol, Hawassa, Ethiopia; [N'Diaye, Aissata Wereme] Kamboinse Agr Environm Res &amp; Training Ctr, Inst Environm &amp; Rech Agr, POB 476, Ouagadougou, Burkina Faso</t>
  </si>
  <si>
    <t>State University System of Florida; University of Florida; Hawassa University</t>
  </si>
  <si>
    <t>Stark, H (corresponding author), Univ Florida, Dept Environm &amp; Global Hlth, Coll Publ Hlth &amp; Hlth Profess, POB 100188,1225 Ctr Dr,Room 4160, Gainesville, FL 32610 USA.</t>
  </si>
  <si>
    <t>hsaanderson@ufl.edu</t>
  </si>
  <si>
    <t>Sapp, Amanda C./0000-0003-1342-442X; Stark, Heather/0000-0003-2429-2303</t>
  </si>
  <si>
    <t>United States Agency for International Development (USAID) Bureau for Food Security [AID-OAA-L-15-00003]</t>
  </si>
  <si>
    <t>United States Agency for International Development (USAID) Bureau for Food Security(United States Agency for International Development (USAID))</t>
  </si>
  <si>
    <t>United States Agency for International Development (USAID) Bureau for Food Security, Grant/Award Numbers: Agreement #AID-OAA-L-15-00003 as part of Feed the, AID-OAA-L-15-00003</t>
  </si>
  <si>
    <t>1740-8695</t>
  </si>
  <si>
    <t>1740-8709</t>
  </si>
  <si>
    <t>MATERN CHILD NUTR</t>
  </si>
  <si>
    <t>Matern. Child Nutr.</t>
  </si>
  <si>
    <t>e13069</t>
  </si>
  <si>
    <t>10.1111/mcn.13069</t>
  </si>
  <si>
    <t>Nutrition &amp; Dietetics; Pediatrics</t>
  </si>
  <si>
    <t>PG5UJ</t>
  </si>
  <si>
    <t>WOS:000556829000001</t>
  </si>
  <si>
    <t>Younas, MZ; Rehman, FU</t>
  </si>
  <si>
    <t>Younas, Muhammad Zeeshan; Rehman, Faiz-Ur</t>
  </si>
  <si>
    <t>Exploring the nexus between innovation and firm performance: new evidences from manufacturing innovation survey of Pakistan</t>
  </si>
  <si>
    <t>Innovation; knowledge capital; firm performance; Pakistan</t>
  </si>
  <si>
    <t>RESEARCH-AND-DEVELOPMENT; DEVELOPMENT SUBSIDIES; EMPIRICAL-EVIDENCE; PRODUCTIVITY; DETERMINANTS; EXPORTS; LEVEL; MODEL; IMPACT; INPUTS</t>
  </si>
  <si>
    <t>In this article, we examine the innovative behaviour of private manufacturing firms using a unique Innovation Follow-up Survey (2015) first time conducted by the World Bank for the Pakistan economy. To model the structural relationship between R&amp;D, innovation, firm performance, and export we specify an extended version of CDM model proposed by Crepon et al. (1998. Research, innovation and productivi [Ty: An econometric analysis at the firm level.Economics of Innovation and New Technology,7(2), 115-158), modified by (Griffith, R., Huergo, E., Mairesse, J., &amp; Peters, B. [2006]. Innovation and productivity across four European countries.Oxford Review of Economic Policy,22(4), 483-498; Hall, B. H., Lotti, F., &amp; Mairesse, J. [2009]. Innovation and productivity in SMEs: empirical evidence for Italy.Small Business Economics, 33(1), 13-33) and further extended by this study via introducing propensity to export stage. Our econometric results show that technological innovations (product and process innovation) have significantly positive impacts on firm performance which plays a key role in the firm's decision to engage in exporting activities. The elasticity of labour productivity with respect to process is slightly higher than the product innovation. Robustness analysis reports that, except for organisational innovation, the predicted research intensity has a positive impact on innovation output no matter which proxy is used for the firm-level innovation. Moreover, non-technological innovations (marketing and organisational innovation) have no impact on firm performance for all the alternative econometrical specifications and are mostly in line with the existing literature. The findings have practical implications for policymakers with respect to firm productivity and export propensity, and highlight the significance of innovation in empowering firms to increase economic performance and catch up.</t>
  </si>
  <si>
    <t>[Younas, Muhammad Zeeshan; Rehman, Faiz-Ur] Quaid I Azam Univ, Sch Econ, Islamabad, Pakistan</t>
  </si>
  <si>
    <t>Quaid I Azam University</t>
  </si>
  <si>
    <t>Younas, MZ (corresponding author), Quaid I Azam Univ, Sch Econ, Islamabad, Pakistan.</t>
  </si>
  <si>
    <t>mzeeshan@eco.qau.edu.pk</t>
  </si>
  <si>
    <t>Younas, Muhammad Zeeshan/ABG-6784-2020</t>
  </si>
  <si>
    <t>Younas, Muhammad Zeeshan/0000-0001-9706-9706</t>
  </si>
  <si>
    <t>10.1080/19761597.2020.1778493</t>
  </si>
  <si>
    <t>RA8GK</t>
  </si>
  <si>
    <t>WOS:000543241100001</t>
  </si>
  <si>
    <t>Sleepy but creative? How affective commitment, knowledge sharing and organizational forgiveness mitigate the dysfunctional effect of insomnia on creative behaviors</t>
  </si>
  <si>
    <t>Creativity; Insomnia; Affective commitment; Knowledge sharing; Organizational forgiveness</t>
  </si>
  <si>
    <t>EMPLOYEE CREATIVITY; MODERATING ROLE; ENTREPRENEURIAL ORIENTATION; QUALITATIVE-ANALYSIS; INNOVATIVE BEHAVIOR; CONTEXTUAL FACTORS; MULTILEVEL MODEL; JOB-PERFORMANCE; METHOD VARIANCE; WORK CONTEXT</t>
  </si>
  <si>
    <t>Purpose This study investigates how employees' experience of suffering from insomnia might reduce the likelihood that they perform creative activities, as well as how this negative relationship might be buffered by employees' access to resources at three levels: an individual resource (affective commitment), a relational resource (knowledge sharing with peers) and an organizational resource (climate of organizational forgiveness). Design/methodology/approach Quantitative data came from a survey of employees in the banking sector. Findings Insomnia reduces creativity, but this effect is weaker when employees feel a strong emotional bond to their organization, openly share knowledge with colleagues and believe that their organization forgives errors. Research limitations/implications The limitations of this research include its relatively narrow scope by focusing on one personal stressor only, its cross-sectional design, its reliance on subjective measures of insomnia and creativity and its single-industry, single-country design. Practical implications The findings indicate different, specific ways in which human resource managers can overcome the challenges associated with sleep-deprived employees who avoid productive work behaviors, including creativity. Originality/value This study adds to extant scholarship by specifying how employees' persistent sleep deprivation might steer them away from undertaking creative behaviors, with a particular focus on how several pertinent resources buffer this process.</t>
  </si>
  <si>
    <t>[De Clercq, Dirk] Brock Univ, Goodman Sch Business, St Catharines, ON, Canada; [Pereira, Renato] Inst Univ Lisboa, OBSERVARE UAL, Lisbon, Portugal; [Pereira, Renato] Inst Univ Lisboa, Iscte Business Sch, Lisbon, Portugal</t>
  </si>
  <si>
    <t>Brock University; Instituto Universitario de Lisboa; Instituto Universitario de Lisboa</t>
  </si>
  <si>
    <t>10.1108/PR-12-2018-0484</t>
  </si>
  <si>
    <t>PZ7RE</t>
  </si>
  <si>
    <t>WOS:000528232500001</t>
  </si>
  <si>
    <t>Edgar, F</t>
  </si>
  <si>
    <t>Edgar, Fiona</t>
  </si>
  <si>
    <t>The behavioral model logic: a micro-level examination of competitive strategies, HR practices and employee outcomes</t>
  </si>
  <si>
    <t>SHRM; Behavioral model; Competitive strategy; Competencies</t>
  </si>
  <si>
    <t>HUMAN-RESOURCE MANAGEMENT; PERFORMANCE WORK SYSTEMS; BUSINESS PERFORMANCE; INNOVATIVE BEHAVIOR; FIRM PERFORMANCE; EMPIRICAL-TEST; CONTEXT; INVOLVEMENT; STRENGTH; IMPACT</t>
  </si>
  <si>
    <t>Purpose The behavioral framework presents a logic for understanding the relationships between characteristics of the organization and the HRM system. Drawing on this logic to connect the broader management oriented area of strategy with HRM, a micro-level lens is used to examine how competitive strategies and human resource (HR) practice subsystems cohere to influence employees' role behaviors and performance outcomes. Design/methodology/approach Online survey data were collected from 301 employees working in the retail trade and hospitality segments of New Zealand's service industry. Findings Relationships represented in the behavioral model are supported. Specifically, this study finds identifiable differences between the types of HR practices employed and the competitive strategy followed by an organization. Distinguishable sets of HR practices could also be connected to discernible employee role behaviors, which in turn, were related to strategically-aligned performance outcomes. Some commonality in these relationships were evident however. Originality/value This descriptive, exploratory study presenting data about the alignment between competitive strategies, HR practices, behavioral and performance outcomes contributes to our understanding of contingency arguments and employees' experiences and reactions to HRM. Moreover, by adopting a particularistic focus, this research is able to highlight the salient role of context in SHRM research.</t>
  </si>
  <si>
    <t>[Edgar, Fiona] Univ Otago, Dept Management, Dunedin, New Zealand</t>
  </si>
  <si>
    <t>University of Otago</t>
  </si>
  <si>
    <t>Edgar, F (corresponding author), Univ Otago, Dept Management, Dunedin, New Zealand.</t>
  </si>
  <si>
    <t>fiona.edgar@otago.ac.nz</t>
  </si>
  <si>
    <t>10.1108/PR-03-2019-0110</t>
  </si>
  <si>
    <t>OG1MO</t>
  </si>
  <si>
    <t>WOS:000522228800001</t>
  </si>
  <si>
    <t>Li, CR; Yang, YY; Lin, CJ; Xu, Y</t>
  </si>
  <si>
    <t>Li, Ci-Rong; Yang, Yanyu; Lin, Chen-Ju; Xu, Ying</t>
  </si>
  <si>
    <t>Within-person Relationship between Creative Self-efficacy and Individual Creativity: The Mediator of Creative Process Engagement and the Moderator of Regulatory Focus</t>
  </si>
  <si>
    <t>creative self-efficacy; creative process engagement; regulatory focus; motivational self-regulation perspective</t>
  </si>
  <si>
    <t>EMPLOYEE CREATIVITY; RESOURCE-ALLOCATION; INNOVATIVE BEHAVIOR; WORK ENGAGEMENT; PERFORMANCE; MOTIVATION; SEEKING; MODELS</t>
  </si>
  <si>
    <t>Integrating the dynamic self-regulatory framework with the motivational self-regulation perspective, we theorize and test how and when creative self-efficacy increases individual creativity at the within-person level. Conceptualizing creative process engagement as a self-regulation effort, we theorize that creative process engagement mediates the within-person effect of creative self-efficacy on individual creativity. We further explore how creative self-efficacy and chronic regulatory focus interact to affect the within-person mediating effect. A sample of 145 R&amp;D workers provided two monthly reports for their creative activities and experiences over 8 months. The findings provide empirical support for the hypothesized mediating mechanism. At the within-person level, creative process engagement mediates the relationship between creative self-efficacy and individual creativity. The results also show that chronic regulatory focus moderated the mediated relationship. Specifically, creative self-efficacy is positively related to individual creativity for employees with a strong prevention focus and negatively related to individual creativity for employees with a strong promotion focus.</t>
  </si>
  <si>
    <t>[Li, Ci-Rong; Yang, Yanyu; Xu, Ying] Jilin Univ, Sch Management, 5988 Renming St, Changchun 130022, Jilin, Peoples R China; [Lin, Chen-Ju] Tzu Chi Univ Sci &amp; Technol, Hualien, Taiwan; [Lin, Chen-Ju] Tzu Chi Coll Technol, Dept Mkt &amp; Distribut Management, Hualien, Taiwan</t>
  </si>
  <si>
    <t>Jilin University; Tzu Chi University of Science &amp; Technology; Tzu Chi University of Science &amp; Technology</t>
  </si>
  <si>
    <t>Xu, Y (corresponding author), Jilin Univ, Sch Management, 5988 Renming St, Changchun 130022, Jilin, Peoples R China.</t>
  </si>
  <si>
    <t>yingxu.jlu@gmail.com</t>
  </si>
  <si>
    <t>National Natural Science Foundation of China [71602067]; Humanity and Social Science on Youth Fund of the Ministry of Education [15YJCZH084]; China Postdoctoral Science Foundation [2016M601387]; Ministry of Science and Technology Individual Research Grant of Taiwan [103-2410-H-277-002-SSS]</t>
  </si>
  <si>
    <t>National Natural Science Foundation of China(National Natural Science Foundation of China (NSFC)); Humanity and Social Science on Youth Fund of the Ministry of Education; China Postdoctoral Science Foundation(China Postdoctoral Science Foundation); Ministry of Science and Technology Individual Research Grant of Taiwan</t>
  </si>
  <si>
    <t>This work was supported by the National Natural Science Foundation of China under Grant No. 71602067; the Humanity and Social Science on Youth Fund of the Ministry of Education under Grant No. 15YJCZH084; the China Postdoctoral Science Foundation under Grant No. 2016M601387; and partially supported by Ministry of Science and Technology Individual Research Grant of Taiwan (Project No. 103-2410-H-277-002-SSS).</t>
  </si>
  <si>
    <t>10.1002/jocb.435</t>
  </si>
  <si>
    <t>QV1MY</t>
  </si>
  <si>
    <t>WOS:000506520600001</t>
  </si>
  <si>
    <t>Rahrovani, Y; Pinsonneault, A</t>
  </si>
  <si>
    <t>Rahrovani, Yasser; Pinsonneault, Alain</t>
  </si>
  <si>
    <t>Innovative IT Use and Innovating with IT: A Study of the Motivational Antecedents of Two Different Types of Innovative Behaviors</t>
  </si>
  <si>
    <t>JOURNAL OF THE ASSOCIATION FOR INFORMATION SYSTEMS</t>
  </si>
  <si>
    <t>Innovating with IT; Innovative IT Use; User Innovation; Innovative Behavior; Motivation; Slack Resources</t>
  </si>
  <si>
    <t>SELF-DETERMINATION THEORY; COMMON METHOD VARIANCE; INFORMATION-TECHNOLOGY; INTRINSIC MOTIVATION; PROSOCIAL BEHAVIOR; INTEGRATIVE NEGOTIATION; ORGANIZATIONAL-BEHAVIOR; PERCEIVED PLAYFULNESS; CITIZENSHIP BEHAVIOR; PROACTIVE BEHAVIOR</t>
  </si>
  <si>
    <t>The paper distinguishes two different types of innovative behaviors involving information technology (IT): innovative IT use (IU) and innovating with IT (IwIT). While the former focuses on changing the technology and the work process to better support one's existing work goals, the latter focuses on using IT to develop new work-related goals and outcomes. Drawing on Parker's theory of proactive behavior, this paper compares the motivational antecedents and consequences of these two innovative behaviors enabled by IT. Our model hypothesizes that three generic types of motivation differentially affect IwIT versus IU. The paper also explores the moderating role of slack resources on the effect of motivation on the two innovative behaviors. Data from a survey of 427 IT users from North American companies show that social motivation affects IwIT (but not IU); intrinsic motivation is positively related to IU (but not IwIT); and internalized extrinsic motivation affects both IU and IwIT. Further, the results indicate that the moderating role of slack resources on different motivational paths is not a one-size-fits-all effect, that is, slack in IS resources only moderates the relationship between intrinsic motivation and IwIT. We also differentiated the consequences of IwIT from IU. The post hoc analysis shows that IwIT is significantly related to individual mindfulness at work, but IU is not. The paper contributes to IS research by offering a rich conceptualization of IwIT and examining its motivational antecedents and consequences in comparison to IU.</t>
  </si>
  <si>
    <t>[Rahrovani, Yasser] Western Univ, Ivey Business Sch, Informat Syst, London, ON, Canada; [Pinsonneault, Alain] McGill Univ, Desautels Fac Management, Natl Order Quebec, Montreal, PQ, Canada; [Pinsonneault, Alain] McGill Univ, Desautels Fac Management, Assoc Informat Syst, Montreal, PQ, Canada; [Pinsonneault, Alain] McGill Univ, Desautels Fac Management, Informat Syst, Montreal, PQ, Canada</t>
  </si>
  <si>
    <t>Western University (University of Western Ontario); McGill University; McGill University; McGill University</t>
  </si>
  <si>
    <t>Rahrovani, Y (corresponding author), Western Univ, Ivey Business Sch, Informat Syst, London, ON, Canada.</t>
  </si>
  <si>
    <t>yrahrovani@ivey.ca; alain.pinsomieault@mcgill.ca</t>
  </si>
  <si>
    <t>Rahrovani, Yasser/0000-0002-9196-3835</t>
  </si>
  <si>
    <t>Social Sciences and Humanities Research Council of Canada (SSHRC); Fonds de recherche sur la societe et la culture (FQRSC)</t>
  </si>
  <si>
    <t>Social Sciences and Humanities Research Council of Canada (SSHRC)(Social Sciences and Humanities Research Council of Canada (SSHRC)); Fonds de recherche sur la societe et la culture (FQRSC)</t>
  </si>
  <si>
    <t>We are grateful for the immensely insightful comments and encouragement received from the senior editor Likoebe Maruping and the anonymous reviewers. We also thank workshop participants at the Smith School of Business at Queen's University for their comments on an early draft of the manuscript. Financial support for this study was provided by the Social Sciences and Humanities Research Council of Canada (SSHRC) and the Fonds de recherche sur la societe et la culture (FQRSC).</t>
  </si>
  <si>
    <t>ASSOC INFORMATION SYSTEMS</t>
  </si>
  <si>
    <t>ATLANTA</t>
  </si>
  <si>
    <t>GEORGIA STATE UNIV, 35 BROAD STREET, STE 916-917, ATLANTA, GA 30303 USA</t>
  </si>
  <si>
    <t>1536-9323</t>
  </si>
  <si>
    <t>1558-3457</t>
  </si>
  <si>
    <t>J ASSOC INF SYST</t>
  </si>
  <si>
    <t>J. Assoc. Inf. Syst.</t>
  </si>
  <si>
    <t>10.17705/1jais.00625</t>
  </si>
  <si>
    <t>Computer Science, Information Systems; Information Science &amp; Library Science</t>
  </si>
  <si>
    <t>MO2DO</t>
  </si>
  <si>
    <t>Green Submitted, Bronze</t>
  </si>
  <si>
    <t>WOS:000551343600006</t>
  </si>
  <si>
    <t>Li, YZ</t>
  </si>
  <si>
    <t>Li, Yongzhan</t>
  </si>
  <si>
    <t>Leadership styles and knowledge workers' work engagement: Psychological capital as a mediator</t>
  </si>
  <si>
    <t>Leadership styles; Psychological capital; Work engagement; Knowledge workers</t>
  </si>
  <si>
    <t>TRANSFORMATIONAL LEADERSHIP; TRANSACTIONAL LEADERSHIP; INNOVATIVE BEHAVIOR; POSITIVE EMOTIONS; JOB-PERFORMANCE; MODERATING ROLE; RESOURCES; EMPLOYEES; CONSERVATION; MANAGEMENT</t>
  </si>
  <si>
    <t>This study explored the mechanism underlying the effects of leadership styles on work engagement among knowledge workers. Data were collected among employees working in three IT enterprises in Henan, China. We adopted a two-wave cross-lagged design with a time gap of four months. The statistical methods included descriptive statistics, structural equation modeling (SEM), and bootstrap analysis. The results showed: (1) transformational and transactional leadership positively predicted knowledge workers' psychological capital and work engagement; in comparison to transactional leadership, transformational leadership had stronger effects on knowledge workers' psychological capital and work engagement; (2) knowledge workers' psychological capital positively predicted their work engagement; and (3) knowledge workers' psychological capital partially mediated the effects of leadership styles on their work engagement.</t>
  </si>
  <si>
    <t>[Li, Yongzhan] Pingdingshan Univ, Teacher Educ Coll, Pingdingshan 467000, Henan, Peoples R China</t>
  </si>
  <si>
    <t>Pingdingshan University</t>
  </si>
  <si>
    <t>Li, YZ (corresponding author), Pingdingshan Univ, Teacher Educ Coll, Pingdingshan 467000, Henan, Peoples R China.</t>
  </si>
  <si>
    <t>10.1007/s12144-018-9968-6</t>
  </si>
  <si>
    <t>JK6JP</t>
  </si>
  <si>
    <t>WOS:000494948800008</t>
  </si>
  <si>
    <t>Xie, ZT; Li, N; Jiang, W; Kirkman, BL</t>
  </si>
  <si>
    <t>Xie, Zhitao; Li, Ning; Jiang, Wan; Kirkman, Bradley L.</t>
  </si>
  <si>
    <t>The Paradox of Leader-Member Exchange (LMX) Differentiation How Treating Followers Differently Can Both Enhance and Impede Employee Performance</t>
  </si>
  <si>
    <t>leadership; leader-member exchange (LMX); teams; job performance</t>
  </si>
  <si>
    <t>ORGANIZATIONAL JUSTICE; INNOVATIVE BEHAVIOR; MODERATING ROLE; CROSS-LEVEL; CREATIVITY; INTERDEPENDENCE; MULTILEVEL; WORK; CITIZENSHIP; ORIENTATION</t>
  </si>
  <si>
    <t>Drawing from the equity-equality paradigm and social interdependence theory, we examine cross-level effects of leader-member exchange (LMX) differentiation on both task performance and creativity using 461 team members and 98 team leaders in China. We demonstrate the paradoxical (i.e., positive and negative) effects of LMX differentiation in teams. Specifically, while LMX differentiation was positively, directly associated with task performance and creativity in more interdependent teams, it also had negative, indirect influences, through interactional justice climate, on these outcomes. Overall, in more interdependent teams, LMX differentiation had positive effects on employee performance-based outcomes, but in less interdependent teams, the effects were more negative. Our findings also provide practical implications for team governance.</t>
  </si>
  <si>
    <t>[Xie, Zhitao] Shanghai Jiao Tong Univ, Sch Int &amp; Publ Affairs, 800 Dongchuan Rd, Shanghai, Peoples R China; [Xie, Zhitao] Shanghai Jiao Tong Univ, China Inst Urban Governance, 800 Dongchuan Rd, Shanghai, Peoples R China; [Li, Ning] Univ Iowa, Tippie Coll Business, Management &amp; Entrepreneurship, Iowa City, IA USA; [Jiang, Wan] Tianjin Univ, Coll Management &amp; Econ, Dept Org &amp; Strateg Management, Tianjin, Peoples R China; [Kirkman, Bradley L.] North Carolina State Univ, Management Innovat &amp; Entrepreneurship Dept, Poole Coll Management, Raleigh, NC USA</t>
  </si>
  <si>
    <t>Shanghai Jiao Tong University; Shanghai Jiao Tong University; University of Iowa; Tianjin University; North Carolina State University</t>
  </si>
  <si>
    <t>Xie, ZT (corresponding author), Shanghai Jiao Tong Univ, Sch Int &amp; Publ Affairs, 800 Dongchuan Rd, Shanghai, Peoples R China.;Xie, ZT (corresponding author), Shanghai Jiao Tong Univ, China Inst Urban Governance, 800 Dongchuan Rd, Shanghai, Peoples R China.</t>
  </si>
  <si>
    <t>xzt@sjtu.edu.cn</t>
  </si>
  <si>
    <t>Li, Ning/N-8893-2014</t>
  </si>
  <si>
    <t>Li, Ning/0000-0002-4534-9009; Kirkman, Bradley/0000-0002-1322-2986</t>
  </si>
  <si>
    <t>National Natural Science Foundation of China [71602140]; Humanities and Social Sciences Foundation of the Ministry of Education [17YJC630051]</t>
  </si>
  <si>
    <t>National Natural Science Foundation of China(National Natural Science Foundation of China (NSFC)); Humanities and Social Sciences Foundation of the Ministry of Education</t>
  </si>
  <si>
    <t>The authors would like to thank the National Natural Science Foundation of China (Grant No. 71602140) and the Humanities and Social Sciences Foundation of the Ministry of Education (17YJC630051) for the financial support.</t>
  </si>
  <si>
    <t>10.1027/1866-5888/a000231</t>
  </si>
  <si>
    <t>JJ1JW</t>
  </si>
  <si>
    <t>WOS:000493918000001</t>
  </si>
  <si>
    <t>Surucu, L; Sesen, H</t>
  </si>
  <si>
    <t>Surucu, Lutfi; Sesen, Harun</t>
  </si>
  <si>
    <t>Entrepreneurial Behaviors in the Hospitality Industry: Human Resources Management Practices and Leader Member Exchange Role</t>
  </si>
  <si>
    <t>REVISTA DE CERCETARE SI INTERVENTIE SOCIALA</t>
  </si>
  <si>
    <t>entrepreneurial behavior; human resource management; leader member exchange; hospitality industry; social exchange theory</t>
  </si>
  <si>
    <t>SERVICE INNOVATIVE BEHAVIOR; MEDIATING ROLE; WORK BEHAVIOR; HRM; PERFORMANCE; ORIENTATION; INTENTION; TURNOVER; IMPACT; LMX</t>
  </si>
  <si>
    <t>The entrepreneurial behavior of the employees in the hospitality industry plays an important role in ensuring customer satisfaction by affecting the quality of service provided to customers. In this sense, the promotion of entrepreneurial behaviors is a very important issue in order to maintain the sustainable competitive structure of the hospitality industry. The main purpose of our research is to contribute to the literature of hospitality industry by providing a better understanding of the factors affecting entrepreneurial behavior and to provide practical suggestions to sector managers. In this context, a conceptual model has been developed that includes the relationship between leader member interaction and human resource management practices and entrepreneurial behaviors. Structural equation modeling was used to test the model experimentally. Data were collected from 5-star hotel staff in Cyprus and 302 survey answers were analyzed. The results of the analysis show that human resources management practices positively affect entrepreneurial behaviors and the leading member interaction has an mediating role in this relationship. The uniqueness of our research is that it examines the impact of human resources management practices on entrepreneurial behaviors separately and provides valuable contributions to the literature by testing the mediating model.</t>
  </si>
  <si>
    <t>[Surucu, Lutfi; Sesen, Harun] European Univ Lefke, Fac Econ &amp; Adm Sci, Business Adm Dept, Lefke, Northern Cyprus, Turkey</t>
  </si>
  <si>
    <t>Lefke Avrupa University</t>
  </si>
  <si>
    <t>Surucu, L (corresponding author), European Univ Lefke, Fac Econ &amp; Adm Sci, Business Adm Dept, Lefke, Northern Cyprus, Turkey.</t>
  </si>
  <si>
    <t>lsurucu82@gmail.com; hsesen@eul.edu.tr</t>
  </si>
  <si>
    <t>sesen, Harun/AAJ-1475-2020; Sürücü, Lütfi/AAJ-8651-2020</t>
  </si>
  <si>
    <t>sesen, Harun/0000-0002-7068-2487; Sürücü, Lütfi/0000-0002-6286-4184</t>
  </si>
  <si>
    <t>EXPERT PROJECTS PUBLISHING</t>
  </si>
  <si>
    <t>IASI</t>
  </si>
  <si>
    <t>IASI, STR VOINESTI 63, IASI, 700615, ROMANIA</t>
  </si>
  <si>
    <t>1583-3410</t>
  </si>
  <si>
    <t>1584-5397</t>
  </si>
  <si>
    <t>REV CERCET INTERV SO</t>
  </si>
  <si>
    <t>Rev. Cercet. Interv. Soc.</t>
  </si>
  <si>
    <t>10.33788/rcis.66.8</t>
  </si>
  <si>
    <t>JW1KY</t>
  </si>
  <si>
    <t>WOS:000502819000008</t>
  </si>
  <si>
    <t>Guo, YY; Wang, CY; Feng, YQ</t>
  </si>
  <si>
    <t>Guo, Yuanyuan; Wang, Chaoyou; Feng, Yuqiang</t>
  </si>
  <si>
    <t>The impact of psychological climate on employees' innovative use of information systems: The moderating role of goal orientation</t>
  </si>
  <si>
    <t>Psychological climate; innovative use; goal orientation; autonomy climate; innovation climate</t>
  </si>
  <si>
    <t>KNOWLEDGE MANAGEMENT; ENTERPRISE SYSTEMS; ORGANIZATIONAL-CLIMATE; INDIVIDUAL CREATIVITY; INTRINSIC MOTIVATION; ABSORPTIVE-CAPACITY; LEARNING-BEHAVIOR; WORK-ENVIRONMENT; MEDIATING ROLE; TEAM CLIMATE</t>
  </si>
  <si>
    <t>The objectives of this study are to investigate climates that could facilitate innovative use of information systems (IS), and to examine how psychological climate and individual goal orientation interact to promote employees' innovative IS use. A total of 174 questionnaires were collected from enterprise resource planning (ERP) users from nine firms in China. Hierarchical regression analysis was used to test the research hypotheses. The empirical results suggest that (1) psychological climates (psychological autonomy climate and psychological innovation climate) are positively associated with IS users' innovative use, (2) avoidance orientation weakens the relationship between psychological autonomy climate and innovative use, (3) learning orientation weakens the relationship between psychological innovation climate and innovative use, and (4) learning orientation strengthens the relationship between psychological autonomy climate and innovative use. This study contributes to IS literature by identifying psychological climate as a critical antecedent of innovative use. The findings also fulfil an identified need for more empirical studies of the combined effect of individual and environmental factors on employees' innovative behaviour in the workplace, especially in the context of IS innovation.</t>
  </si>
  <si>
    <t>[Guo, Yuanyuan] Dalian Maritime Univ, Sch Maritime Econ &amp; Management, Dalian, Peoples R China; [Wang, Chaoyou] Dongbei Univ Finance &amp; Econ, Sch Management Sci &amp; Engn, Dalian 116025, Peoples R China; [Feng, Yuqiang] Harbin Inst Technol, Sch Management, Harbin, Heilongjiang, Peoples R China</t>
  </si>
  <si>
    <t>Dalian Maritime University; Dongbei University of Finance &amp; Economics; Harbin Institute of Technology</t>
  </si>
  <si>
    <t>Wang, CY (corresponding author), Dongbei Univ Finance &amp; Econ, Sch Management Sci &amp; Engn, Dalian 116025, Peoples R China.</t>
  </si>
  <si>
    <t>wangchaoyou@hotmail.com</t>
  </si>
  <si>
    <t>National Natural Science Foundation of China [71429001,71472053,71701034, 71774019]</t>
  </si>
  <si>
    <t>This work was supported by National Natural Science Foundation of China: [grant number 71429001,71472053,71701034, 71774019].</t>
  </si>
  <si>
    <t>10.1080/0144929X.2018.1534988</t>
  </si>
  <si>
    <t>HO0WX</t>
  </si>
  <si>
    <t>WOS:000460627500003</t>
  </si>
  <si>
    <t>Dieguez-Soto, J; Martinez-Romero, MJ</t>
  </si>
  <si>
    <t>Dieguez-Soto, Julio; Martinez-Romero, Maria J.</t>
  </si>
  <si>
    <t>Family Involvement in Management and Product Innovation: The Mediating Role of R&amp;D Strategies</t>
  </si>
  <si>
    <t>product innovation; family management; R&amp;D investment; intramural R&amp;D; extramural R&amp;D</t>
  </si>
  <si>
    <t>EXTERNAL KNOWLEDGE ACQUISITION; DEVELOPMENT INVESTMENTS; ABSORPTIVE-CAPACITY; SOCIOEMOTIONAL WEALTH; TECHNOLOGICAL-INNOVATION; OWNERSHIP STRUCTURE; TRANSACTION COSTS; FIRM PERFORMANCE; FOUNDER FIRMS; AGENCY COSTS</t>
  </si>
  <si>
    <t>Following calls to capture family firms' innovative behavior and to specifically clarify how family firms manage product innovations to achieve sustainable economic development, this study empirically investigates the mediating role of Research &amp; Development (R&amp;D) strategies (i.e., intramural R&amp;D investments, extramural R&amp;D investments, and the combination of both intramural and extramural R&amp;D investments) in the relationship between family involvement in the management and likelihood of obtaining product innovations. Carrying out a panel data analysis that is based on 7264 observations of Spanish manufacturing firms throughout the 2000-2015 period, our results suggest a negative effect of the level of family management on the likelihood of introducing product innovations. Moreover, we found that intramural R&amp;D investments and the investment strategy consisting of both intramural and extramural R&amp;D mediated the family involvement in management-likelihood of obtaining product innovations relationship. Our findings contribute important insights to the comprehension of which determinants instigate product innovation in family managed firms.</t>
  </si>
  <si>
    <t>[Dieguez-Soto, Julio] Univ Malaga, Fac Econ &amp; Business, E-29071 Malaga, Spain; [Martinez-Romero, Maria J.] Univ Almeria, Fac Econ &amp; Business, Almeria 04120, Spain</t>
  </si>
  <si>
    <t>Universidad de Malaga; Universidad de Almeria</t>
  </si>
  <si>
    <t>Martinez-Romero, MJ (corresponding author), Univ Almeria, Fac Econ &amp; Business, Almeria 04120, Spain.</t>
  </si>
  <si>
    <t>jdieguez@uma.es; mariaj.martinez@ual.es</t>
  </si>
  <si>
    <t>Martínez-Romero, María J./W-3590-2019; Diéguez-Soto, Julio/H-5608-2015</t>
  </si>
  <si>
    <t>Martínez-Romero, María J./0000-0001-7891-1558; Diéguez-Soto, Julio/0000-0001-5116-5604</t>
  </si>
  <si>
    <t>Universidad de Malaga, Spain</t>
  </si>
  <si>
    <t>This research received external funding from a Research Project of the Universidad de Malaga, Spain.</t>
  </si>
  <si>
    <t>10.3390/su11072162</t>
  </si>
  <si>
    <t>HW2WV</t>
  </si>
  <si>
    <t>WOS:000466551600339</t>
  </si>
  <si>
    <t>Massu, J; Caroff, X; Souciet, H; Lubart, TI</t>
  </si>
  <si>
    <t>Massu, Justine; Caroff, Xavier; Souciet, Helene; Lubart, Todd I.</t>
  </si>
  <si>
    <t>Managers' Intention to Innovate in a Change Context: Examining the Role of Attitudes, Control and Support</t>
  </si>
  <si>
    <t>DIVERGENT THINKING ATTITUDES; BEHAVIOR; PERFORMANCE; IDEATION; WORK; DETERMINANTS; ANTECEDENTS; FIT</t>
  </si>
  <si>
    <t>Drawing on the Theory of Planned Behavior, this research investigates factors determining managers' intention to innovate contextualized within the situation of a new management practice implementation: telework. Managers' attitude toward telework, their attitude toward ideation and their perception of organizational support for creativity were identified as potential determinants of managers' intentions to innovate in order to implement telework. However, according to the Theory of Planned Behavior, such effects are mediated by attitude toward innovative behaviors and perceived behavioral control. A sample of managers (N = 91) who never implemented telework completed an online questionnaire designed to assess these factors. Results from a path analysis confirmed the predictive model with the exception that attitude toward ideation had a stronger direct effect on attitude toward innovative behaviors than expected. Results are discussed in terms of their extension to the actual creation of innovative behaviors and their generalizability to decontextualized reported intentions to innovate, offering potential avenues for future research.</t>
  </si>
  <si>
    <t>[Massu, Justine; Caroff, Xavier; Souciet, Helene; Lubart, Todd I.] Univ Paris 05, Boulogne, France</t>
  </si>
  <si>
    <t>UDICE-French Research Universities; Universite Paris Cite</t>
  </si>
  <si>
    <t>Caroff, X (corresponding author), Univ Paris 05, Boulogne, France.</t>
  </si>
  <si>
    <t>xavier.caroff@parisdescartes.fr</t>
  </si>
  <si>
    <t>Lubart, todd/Z-4126-2019</t>
  </si>
  <si>
    <t>Lubart, todd/0000-0002-8776-8797</t>
  </si>
  <si>
    <t>10.1080/10400419.2018.1530532</t>
  </si>
  <si>
    <t>HE4SU</t>
  </si>
  <si>
    <t>WOS:000453358000002</t>
  </si>
  <si>
    <t>Tomori, C; Srikrishnan, AK; Mehta, SH; Nimmagadda, N; Anand, S; Vasudevan, CK; Celentano, DD; Solomon, SS</t>
  </si>
  <si>
    <t>Tomori, Cecilia; Srikrishnan, Aylur K.; Mehta, Shruti H.; Nimmagadda, Nymisha; Anand, Santhanam; Vasudevan, Canjeevaram K.; Celentano, David D.; Solomon, Sunil S.</t>
  </si>
  <si>
    <t>HIV risks among women who are married to men who have sex with men in India: a qualitative investigation</t>
  </si>
  <si>
    <t>CULTURE HEALTH &amp; SEXUALITY</t>
  </si>
  <si>
    <t>India; HIV prevention; marriage; women; men who have sex with men</t>
  </si>
  <si>
    <t>SOUTH-INDIA; PREVALENCE; PREVENTION; GENDER; VIOLENCE; MUMBAI; MSM; DEPRESSION; INFECTION; PARTNERS</t>
  </si>
  <si>
    <t>In countries such as India, men who have same-sex partnerships may marry women due to cultural pressures regardless of their sexual desires and preferences. The wives of such men may be at risk for HIV but limited existing research addresses this issue. This qualitative study used in-depth interviews to investigate HIV-related risk among married men who have sex with men (n = 34) and women who were aware of their husband's same-sex behaviour (n = 13) from six research sites in five states and a Union Territory in India: Delhi (Delhi), Visakhapatnam (Andhra Pradesh), Hyderabad (Telangana), Bengaluru (Karnataka), Chennai and Madurai (Tamil Nadu). Thematic analysis revealed that wives of men who have sex with men were at risk for HIV from their husbands' sexual practices, which are often hidden to avoid the potential consequences of stigmatisation, as well as from gender-based inequities that make husbands the primary decision-makers about sex and condom use, even when wives are aware of their husband's same-sex behaviour. Innovative interventions are needed to address HIV-related risk in couples where wives remain unaware of their husband's same-sex behaviour, and for wives who are aware but remain within these marriages. ResumeDans certains pays comme l'Inde, il arrive que des hommes qui sont dans des partenariats de meme sexe epousent des femmes en raison des pressions culturelles, independamment de leurs desirs et preferences sexuels. S'il existe une possibilite que les epouses de ces hommes soient a risque vis-a-vis du VIH, a ce jour, peu de recherches ont porte sur cette question. Cette etude qualitative a utilise des entretiens en profondeur pour examiner le risque lie au VIH chez des hommes maries qui ont des rapports avec des hommes (n = 34) et des femmes qui avaient connaissance des comportements homosexuels de leurs maris (n = 13). Ces entretiens se sont deroules sur six sites de recherche existant dans cinq Etats et un territoire de l'Union en Inde : Delhi (Delhi), Visakhapatnam (Andrah Pradesh), Hyderabad (Telangana), Bengaluru (Karnataka), Chennai et Madurai (Tamil Nadu). L'analyse thematique a revele que les epouses des hommes qui ont des rapports avec des hommes etaient a risque vis-a-vis du VIH en raison des pratiques sexuelles de leurs maris - souvent cachees pour eviter les consequences potentielles de la stigmatisation - et des inegalites entre les genres qui maintiennent les maris dans des roles de principaux preneurs de decisions relativement aux rapports sexuels et a l'usage du preservatif, meme lorsque leurs femmes prennent conscience de leurs comportements homosexuels. Il est urgent d'elaborer des interventions innovantes pour riposter au risque lie au VIH dans les couples oU les epouses ne savent rien des comportements homosexuels de leurs maris, de meme que dans ceux oU les femmes sont conscientes de ces comportements tout en restant mariees. ResumenDebido a las presiones culturales existentes, en paises como India los hombres cuyas parejas son del mismo sexo pueden contraer matrimonio con mujeres, independientemente de sus deseos o sus preferencias sexuales. Aunque las esposas de estos hombres se ven expuestas a mayor riesgo de contraer el vih, son escasas las investigaciones que abordan esta problematica. A partir de entrevistas en profundidad, el presente estudio cualitativo se propuso investigar el riesgo asociado al vih entre hombres casados que tienen sexo con hombres (n=34) y mujeres que conocen las preferencias homosexuales de sus esposos (n=13). Los participantes fueron entrevistados en seis sitios de investigacion localizados en cinco estados y un Territorio de la Union en India: Delhi (Delhi), Visakhapatnam (Andhra Pradesh), Hyderabad (Telangana), Bengaluru (Karnataka), Chennai and Madurai (Tamil Nadu). La aplicacion del analisis tematico revelo que las esposas de hombres que tienen sexo con hombres estan expuestas a contraer el vih como resultado de las practicas sexuales de sus esposos, a menudo ocultadas para evitar las posibles consecuencias que conllevan la estigmatizacion y las inequidades basadas en el genero. Ello significa que los esposos sean quienes toman las decisiones relativas al sexo y al uso de condones, aun cuando las esposas tengan conocimiento del comportamiento homosexual de sus esposos. Por lo que es necesario realizar intervenciones innovadoras para afrontar el riesgo de que, en aquellas relaciones en que las esposas siguen desconociendo el comportamiento homosexual de sus esposos y en las que las esposas a pesar de conocerlo permanecen en el matrimonio, las parejas contraigan el vih.</t>
  </si>
  <si>
    <t>[Tomori, Cecilia; Mehta, Shruti H.; Celentano, David D.; Solomon, Sunil S.] Johns Hopkins Bloomberg Sch Publ Hlth, Dept Epidemiol, Baltimore, MD USA; [Srikrishnan, Aylur K.; Anand, Santhanam; Vasudevan, Canjeevaram K.; Solomon, Sunil S.] YR Gaitonde Ctr AIDS Res &amp; Educ, Madras, Tamil Nadu, India; [Nimmagadda, Nymisha] Lifebridge Hlth, Populat Hlth Dept, Baltimore, MD USA; [Celentano, David D.; Solomon, Sunil S.] Johns Hopkins Sch Med, Dept Med, Baltimore, MD USA; [Tomori, Cecilia] Univ Durham, Dept Anthropol, Durham, England</t>
  </si>
  <si>
    <t>Johns Hopkins University; Johns Hopkins Bloomberg School of Public Health; Johns Hopkins University; Johns Hopkins Medicine; N8 Research Partnership; RLUK- Research Libraries UK; Durham University</t>
  </si>
  <si>
    <t>Tomori, C (corresponding author), Johns Hopkins Bloomberg Sch Publ Hlth, Dept Epidemiol, Baltimore, MD USA.;Tomori, C (corresponding author), Univ Durham, Dept Anthropol, Durham, England.</t>
  </si>
  <si>
    <t>cecilia.tomori@durham.ac.uk</t>
  </si>
  <si>
    <t>Tomori, Cecilia/C-5147-2018; Solomon, Sunil Suhas/P-6907-2019</t>
  </si>
  <si>
    <t>Tomori, Cecilia/0000-0003-4235-1821; Herrera Nimmagadda, Nymisha/0009-0006-2384-5649; Celentano, David/0000-0002-6061-8799</t>
  </si>
  <si>
    <t>US National Institutes of Health [R01MH89266, R21MH101059]; Johns Hopkins Center for AIDS Research [1P30AI094189]</t>
  </si>
  <si>
    <t>US National Institutes of Health(United States Department of Health &amp; Human ServicesNational Institutes of Health (NIH) - USA); Johns Hopkins Center for AIDS Research</t>
  </si>
  <si>
    <t>This study was supported by grants from the US National Institutes of Health (R01MH89266, R21MH101059) and the Johns Hopkins Center for AIDS Research (1P30AI094189). The funders had no role in the study design, data collection and analysis, the decision to publish, or the preparation of the manuscript.</t>
  </si>
  <si>
    <t>1369-1058</t>
  </si>
  <si>
    <t>1464-5351</t>
  </si>
  <si>
    <t>CULT HEALTH SEX</t>
  </si>
  <si>
    <t>Cult. Health Sex</t>
  </si>
  <si>
    <t>10.1080/13691058.2017.1390161</t>
  </si>
  <si>
    <t>Family Studies; Social Sciences, Biomedical</t>
  </si>
  <si>
    <t>Family Studies; Biomedical Social Sciences</t>
  </si>
  <si>
    <t>GN0EY</t>
  </si>
  <si>
    <t>WOS:000438635000003</t>
  </si>
  <si>
    <t>Waheed, M; Klobas, JE; Kaur, K</t>
  </si>
  <si>
    <t>Waheed, Mehwish; Klobas, Jane E.; Kaur, Kiran</t>
  </si>
  <si>
    <t>The importance of actual use in defining and measuring innovative behaviour: Comparison of e-book reader users and non-users</t>
  </si>
  <si>
    <t>JOURNAL OF LIBRARIANSHIP AND INFORMATION SCIENCE</t>
  </si>
  <si>
    <t>Actual use; e-book reader; IDT; personal innovative behaviour; TAM</t>
  </si>
  <si>
    <t>TECHNOLOGY ACCEPTANCE MODEL; PLANNED BEHAVIOR; ADOPTION</t>
  </si>
  <si>
    <t>This study introduces the concept of personal innovative behaviour and demonstrates its validity in the context of e-book reader adoption and use. Personal innovative behaviour, unlike measures of consumer innovativeness, amalgamates decisions about product adoption with reports of the product's actual use. Quantitative methodology was used, and probability proportional stratified sampling technique was used to obtain the proportionate sample. Items to measure personal innovative behaviour for e-book readers were included in a questionnaire distributed to students at a Malaysian university. Of the 386 participants, 79% used the e-book reader, half of them for academic purposes. Confirmatory factor analysis using Amos tested the concept of personal innovative behaviour for both users and non-users. The results indicated that the underlying dimensions, (intended Adoption Behaviour and actual Use Behaviour), could be measured and combined in a structural model only for users, i.e. innovators. Good model fit confirmed the validity and reliability of the framework. The redefined construct and scale validation will be helpful to researchers to measure the individual personal behaviour in terms of their final decision to adopt and actual usage of the novel product. The personal innovative behaviour scale presented here can be used by researchers and practitioners to measure adoption and use of personal information products and devices. The two dimensional conceptualization of personal innovative behaviour (intended Adoption Behaviour and actual Use Behaviour) reconciles similarities and differences between the decision and action variables in innovation diffusion theory and the technology acceptance model.</t>
  </si>
  <si>
    <t>[Waheed, Mehwish] Univ Malaya, Asia Europe Inst, Kuala Lumpur, Malaysia; [Klobas, Jane E.] Murdoch Univ, Murdoch, WA, Australia; [Klobas, Jane E.] Bocconi Univ, Milan, MI, Italy; [Kaur, Kiran] Univ Malaya, Dept Lib &amp; Informat Sci, Fac Comp Sci &amp; Informat Technol, Kuala Lumpur, Malaysia</t>
  </si>
  <si>
    <t>Universiti Malaya; Murdoch University; Bocconi University; Universiti Malaya</t>
  </si>
  <si>
    <t>Waheed, M (corresponding author), Univ Malaya, Fac Comp Sci &amp; Informat Technol, Kuala Lumpur 50603, Petaling Jaya, Malaysia.</t>
  </si>
  <si>
    <t>mahwish.phd@gmail.com</t>
  </si>
  <si>
    <t>Kiran, Kaur/B-8793-2010; Klobas, Jane Elizabeth/J-3384-2013</t>
  </si>
  <si>
    <t>Kiran, Kaur/0000-0003-3021-2576; Klobas, Jane Elizabeth/0000-0003-2146-7059; Waheed, Mehwish/0000-0003-0375-7976</t>
  </si>
  <si>
    <t>0961-0006</t>
  </si>
  <si>
    <t>1741-6477</t>
  </si>
  <si>
    <t>J LIBR INF SCI</t>
  </si>
  <si>
    <t>J. Libr. Inf. Sci.</t>
  </si>
  <si>
    <t>10.1177/0961000616640030</t>
  </si>
  <si>
    <t>FM7XA</t>
  </si>
  <si>
    <t>WOS:000415292900002</t>
  </si>
  <si>
    <t>Snowdon, CT; Roskos, TR</t>
  </si>
  <si>
    <t>Snowdon, Charles T.; Roskos, Thomas R.</t>
  </si>
  <si>
    <t>Stick-Weaving: Innovative Behavior in Tamarins (Saguinus oedipus)</t>
  </si>
  <si>
    <t>cotton-top tamarins; stick-weaving; social learning; generalization; innovation</t>
  </si>
  <si>
    <t>GOLDEN LION TAMARINS; COTTONTOP TAMARINS; FORAGING TECHNIQUES; COMMON MARMOSETS; TRANSMISSION; ACQUISITION; IMITATION; DYNAMICS; MONKEYS; TASK</t>
  </si>
  <si>
    <t>Some captive cotton-top tamarins spontaneously weave sticks in the mesh of their enclosures so that the stick is lodged between two mesh openings. Sticks are broken from natural branches placed in the enclosures and often modified by biting them in the center before weaving through the mesh. To investigate this further, we systematically surveyed all animals in our colony and found that all successful stick-weaving tamarins were descendants from only 2 of the 16 breeding groups contributing to the colony membership at the time of surveying or were the mates of these descendants, suggesting stick-weaving is a socially learned behavior. Successful stick-weavers were presented with pipe cleaners, soda straws, and wooden dowels to see if they would generalize stick-weaving to novel objects. Seven of 10 animals successfully wove with straws or pipe cleaners, showing that they could generalize the behavior to objects that were physically different but had the same affordances as the sticks. Data from a father-daughter pair suggest a form of coaching. Innovative behavior is needed for the emergence of culture with subsequent social transmission. Although innovative behavior in primates is mainly associated with foraging and is more likely to occur among males, stick-weaving has no obvious reward and appeared equally in both sexes. Stick-weaving behavior and its probable social transmission across generations suggest the possibility of cultural traditions emerging in this species.</t>
  </si>
  <si>
    <t>[Snowdon, Charles T.; Roskos, Thomas R.] Univ Wisconsin, Dept Psychol, 1202 West Johnson St, Madison, WI 53706 USA; [Roskos, Thomas R.] Bear River Mental Hlth Serv, Logan, UT USA</t>
  </si>
  <si>
    <t>University of Wisconsin System; University of Wisconsin Madison</t>
  </si>
  <si>
    <t>Snowdon, CT (corresponding author), Univ Wisconsin, Dept Psychol, 1202 West Johnson St, Madison, WI 53706 USA.</t>
  </si>
  <si>
    <t>snowdon@wisc.edu</t>
  </si>
  <si>
    <t>USPHS [MH 029775]</t>
  </si>
  <si>
    <t>USPHS(United States Department of Health &amp; Human ServicesUnited States Public Health Service)</t>
  </si>
  <si>
    <t>Support of the colony was funded by USPHS Grant MH 029775 to Charles T. Snowdon. We thank Sagan Friant for assistance with data collection.</t>
  </si>
  <si>
    <t>10.1037/com0000071</t>
  </si>
  <si>
    <t>EU5PV</t>
  </si>
  <si>
    <t>WOS:000401085800009</t>
  </si>
  <si>
    <t>Fernandez-Sastre, J; Martin-Mayoral, F</t>
  </si>
  <si>
    <t>Fernandez-Sastre, Juan; Martin-Mayoral, Fernando</t>
  </si>
  <si>
    <t>The effects of developing-countries' innovation support programs: evidence from Ecuador</t>
  </si>
  <si>
    <t>innovation support programs; technological capabilities; emerging innovation systems; impact assessment</t>
  </si>
  <si>
    <t>RESEARCH-AND-DEVELOPMENT; TECHNOLOGICAL CAPABILITIES; DEVELOPMENT INVESTMENT; DEVELOPMENT SUBSIDIES; EMPIRICAL-EVIDENCE; PROPENSITY SCORE; POLICY; EMPLOYMENT; KNOWLEDGE; FIRMS</t>
  </si>
  <si>
    <t>This paper evaluates the impact of Ecuadorian innovation support programs, which are intended to enhance firms' technological and managerial capabilities, on firms' innovative behavior and performance. In order to estimate the causal effects, we employ different Propensity Score Matching procedures. Results indicate that participating in a program increases firms' internal R&amp;D and innovation effort, the qualification of the workforce, the likelihood of introducing product, process and organizational innovations and the probability of establishing linkages with research partners. However, participants do not show greater external R&amp;D intensity or a higher propensity to patent, nor are they more likely to cooperate with suppliers, customer or competitors.</t>
  </si>
  <si>
    <t>[Fernandez-Sastre, Juan; Martin-Mayoral, Fernando] FLACSO Ecuador, Fac Latinoamer Ciencias Sociales, Dept Desarrollo Ambiente &amp; Terr, La Pradera E7-174 &amp; Av Diego de Almagro, Quito, Ecuador</t>
  </si>
  <si>
    <t>Fernandez-Sastre, J (corresponding author), FLACSO Ecuador, Fac Latinoamer Ciencias Sociales, Dept Desarrollo Ambiente &amp; Terr, La Pradera E7-174 &amp; Av Diego de Almagro, Quito, Ecuador.</t>
  </si>
  <si>
    <t>jfernandez@flacso.edu.ec</t>
  </si>
  <si>
    <t>Martin-Mayoral, Fernando/0000-0002-8553-5770</t>
  </si>
  <si>
    <t>10.1080/14479338.2016.1157447</t>
  </si>
  <si>
    <t>DJ1AD</t>
  </si>
  <si>
    <t>WOS:000373934600004</t>
  </si>
  <si>
    <t>Wu, S; Huang, ZL; Zhong, WZ</t>
  </si>
  <si>
    <t>Wu, Shue; Huang, Zhenlei; Zhong, Weizhou</t>
  </si>
  <si>
    <t>Does inertia matter for parts manufacturers' innovation?</t>
  </si>
  <si>
    <t>Parts manufacturers; Inertia; Innovation; Population ecology</t>
  </si>
  <si>
    <t>ORGANIZATIONS; CAPABILITIES; LOCATION; PERSPECTIVE; COMPETITION; KNOWLEDGE; CLUSTERS; FIRMS; MODEL</t>
  </si>
  <si>
    <t>The current study investigates parts manufacturers' innovative behavior from the population ecology perspective. Specifically, this paper proposes that firm level inertia and network level inertia matter in parts manufacturer's innovation. Using data from auto parts manufacturers, we test four hypotheses, and the results show that firm level inertia indicated by age does not matter, while firm's innovative inertia matters in parts manufacturers' innovation. At the same time, we find that cluster can promote general parts firms' innovation, but they will harm the innovative firms' innovative behavior. These results contribute to our understanding of parts manufacturer's innovation.</t>
  </si>
  <si>
    <t>[Wu, Shue; Zhong, Weizhou] Xi An Jiao Tong Univ, Sch Econ &amp; Finance, Xian 710061, Peoples R China; [Huang, Zhenlei] Peking Univ, Guanghua Sch Management, Dept Strateg Management, Beijing 100871, Peoples R China</t>
  </si>
  <si>
    <t>Xi'an Jiaotong University; Peking University</t>
  </si>
  <si>
    <t>Huang, ZL (corresponding author), Peking Univ, Guanghua Sch Management, Dept Strateg Management, Beijing 100871, Peoples R China.</t>
  </si>
  <si>
    <t>zhenleihuang@126.com</t>
  </si>
  <si>
    <t>National Natural Science Foundation of China [71172184, 70872088]; Specialized Research Fund for the Doctoral Program of Higher Education [20100201110064]</t>
  </si>
  <si>
    <t>National Natural Science Foundation of China(National Natural Science Foundation of China (NSFC)); Specialized Research Fund for the Doctoral Program of Higher Education(Specialized Research Fund for the Doctoral Program of Higher Education (SRFDP))</t>
  </si>
  <si>
    <t>The paper is a stage result of the project of Financial support from National Natural Science Foundation of China (No. 71172184 and No. 70872088) and is also supported by the Specialized Research Fund for the Doctoral Program of Higher Education (No. 20100201110064). The authors are grateful to the Editor and the anonymous reviewers for their helpful comments, suggestions and help.</t>
  </si>
  <si>
    <t>10.1007/s11192-013-1191-5</t>
  </si>
  <si>
    <t>AP6ZX</t>
  </si>
  <si>
    <t>WOS:000342228300032</t>
  </si>
  <si>
    <t>Moreno, AR; Garcia-Morales, VJ; Montes, FJL</t>
  </si>
  <si>
    <t>Ruiz Moreno, Antonia; Garcia-Morales, Victor J.; Llorens Montes, Francisco Javier</t>
  </si>
  <si>
    <t>Determinants of proactive innovative behaviour in new services: empirical investigation of service versus manufacturing firms</t>
  </si>
  <si>
    <t>innovation; customer participation; formalization; decentralization</t>
  </si>
  <si>
    <t>RESOURCE-BASED VIEW; ORGANIZATIONAL-STRUCTURE; PRODUCT DEVELOPMENT; OPERATIONS MANAGEMENT; BUSINESS SERVICES; PERFORMANCE; IMPACT; ADOPTION; FIT; FLEXIBILITY</t>
  </si>
  <si>
    <t>The research performs a complete analysis of the differences between services and products based on factors associated with the innovation process. The research analyses the factors/dimensions and their repercussions that determine firms' capacity to adapt to their environment and observes how the critical dimensions of the innovation process influence the gap generated by the difference in the firm's current level of innovation and the level developed by the competition. The results show that the client's participation in the process of innovation is greater in service firms that possess a larger innovation gap and are more proactive. The opposite is the case for formalization and decentralization, which occur in lower levels in this kind of firm. Further, decentralization and formalization are lower in service than in manufacturing firms.</t>
  </si>
  <si>
    <t>[Ruiz Moreno, Antonia; Garcia-Morales, Victor J.; Llorens Montes, Francisco Javier] Univ Granada, Fac Econ &amp; Business, Dept Management, E-18071 Granada, Spain</t>
  </si>
  <si>
    <t>Garcia-Morales, VJ (corresponding author), Univ Granada, Fac Econ &amp; Business, Dept Management, Campus Cartuja SN, E-18071 Granada, Spain.</t>
  </si>
  <si>
    <t>victorj@ugr.es</t>
  </si>
  <si>
    <t>GARCIA, VICTOR G./HOF-9077-2023; MONTES, FRANCISCO JAVIER LLORENS/J-8994-2017; MORALES, VÍCTOR JESÚS GARCÍA/F-9736-2016</t>
  </si>
  <si>
    <t>MONTES, FRANCISCO JAVIER LLORENS/0000-0002-8485-7065; MORALES, VÍCTOR JESÚS GARCÍA/0000-0001-9061-6973</t>
  </si>
  <si>
    <t>10.1080/02642069.2011.628987</t>
  </si>
  <si>
    <t>196DW</t>
  </si>
  <si>
    <t>WOS:000322754600001</t>
  </si>
  <si>
    <t>Commeiras, N; Loubes, A; Bories-Azeau, I</t>
  </si>
  <si>
    <t>Commeiras, Nathalie; Loubes, Anne; Bories-Azeau, Isabelle</t>
  </si>
  <si>
    <t>Identification of organizational socialization tactics: The case of sales and marketing trainees in higher education</t>
  </si>
  <si>
    <t>Organizational socialization tactics; Practical training in higher education; Sates force</t>
  </si>
  <si>
    <t>ROLE STRESS; NEWCOMER SOCIALIZATION; INNOVATIVE BEHAVIOR; SELF-EFFICACY; ROLE-CONFLICT; WORK; HEALTH; MODEL; SENSE</t>
  </si>
  <si>
    <t>The fast track to employment and the primary road to hiring, learning or traineeship (taken to mean a system of learning or traineeship that alternates periods of theoretical training at the University with practical training in the company) is continuing to grow. Despite its development and its implications for the company (pre-recruitment and investment), few researchers are interested in the socialization of trainees and, in particular, sales and marketing people. The objective of this exploratory study is to identify the organizational practices of socialization put in place for the Customer Advisor trainee employees in the banking/insurance sector, an atypical segment of sales and marketing resources. The results of a qualitative study conducted on the basis of two data collections (33 individual semi-directive interviews were carried out with different actors along with a group interview of 13 professional tutors) reveal particularities related to the socialization of commercial trainees such as the establishment of an organizational context conducive to learning and the crucial role of the tutor. These results also show that the presence of trainees develops role innovation in that which concerns both the trainees and the tutors. (C) 2012 Elsevier Ltd. All rights reserved.</t>
  </si>
  <si>
    <t>[Commeiras, Nathalie] Univ Grenoble 2, CERAG, UMR 5820, F-38040 Grenoble, France; [Loubes, Anne] Univ Montpellier 2, MRM CREGOR, IAE Montpellier, F-34095 Montpellier 5, France; [Bories-Azeau, Isabelle] Univ Montpellier I, MRM ERFI, UFR AES, F-34006 Montpellier, France</t>
  </si>
  <si>
    <t>UDICE-French Research Universities; Communaute Universite Grenoble Alpes; Institut National Polytechnique de Grenoble; Universite Grenoble Alpes (UGA); Centre National de la Recherche Scientifique (CNRS); Universite de Montpellier; Universite de Montpellier</t>
  </si>
  <si>
    <t>Loubes, A (corresponding author), Univ Montpellier 2, MRM CREGOR, IAE Montpellier, F-34095 Montpellier 5, France.</t>
  </si>
  <si>
    <t>aloubes@univ-montp2.fr</t>
  </si>
  <si>
    <t>10.1016/j.emj.2012.05.002</t>
  </si>
  <si>
    <t>095GQ</t>
  </si>
  <si>
    <t>WOS:000315323100005</t>
  </si>
  <si>
    <t>Ozkaya, A</t>
  </si>
  <si>
    <t>Ozkaya, Ata</t>
  </si>
  <si>
    <t>R&amp;D Team's Competencies, Innovation, and Growth With Knowledge Information Flow</t>
  </si>
  <si>
    <t>Game theory; knowledge acquisition; optimization methods; patents; product development; research and development (R&amp;D) economics; R&amp;D management</t>
  </si>
  <si>
    <t>MANAGEMENT CONTROL; COMPETITION; IMITATION; CAPABILITIES; TECHNOLOGY; MODEL; PATENTS</t>
  </si>
  <si>
    <t>This paper analyzes the interaction among the step-by-step innovation, the product market competition (PMC), and the knowledge information flow in the growth process. Patents protect their holders from being imitated or copied but do not protect them against the possibility that less-efficient competitors master the diffused knowledge. The degree to which diffused knowledge should be exploited by less-efficient firms is determined by both their knowledge assimilating capacities and Research and Development (R&amp;D) teams' competence type and level. The individual skill distribution in R&amp;D team may lead to different innovative behaviors: replicating the knowledge or creation of novel knowledge. Here, we first find that replicating the knowledge and creation of novel knowledge are both growth enhancing; second, the more the flexibility on individual creativity in R&amp;D team is, the faster is the growth; third, the knowledge information flow has a polarization effect on firms' innovative performance.</t>
  </si>
  <si>
    <t>[Ozkaya, Ata] Univ Paris 01, EUREQua, F-75647 Paris, France; [Ozkaya, Ata] Galatasaray Univ, Dept Econ, Ctr Econ Res GIAM, TR-34357 Ortakoy, Turkey</t>
  </si>
  <si>
    <t>Galatasaray University</t>
  </si>
  <si>
    <t>Ozkaya, A (corresponding author), Univ Paris 01, EUREQua, F-75647 Paris, France.</t>
  </si>
  <si>
    <t>ataozk@yahoo.com</t>
  </si>
  <si>
    <t>ÖZKAYA, Ata/AAH-1211-2019; Özkaya, Ata/AAG-9958-2019</t>
  </si>
  <si>
    <t>Özkaya, Ata/0000-0001-7974-5600</t>
  </si>
  <si>
    <t>10.1109/TEM.2009.2037737</t>
  </si>
  <si>
    <t>659CF</t>
  </si>
  <si>
    <t>WOS:000282543900006</t>
  </si>
  <si>
    <t>Gongora, G; Garcia, D; Madrid, A</t>
  </si>
  <si>
    <t>Gongora, Gabriel; Garcia, Domingo; Madrid, Antonia</t>
  </si>
  <si>
    <t>The Effect of Public Support on Innovative Behavior and Performance in SMEs</t>
  </si>
  <si>
    <t>REVISTA DE CIENCIAS SOCIALES</t>
  </si>
  <si>
    <t>Grants; performance; SME; innovative behavior; Mexico</t>
  </si>
  <si>
    <t>RESEARCH-AND-DEVELOPMENT; FIRMS</t>
  </si>
  <si>
    <t>Innovation is one of the key competitive factors that enterprises should develop to assure their survival. The disadvantage of SMEs and their own characteristics of investment in innovation justify public intervention using government aid for innovation. The objective of financial support is to motivate a greater innovative effort that produces an increase in social wealth. The purpose of this work is to study public assistance for innovation in SMEs, analyzing the relationship between innovative behavior and performance. An empirical study was carried out at 143 manufacturing SMEs in the state of Yucatan, Mexico. Data was collected using a questionnaire directed to company managers and analyzed using univariate and multivariate techniques. Results showed that: 1) the current innovative behavior (IB) of subsidized firms is higher than non-subsidized firms, 2) the IB increases in subsidized firms after the government support and 3) the IB affects performance evolution in a positive way. However, the effect of public subsidy on firm performance is null. The results obtained are of great interest for public administration in order to design public assistance programs for innovation in SMEs.</t>
  </si>
  <si>
    <t>[Gongora, Gabriel] Univ Cantabria, Santander, Spain; [Garcia, Domingo] Univ Politecn Cartagena, Dept Econ Financiera &amp; Contabilidad, Cartagena, Spain; [Garcia, Domingo] Observ Econ Pyme Reg Murcia, Cartagena, Murcia, Spain; [Garcia, Domingo] Asociac Espanola Contabilidad &amp; Adm Empresas, Comis Valorac &amp; Financiac Empresas, Cartagena, Murcia, Spain; [Madrid, Antonia] Univ Politecn Cartagena, Catedra Jovenes Emprendedores Bancaja, Cartagena, Murcia, Spain; [Madrid, Antonia] Univ Murcia, Catedra Empresa Familiar, Cartagena, Murcia, Spain</t>
  </si>
  <si>
    <t>Universidad de Cantabria; Universidad Politecnica de Cartagena; Universidad Politecnica de Cartagena; University of Murcia</t>
  </si>
  <si>
    <t>Gongora, G (corresponding author), Univ Cantabria, Santander, Spain.</t>
  </si>
  <si>
    <t>ggongora@uady.mx; domingo.garcia@upct.es; Antonia.madrid@upct.es</t>
  </si>
  <si>
    <t>MADRID-GUIJARRO, ANTONIA/G-9574-2015</t>
  </si>
  <si>
    <t>MADRID-GUIJARRO, ANTONIA/0000-0001-8139-4360</t>
  </si>
  <si>
    <t>UNIV ZULIA, FAC CIENCIAS ECON &amp; SOCIALES SCI</t>
  </si>
  <si>
    <t>MARACAIBO</t>
  </si>
  <si>
    <t>CIUDAD UNIV DR. ANTONIO BORJAS ROMERO, NUCLEO HUMANISTICO, AV GUAJIRA, SECTOR ZIRUMA, APDO 526, MARACAIBO, 00000, VENEZUELA</t>
  </si>
  <si>
    <t>1315-9518</t>
  </si>
  <si>
    <t>REV CIENC SOC-VENEZ</t>
  </si>
  <si>
    <t>Rev. Cienc. Soc.</t>
  </si>
  <si>
    <t>676GZ</t>
  </si>
  <si>
    <t>WOS:000283900300003</t>
  </si>
  <si>
    <t>Malibari, MA; Bajaba, S</t>
  </si>
  <si>
    <t>Malibari, Mashael Abdulaziz; Bajaba, Saleh</t>
  </si>
  <si>
    <t>Entrepreneurial leadership and employees' innovative behavior: A sequential mediation analysis of innovation climate and employees' intellectual agility</t>
  </si>
  <si>
    <t>Innovative behavior; Entrepreneurial leadership; Innovation climate; Employees? intellectual agility; Social cognitive theory</t>
  </si>
  <si>
    <t>CREATIVE SELF-EFFICACY; TRANSFORMATIONAL LEADERSHIP; ORGANIZATIONAL-CLIMATE; WORK BEHAVIOR; METHOD VARIANCE; PERFORMANCE; ANTECEDENTS; CULTURE; TEAMS; RECOMMENDATIONS</t>
  </si>
  <si>
    <t>Despite previous research demonstrating the importance of entrepreneurial leadership in fostering innova-tive behavior among employees, less is known about the mechanisms and processes through which leaders influence their employees' innovative behavior. By utilizing social cognitive theory, the purpose of this paper is to examine the sequential role of innovation climate and employees' intellectual agility in mediating the link between entrepreneurial leadership and employees' innovative behavior. We collected 241 data points from full-time employees in the US using the survey method and tested our hypotheses using hierarchical multiple regression and PROCESS Macro. Entrepreneurial leadership was found to significantly impact employees' innovative behavior through the innovation climate and their intellectual agility. These findings allow leaders to pinpoint their critical roles in fostering innovation in their businesses and establishing the ideal culture and climate for innovation. It also allows leaders to create innovative settings to encourage employees to share ideas and concepts in a confident manner. A discussion of the findings, implications, limi-tations, and future research avenues is included.(c) 2022 The Author(s). Published by Elsevier Espana, S.L.U. on behalf of Journal of Innovation &amp; Knowledge. This is an open access article under the CC BY license (http://creativecommons.org/licenses/by/4.0/)</t>
  </si>
  <si>
    <t>[Malibari, Mashael Abdulaziz] Umm Al Qura Univ, Dept Business Adm, PO 24381, Mecca 4299, Saudi Arabia; [Bajaba, Saleh] King Abdulaziz Univ, Dept Business Adm, PO 80201, Jeddah 21589, Saudi Arabia</t>
  </si>
  <si>
    <t>Umm Al Qura University; King Abdulaziz University</t>
  </si>
  <si>
    <t>Bajaba, S (corresponding author), King Abdulaziz Univ, Dept Business Adm, PO 80201, Jeddah 21589, Saudi Arabia.</t>
  </si>
  <si>
    <t>sbajaba@kau.edu.sa</t>
  </si>
  <si>
    <t>Bajaba, Saleh/AAA-9661-2020; Malibari, Mashael/GVS-8755-2022</t>
  </si>
  <si>
    <t>Bajaba, Saleh/0000-0003-4795-0145; Malibari, Mashael/0000-0002-5952-3960</t>
  </si>
  <si>
    <t>10.1016/j.jik.2022.100255</t>
  </si>
  <si>
    <t>5J1DO</t>
  </si>
  <si>
    <t>WOS:000868786400002</t>
  </si>
  <si>
    <t>Globocnik, D; Haufler, BP; Salomo, S</t>
  </si>
  <si>
    <t>Globocnik, Dietfried; Haeufler, Birgit Pena; Salomo, Soren</t>
  </si>
  <si>
    <t>Organizational antecedents to bootlegging and consequences for the newness of the innovation portfolio</t>
  </si>
  <si>
    <t>bootlegging; creative deviance; degree of innovativeness; idea management; innovation portfolio; innovative behavior; innovation strategy; management support; senior management involvement; planned emergence</t>
  </si>
  <si>
    <t>EMPLOYEE CREATIVITY; RADICAL INNOVATION; PRODUCT INNOVATION; CORPORATE ENTREPRENEURSHIP; SUGGESTION SYSTEMS; PROJECT-MANAGEMENT; FIT INDEXES; METHOD BIAS; MODEL; ORIENTATION</t>
  </si>
  <si>
    <t>Literature on strategy, innovation, and portfolio management has recently shown increased interest in the concept of planned emergence. This builds on an understanding that organizations' innovation is triggered both by deliberate top-down management approaches as well as emergent bottom-up processes. However, little is known on how to effectively plan emergence. In this context, bootlegging has been mentioned as a potential approach, describing instances in which employees choose to innovate without the knowledge and permission of top managers. Whereas past research has focused on the individual employee, we shift the perspective to the overall tendency of bootlegging in organizations. We investigate which organizational conditions facilitate the propensity of bootlegging becoming a widespread practice in an organization, and how this tendency is associated with the organization's innovativeness. Drawing on the theory of creative deviance, we argue that organizations deploying management practices fostering emergent and induced innovation initiatives increase structural strain and thereby bootlegging tendency in such organizations. As more innovation initiatives are elaborated outside the formal process, the number and diversity of ideas outside the strategic scope should increase. Higher bootlegging tendency is thereby proposed to be associated with higher portfolio innovativeness. Empirical evidence from the study of 930 respondents in 124 firms supports the notion that management practices supporting emergent innovation initiatives increase bootlegging tendency, which in turn increases newness of the organization's innovation portfolio. Management practices inducing a particular innovation direction are, in contrast, less prone to trigger structural strain with lesser effects on bootlegging tendencies of the organization. In sum, we contribute to the literature by providing evidence on bootlegging as a promising approach to enable planned emergence. We illustrate how different types of management practices can be used to regulate deviance in the organization to achieve higher degrees of newness of the organization's innovation outcomes.</t>
  </si>
  <si>
    <t>[Globocnik, Dietfried] Alpen Adria Univ, Dept Innovat Management &amp; Entrepreneurship, Univ Str 65-67, A-9020 Klagenfurt, Austria; [Haeufler, Birgit Pena; Salomo, Soren] Tech Univ Berlin, Chair Technol &amp; Innovat Management, Berlin, Germany; [Salomo, Soren] Danish Tech Univ, Ctr Entrepreneurship, Copenhagen, Denmark</t>
  </si>
  <si>
    <t>University of Klagenfurt; Technical University of Berlin; Technical University of Denmark</t>
  </si>
  <si>
    <t>Globocnik, D (corresponding author), Alpen Adria Univ, Dept Innovat Management &amp; Entrepreneurship, Univ Str 65-67, A-9020 Klagenfurt, Austria.</t>
  </si>
  <si>
    <t>dietfried.globocnik@au.at</t>
  </si>
  <si>
    <t>Globocnik, Dietfried/AAE-1420-2020</t>
  </si>
  <si>
    <t>Globocnik, Dietfried/0000-0001-9934-7933; Pena Haufler, Birgit/0000-0001-8205-8721</t>
  </si>
  <si>
    <t>10.1111/jpim.12626</t>
  </si>
  <si>
    <t>3Z2IG</t>
  </si>
  <si>
    <t>WOS:000791959100001</t>
  </si>
  <si>
    <t>Nurturing service innovation through developmental culture: A multilevel model</t>
  </si>
  <si>
    <t>JOURNAL OF HOSPITALITY AND TOURISM MANAGEMENT</t>
  </si>
  <si>
    <t>Developmental culture; Service innovation; Creative self-efficacy; Creative role identity; Dual-focused transformational leadership</t>
  </si>
  <si>
    <t>CREATIVE SELF-EFFICACY; TRANSFORMATIONAL LEADERSHIP; ORGANIZATIONAL CULTURE; MEDIATING ROLE; EMPLOYEE CREATIVITY; MODERATING ROLE; ROLE-IDENTITY; INTRINSIC MOTIVATION; HOSPITALITY INDUSTRY; CHINESE HOSPITALITY</t>
  </si>
  <si>
    <t>Hospitality organisations rely on service innovation simultaneously at the team and individual levels to improve service quality. Nevertheless, mechanisms underlying this dual-level service innovation have rarely been investigated. This study aims to develop a multilevel model of the mediating and moderating mechanisms behind the relationship between developmental culture and service innovation at both the team and individual levels. Dyadic data were collected from 58 team leaders and their 442 employees from 31 hospitality organisations in Zhengzhou, China. Multilevel structural equation modelling (MSEM) was utilised to validate the model. Results showed that developmental culture enhanced both team service innovation and service innovative behaviour. Creative self-efficacy and creative role identity partially mediated the relationship between developmental culture and service innovative behaviour. Team-focused transformational leadership (TFL) strengthened the effectiveness of developmental culture on team service innovation under higher but not lower levels of team-focused TFL. Based on the research findings, this study advances the culture-innovation research stream in the hospitality management literature by identifying the direct relationship between developmental culture and service innovation at the team and individual levels and revealing the mediating and moderating mechanisms underlying this culture-innovation link. This study also provides practitioners with practical insights into how to enhance team and employee service innovative endeavours through building developmental culture and adopting team-focused TFL behaviours in hospitality organisations.</t>
  </si>
  <si>
    <t>Yang, MJ (corresponding author), Swinburne Univ Technol, Deakin Univ, Swinburne Business Sch, Sch Psychol, 27 John St, Hawthorn, Vic 3122, Australia.</t>
  </si>
  <si>
    <t>1447-6770</t>
  </si>
  <si>
    <t>1839-5260</t>
  </si>
  <si>
    <t>J HOSP TOUR MANAG</t>
  </si>
  <si>
    <t>J. Hosp. Tour. Manag.</t>
  </si>
  <si>
    <t>10.1016/j.jhtm.2022.01.001</t>
  </si>
  <si>
    <t>1I5YN</t>
  </si>
  <si>
    <t>WOS:000797305400009</t>
  </si>
  <si>
    <t>Li, MX; Khan, HSUD; Chughtai, MS; Le, TT</t>
  </si>
  <si>
    <t>Li, Mingxing; Khan, Hira Salah ud din; Chughtai, Muhammad Salman; Thanh Tiep Le</t>
  </si>
  <si>
    <t>Innovation Onset: A Moderated Mediation Model of High-Involvement Work Practices and Employees' Innovative Work Behavior</t>
  </si>
  <si>
    <t>high-involvement work practices; employees' innovative work behaviors; employees' personal initiative; leadership humility</t>
  </si>
  <si>
    <t>HUMAN-RESOURCE PRACTICES; LEADER HUMILITY; FIRM PERFORMANCE; PROACTIVE PERSONALITY; CITIZENSHIP BEHAVIOR; CREATIVE PERFORMANCE; SOCIAL-PSYCHOLOGY; MANAGEMENT; ENGAGEMENT; ORGANIZATIONS</t>
  </si>
  <si>
    <t>Purpose: Based on the componential theory of creativity, this study examined the link between high-involvement work practices and employees' innovative behavior by further investigating the moderating and mediating role of leadership humility and employees' personal initiative. Methodology: To test the hypothesized model, the data were gathered from 255-line staff and 119 supervisors working in the textile industry in Pakistan via the time lag technique. The proposed hypotheses were analyzed through partial least squares structural equation modeling using Smart-PLS software. Findings: The results indicated that high-involvement work practices were significantly related to employees' innovative work behaviors. Additionally, the moderation findings revealed that a higher level of leadership humility strengthens the relationship between high-involvement work practices and employees' personal initiative. Furthermore, employees' personal initiative mediates the relationship between high-involvement work practices and their innovative work behavior. The findings of the moderated mediation model indicated that a higher level of leadership humility leads to higher innovative behavior of employees in the presence of high-involvement work practices via employees' personal initiative. Practical Implications: This study's findings are helpful for the management of organizations to understand the factors that enhance innovative work behaviors in high-involvement work practices. Moreover, managers should establish humble behaviors in their leadership style to influence employees' personal initiative, which indirectly influences their innovative work behavior. Originality/Value: The present study highlights the importance of leadership humility and employees' personal initiative in the relationship between high-involvement work practices and innovative work behaviors of employees in the textile industry of Pakistan.</t>
  </si>
  <si>
    <t>[Li, Mingxing; Khan, Hira Salah ud din] Jiangsu Univ, Sch Management, 301 Xuefu Rd, Zhenjiang 212013, Jiangsu, Peoples R China; [Chughtai, Muhammad Salman] Int Islamic Univ, Fac Management Sci, Islamabad, Pakistan; [Thanh Tiep Le] Ho Chi Minh City Univ Econ &amp; Finance, Ho Chi Minh City, Vietnam</t>
  </si>
  <si>
    <t>Khan, HSUD (corresponding author), Jiangsu Univ, Sch Management, 301 Xuefu Rd, Zhenjiang 212013, Jiangsu, Peoples R China.;Chughtai, MS (corresponding author), Int Islamic Univ, Fac Management Sci, Islamabad, Pakistan.</t>
  </si>
  <si>
    <t>hirakhan@ujs.edu.cn; salman.phdmgt80@iiu.edu.pk</t>
  </si>
  <si>
    <t>Le, Thanh Tiep/GRR-2973-2022; KHAN, HIRA SALAH UD DIN/AAG-9157-2020; Chughtai, Muhammad Salman/AAB-9449-2021</t>
  </si>
  <si>
    <t>KHAN, HIRA SALAH UD DIN/0000-0002-7130-6897; Chughtai, Muhammad Salman/0000-0002-6117-9070; Le, Thanh Tiep/0000-0002-2509-5910</t>
  </si>
  <si>
    <t>National Natural Science Foundation of China [71573109, 71974082]</t>
  </si>
  <si>
    <t>This study was supported by National Natural Science Foundation of China (71573109 and 71974082).</t>
  </si>
  <si>
    <t>10.2147/PRBM.S340326</t>
  </si>
  <si>
    <t>ZJ2CV</t>
  </si>
  <si>
    <t>WOS:000762119100004</t>
  </si>
  <si>
    <t>Ding, H; Yu, EH; Xu, SH</t>
  </si>
  <si>
    <t>Ding, He; Yu, Enhai; Xu, Shenghua</t>
  </si>
  <si>
    <t>Preliminary development and validation of the perceived strengths-based human resource system scale</t>
  </si>
  <si>
    <t>Positive psychology; Strengths-based intervention; Human resource management; Perceived strengths-based human resource system; Scale development</t>
  </si>
  <si>
    <t>JOB-PERFORMANCE; INNOVATIVE BEHAVIOR; MEDIATING ROLE; MANAGEMENT; WORK; COMMITMENT; ORGANIZATIONS; CLIMATE; LEVEL</t>
  </si>
  <si>
    <t>Purpose The purpose of the current article was to propose the strengths-based human resource (HR) system construct as well as develop and validate the perceived strengths-based HR system scale by using three independent studies. Design/methodology/approach Study 1 mainly adopted exploratory factor analysis to test whether fifteen items proposed by the authors can represent the perceived strengths-based HR system construct. The aim of Study 2 was to examine the discriminant validity and criteria validity of the fifteen-item perceived strengths-based HR system scale and reliability of this scale. By structural equation modeling analysis, Study 3 primarily tested the incremental predictive validity of the perceived strengths-based HR system for employee performance (i.e. task performance and innovative behavior) after controlling for the perceived high-performance work system (HPWS) and perceived high-commitment work system (HCWS). Findings Study 1 showed that initial fifteen items of the perceived strengths-based HR system appropriately are loaded on one factor and exhibit a good reliability. Study 2 found that there is good discriminant validity between the perceived strengths-based HR system, perceived organizational support, perceived supervisory career support, and work engagement, and the perceived strengths-based HR system exhibits better convergent validity and criteria validity. Study 3 demonstrated that the perceived strengths-based HR system could significantly predict employee performance (i.e. task performance and innovative behavior) even after controlling for perceived HPWS and HCWS. Originality/value The current article contributes to advancing HR theory and research and provides a valuable tool for future empirical research on the strengths-based HR system.</t>
  </si>
  <si>
    <t>[Ding, He; Yu, Enhai] North China Elect Power Univ, Sch Econ &amp; Management, Beijing, Peoples R China; [Xu, Shenghua] Renmin Univ China, Sch Labor &amp; Human Resources, Beijing, Peoples R China</t>
  </si>
  <si>
    <t>North China Electric Power University; Renmin University of China</t>
  </si>
  <si>
    <t>believedh@126.com; yenh@ncepu.edu.cn; daniel@ehrbp.com</t>
  </si>
  <si>
    <t>This study was supported by the Fundamental Research Funds for the Central Universities (2020MS046).</t>
  </si>
  <si>
    <t>JUL 25</t>
  </si>
  <si>
    <t>10.1108/IJM-10-2020-0466</t>
  </si>
  <si>
    <t>3E0HN</t>
  </si>
  <si>
    <t>WOS:000699782600001</t>
  </si>
  <si>
    <t>Gamber, M; Kruft, T; Kock, A</t>
  </si>
  <si>
    <t>Gamber, Michael; Kruft, Tobias; Kock, Alexander</t>
  </si>
  <si>
    <t>Which effort pays off? Analyzing ideators' behavioral patterns on corporate ideation platforms</t>
  </si>
  <si>
    <t>corporate ideation contest; ideator effort; idea success; online innovative behavior</t>
  </si>
  <si>
    <t>INNOVATION CONTESTS; PERFORMANCE FEEDBACK; ONLINE; IDEAS; TOURNAMENTS; INFORMATION; PERSUASION; MODEL; WORK; CONNECTIVITY</t>
  </si>
  <si>
    <t>The challenge of developing high-quality ideas as the basis of new goods and services is an important topic that coincides with companies' rapid development of these products. In response, firms increasingly rely on online ideation platforms for ideation contests to optimize their employees' creative power. This optimization requires a profound understanding of online ideation contests' underlying mechanisms, specifically the participants' innovative behavior that contributes to generating, elaborating, and championing ideas based on each ideator's effort distribution, namely their behavioral patterns. Our analysis of the ideators' behavioral patterns and their relationship to idea success consists of two steps. First, we combine contest theory with innovative behavior literature to derive eight types of innovative behavior in online contests-clustered into the three categories idea generation, elaboration, and championing-that represent the ideators' required efforts to compete in an ideation contest successfully. Second, we use a unique empirical sample, which combines platform and evaluation data of a corporate R&amp;D ideation contest with participants' survey data, received a few days before the contest's closure, to analyze the relationship between the effort invested in these dimensions and idea success. The results show that more effort does not necessarily lead to better results. The effort invested in idea generation, such as more extensive submission (spamming) and creative inspiration (copying), could be wasted and even has adverse effects on idea success. However, especially effort invested into idea championing provides strong possibilities to increase idea success.</t>
  </si>
  <si>
    <t>[Gamber, Michael; Kruft, Tobias; Kock, Alexander] Tech Univ Darmstadt, Dept Technol &amp; Innovat Management, Darmstadt, Germany</t>
  </si>
  <si>
    <t>Technical University of Darmstadt</t>
  </si>
  <si>
    <t>Kruft, T (corresponding author), Tech Univ Darmstadt, Hochschulstr 1, D-64289 Darmstadt, Germany.</t>
  </si>
  <si>
    <t>kruft@tim.tu-darmstadt.de</t>
  </si>
  <si>
    <t>Kock, Alexander/X-6768-2019</t>
  </si>
  <si>
    <t>Kock, Alexander/0000-0003-2402-0340; Kruft, Tobias/0000-0001-9739-5544</t>
  </si>
  <si>
    <t>10.1111/jpim.12593</t>
  </si>
  <si>
    <t>0V3GI</t>
  </si>
  <si>
    <t>WOS:000691970700001</t>
  </si>
  <si>
    <t>Jing, J; Niyomsilp, E; Li, R; Gao, F</t>
  </si>
  <si>
    <t>Jing, Jie; Niyomsilp, Eksiri; Li, Rong; Gao, Fang</t>
  </si>
  <si>
    <t>Effect of workplace fun on Chinese nurse innovative behaviour: The intermediary function of affective commitment</t>
  </si>
  <si>
    <t>affective commitment; China; innovative behaviour; nurse; workplace fun</t>
  </si>
  <si>
    <t>PERCEIVED ORGANIZATIONAL SUPPORT; CITIZENSHIP BEHAVIOR; MODERATING ROLE; DETERMINANTS; PERFORMANCE; WORK</t>
  </si>
  <si>
    <t>Aim To assess the effects of workplace fun on nurse innovative behaviour and to confirm the intermediary function of affective commitment. Background Employee innovative behaviour has a crucial function in survival and development of an organisation. On the basis of the theory of social exchange, there has been inadequate study of the influence of workplace fun on nurse innovative behaviour mediated by affective commitment. Methods A cross-sectional, descriptive correlational research design was conducted for 331 Chinese nurses from five public hospitals. The measurements were obtained from a questionnaire on workplace fun, affective commitment, nurse innovative behaviour and a sociodemographic datasheet. Descriptive statistics were used to analyse the personal profile, and inferential statistics were used to test hypotheses. Results We identified a positive correlation between workplace fun and nurse innovative behaviour. Affective commitment had a mediating effect. Conclusion Workplace fun and affective commitment can promote nurse innovative behaviour. Implications for Nursing Management Managers need to provide measures that promote workplace fun and affective commitment to enhance nurse innovative behaviour.</t>
  </si>
  <si>
    <t>[Jing, Jie; Li, Rong; Gao, Fang] Sichuan Acad Med Sci, Dept Nursing, Chengdu, Peoples R China; [Jing, Jie; Li, Rong; Gao, Fang] Sichuan Prov Peoples Hosp, Chengdu, Peoples R China; [Jing, Jie; Li, Rong; Gao, Fang] Univ Elect Sci &amp; Technol China, Sch Med, Chengdu, Peoples R China; [Niyomsilp, Eksiri] Shinawatra Univ, Sch Management, Pathum Thani, Thailand</t>
  </si>
  <si>
    <t>Sichuan Provincial People's Hospital; Sichuan Provincial People's Hospital; University of Electronic Science &amp; Technology of China</t>
  </si>
  <si>
    <t>Niyomsilp, E (corresponding author), Shinawatra Univ, Sch Management, Pathum Thani, Thailand.</t>
  </si>
  <si>
    <t>Eksiri.n@siu.ac.th</t>
  </si>
  <si>
    <t>Jing, Jie/0000-0002-4598-4432</t>
  </si>
  <si>
    <t>Science &amp; Technology Department of Sichuan Province, China [2019JDR0056]</t>
  </si>
  <si>
    <t>Science &amp; Technology Department of Sichuan Province, China</t>
  </si>
  <si>
    <t>This study was funded by the Science &amp; Technology Department of Sichuan Province, China (grant number 2019JDR0056)</t>
  </si>
  <si>
    <t>10.1111/jonm.13387</t>
  </si>
  <si>
    <t>WOS:000674223700001</t>
  </si>
  <si>
    <t>Yang, TN; Liu, R; Deng, JW</t>
  </si>
  <si>
    <t>Yang, Tianan; Liu, Ran; Deng, Jianwei</t>
  </si>
  <si>
    <t>Does Co-worker Presenteeism Increase Innovative Behavior? Evidence From IT Professionals Under the 996 Work Regime in China</t>
  </si>
  <si>
    <t>co-worker presenteeism; promotion focus; innovative behavior; IT professionals; 996 work regime</t>
  </si>
  <si>
    <t>ORGANIZATIONAL CITIZENSHIP BEHAVIOR; REGULATORY FOCUS; JOB-SATISFACTION; SELF-REGULATION; FIT INDEXES; MOTIVATION; CREATIVITY; LEADERSHIP; METAANALYSIS; EMPLOYEE</t>
  </si>
  <si>
    <t>Drawing on the event system and regulatory focus theory, this study constructed an impact mechanism model to investigate the relationship between the event strength of co-worker presenteeism and innovative behavior among IT professionals under the 996 work regime. In addition to test the direct effect, we examined the indirect effect of promotion focus and the moderating effect of event time in this relationship. Data were collected through an online survey administered to 374 IT professionals in China. The results showed a positive relationship between the criticality of co-worker presenteeism events and innovative behavior. An indirect effect of promotion focus was also found in this relationship. The timing of co-worker presenteeism events moderated the relationship between the criticality of co-worker presenteeism events and promotion focus. Specifically, the effect was more significant when co-worker presenteeism events occurred during project delays.</t>
  </si>
  <si>
    <t>[Yang, Tianan; Liu, Ran; Deng, Jianwei] Beijing Inst Technol, Sch Management &amp; Econ, Beijing, Peoples R China; [Yang, Tianan; Liu, Ran; Deng, Jianwei] Beijing Inst Technol, Sustainable Dev Res Inst Econ &amp; Soc Beijing, Beijing, Peoples R China</t>
  </si>
  <si>
    <t>Beijing Institute of Technology; Beijing Institute of Technology</t>
  </si>
  <si>
    <t>Deng, JW (corresponding author), Beijing Inst Technol, Sch Management &amp; Econ, Beijing, Peoples R China.;Deng, JW (corresponding author), Beijing Inst Technol, Sustainable Dev Res Inst Econ &amp; Soc Beijing, Beijing, Peoples R China.</t>
  </si>
  <si>
    <t>dengjianwei2006@163.com</t>
  </si>
  <si>
    <t>National Natural Science Foundation of China [71974011, 71603018, 71804009]</t>
  </si>
  <si>
    <t>This study was funded by National Natural Science Foundation of China (71974011, 71603018, and 71804009).</t>
  </si>
  <si>
    <t>10.3389/fpsyg.2021.681505</t>
  </si>
  <si>
    <t>TJ7EQ</t>
  </si>
  <si>
    <t>WOS:000673640700001</t>
  </si>
  <si>
    <t>Liu, HB; Gao, SY; Xing, H; Xu, L; Wang, YJ; Yu, Q</t>
  </si>
  <si>
    <t>Liu, Hongbo; Gao, Suying; Xing, Hui; Xu, Long; Wang, Yajie; Yu, Qi</t>
  </si>
  <si>
    <t>Shared leadership and innovative behavior in scientific research teams: a dual psychological perspective</t>
  </si>
  <si>
    <t>Shared leadership; Achievement motivation; Creative self-efficacy; Innovative behaviors of team members</t>
  </si>
  <si>
    <t>SOCIAL-COGNITIVE THEORY; EMPLOYEE CREATIVITY; SELF-EFFICACY; TRANSFORMATIONAL LEADERSHIP; DISTRIBUTED LEADERSHIP; RESEARCH COLLABORATION; WORK ENGAGEMENT; MEDIATING ROLE; LEVEL; MODEL</t>
  </si>
  <si>
    <t>Purpose The purpose of this study is to investigate the mechanism of shared leadership on team members' innovative behavior. Design/methodology/approach Paired questionnaires were collected from 89 scientific research teams in the Beijing-Tianjin-Hebei region of China at two-time points with a time lag of 4 months. Then multilevel structural equation model method was applied to analyze the multiple mediating effects. Findings This study finds that: the form of shared leadership in scientific research teams of universities; shared leadership has a positive impact on team members' innovative behavior; there are multiple mediations in the relationship including synchronization and sequence of creative self-efficacy and achievement motivation. Originality/value According to the stimulus-organism-response model, this paper has constructed a multi-level theoretical model that shared leadership influences individual innovation behavior and reveals the black box from the perspective of psychological mechanism. It not only verifies that can-do shapes willing to do but also makes up for the gap of an empirical test of the effectiveness of shared leadership in scientific research teams of universities. Besides, the formal scale of shared leadership in the Chinese situation is revised, which can provide a reference for future empirical research on shared leadership. The research conclusions provide new ideas for improving the management of scientific research teams in universities.</t>
  </si>
  <si>
    <t>[Liu, Hongbo] Hebei Univ Technol, Sch Econ &amp; Management, Business Adm, Tianjin, Peoples R China; [Gao, Suying; Xing, Hui; Wang, Yajie] Hebei Univ Technol, Sch Econ &amp; Management, Tianjin, Peoples R China; [Xu, Long] Hebei Univ Econ &amp; Business, Dept Business Adm, Shijiazhuang, Hebei, Peoples R China; [Yu, Qi] Hebei Univ Technol, Sch Foreign Languages, Tianjin, Peoples R China</t>
  </si>
  <si>
    <t>Hebei University of Technology; Hebei University of Technology; Hebei University of Economics &amp; Business; Hebei University of Technology</t>
  </si>
  <si>
    <t>Gao, SY (corresponding author), Hebei Univ Technol, Sch Econ &amp; Management, Tianjin, Peoples R China.</t>
  </si>
  <si>
    <t>15022211986@163.com; sue2007@hebut.edu.cn; 52051001@qq.com; xulong@heuet.edu.cn; 646985372@qq.com; 412999476@qq.com</t>
  </si>
  <si>
    <t>Yu, Kun/IAP-9807-2023; Li, Jiaxi/HTS-3430-2023; li, jiawei/HOA-5023-2023; liu, jia/HKE-9796-2023; wang, ya/HQZ-7558-2023</t>
  </si>
  <si>
    <t xml:space="preserve">Li, Jiaxi/0000-0002-8197-8590; </t>
  </si>
  <si>
    <t>National Natural Science Foundation of China [71172153, G2018202345, 20180301]</t>
  </si>
  <si>
    <t>The National Natural Science Foundation of China Research on the Strategic Human Capital Structure and Generating Mechanism of Business-oriented Strategies (71172153), host: Gao Suying; Hebei Province Natural Science Fund Project Study on the Mechanism of Enterprise Innovative Human Capital Resource Generation: Multi-level Emergence and Empowerment (G2018202345), host: Gao Suying and Hebei Province Science and Technology Department Fund Project Research on Evaluation of Scientific Research Performance of University Teachers Based on Multidimensional Views (20180301), host: Gao Suying.</t>
  </si>
  <si>
    <t>MAR 25</t>
  </si>
  <si>
    <t>10.1108/CMS-02-2020-0070</t>
  </si>
  <si>
    <t>0A1YP</t>
  </si>
  <si>
    <t>WOS:000669612200001</t>
  </si>
  <si>
    <t>Palumbo, R</t>
  </si>
  <si>
    <t>Palumbo, Rocco</t>
  </si>
  <si>
    <t>Engaging to innovate: an investigation into the implications of engagement at work on innovative behaviors in healthcare organizations</t>
  </si>
  <si>
    <t>Innovation; Engagement; Organizational climate; Working environment; Health professionals</t>
  </si>
  <si>
    <t>LEADER-MEMBER EXCHANGE; EMPLOYEE ENGAGEMENT; MEDIATING ROLE; CLIMATE; PERFORMANCE; PROFESSIONALS; CULTURE; ASSOCIATION; SERVICES; SECTOR</t>
  </si>
  <si>
    <t>Purpose Organizational innovation relies on the employees' active participation in improving extant processes and practices. In particular, it has been argued that employees' engagement triggers innovation-oriented behaviors at work. Nevertheless, there is a paucity of evidence of the implications of work engagement on the health professionals' innovation propensity. The article intends to push forward what we currently know about this issue, providing some food for thought to scholars and practitioners. Design/methodology/approach A path analysis based on ordinary least square (OLS) regression and 10,000 bootstrap samples was designed to investigate the direct and indirect implications of employees' engagement on innovative behaviors at work in a large sample of health professionals operating in Europe. The quality of employee-manager relationships and the organizational climate were included as mediating variables affecting the relationship between work engagement and propensity to innovation-oriented behaviors. Findings The research findings highlighted that being engaged at work fosters the willingness of health professionals to partake in the improvement of organizational processes and practices. The positive implications of employees' engagement on innovative behaviors at work are catalyzed by good employee-manager relationships and a positive organizational climate. Practical implications Healthcare organizations should uphold the health professional's engagement to enhance their innovation potential. Targeted interventions are needed to merge work engagement with the enhancement of the organizational environment in which health professionals accomplish their activities. A positive organizational climate enacts an empowering work environment, which further incentivizes innovation. Originality/value The article adopts a micro-level perspective to investigate the triggers of innovative behaviors among healthcare professionals, providing evidence which is relevant for theory and practice.</t>
  </si>
  <si>
    <t>[Palumbo, Rocco] Univ Roma Tor Vergata, Dept Management &amp; Law, Rome, Italy</t>
  </si>
  <si>
    <t>University of Rome Tor Vergata</t>
  </si>
  <si>
    <t>Palumbo, R (corresponding author), Univ Roma Tor Vergata, Dept Management &amp; Law, Rome, Italy.</t>
  </si>
  <si>
    <t>rocco.palumbo@uniroma2.it</t>
  </si>
  <si>
    <t>Palumbo, Rocco/AFK-4832-2022; Palumbo, Rocco/AAG-3506-2022</t>
  </si>
  <si>
    <t>Palumbo, Rocco/0000-0003-3700-9511; Palumbo, Rocco/0000-0003-3700-9511</t>
  </si>
  <si>
    <t>OCT 13</t>
  </si>
  <si>
    <t>10.1108/JHOM-02-2021-0072</t>
  </si>
  <si>
    <t>WJ3HT</t>
  </si>
  <si>
    <t>WOS:000668238500001</t>
  </si>
  <si>
    <t>Zhang, SP; Wang, XH</t>
  </si>
  <si>
    <t>Zhang, Shaopeng; Wang, Xiaohong</t>
  </si>
  <si>
    <t>Effect of knowledge hiding on knowledge innovative behavior of innovative team members</t>
  </si>
  <si>
    <t>Knowledge innovative behavior; Knowledge hiding; Team innovative climate; Individual cultural values; Cross-level analysis</t>
  </si>
  <si>
    <t>GOAL ORIENTATION; TASK INTERDEPENDENCE; MOTIVATIONAL CLIMATE; EMPLOYEE CREATIVITY; ACHIEVEMENT GOALS; REGULATORY FOCUS; MODERATING ROLE; MEDIATING ROLE; WORK; INFORMATION</t>
  </si>
  <si>
    <t>Based on the perspective of social information processing theory and cultural dimension theory, this paper takes the innovative teams of several universities represented by Harbin Institute of Technology as the research objects, and uses a multilevel linear model to study the effect of knowledge hiding on knowledge innovative behavior (KIB) of innovative team members and the dual moderating role of team innovative climate and individual cultural values. The empirical results show that knowledge hiding has a significant negative impact on KIB, and the positive team innovative climate can significantly reduce this negative impact. However, the promotion effect of team innovative climate on team members' KIB is heterogeneous under the different cultural values of members. Specifically, for members with high level of uncertainty avoidance or masculinity, even in the positive team innovative climate, they cannot significantly reduce this negative impact of knowledge hiding on their KIB.</t>
  </si>
  <si>
    <t>[Zhang, Shaopeng; Wang, Xiaohong] Harbin Inst Technol, Harbin, Heilongjiang, Peoples R China</t>
  </si>
  <si>
    <t>Wang, XH (corresponding author), Harbin Inst Technol, Harbin, Heilongjiang, Peoples R China.</t>
  </si>
  <si>
    <t>wangxh@hit.edu.cn</t>
  </si>
  <si>
    <t>张, 少鹏/ACN-1504-2022</t>
  </si>
  <si>
    <t>National Natural Science Foundation of China [71874042]</t>
  </si>
  <si>
    <t>Funding was provided by National Natural Science Foundation of China (Grant No. 71874042).</t>
  </si>
  <si>
    <t>10.1007/s11192-021-04047-1</t>
  </si>
  <si>
    <t>TM5GC</t>
  </si>
  <si>
    <t>WOS:000665683000007</t>
  </si>
  <si>
    <t>Gao, Y; Zhao, X; Xu, XB; Ma, F</t>
  </si>
  <si>
    <t>Gao, Yang; Zhao, Xin; Xu, Xiaobo; Ma, Fei</t>
  </si>
  <si>
    <t>A study on the cross level transformation from individual creativity to organizational creativity</t>
  </si>
  <si>
    <t>Entrepreneur; Individual creativity; Transformational leadership; Transactional leadership; Organizational creativity</t>
  </si>
  <si>
    <t>TRANSACTIONAL LEADERSHIP; EMPLOYEE CREATIVITY; CONTEXTUAL FACTORS; TEAM CREATIVITY; ENTREPRENEURIAL ORIENTATION; INNOVATIVE BEHAVIOR; COGNITIVE-STYLE; MODERATING ROLE; CAREER SUCCESS; MEDIATING ROLE</t>
  </si>
  <si>
    <t>We examined how entrepreneurs' individual creativity is transformed into organizational creativity. Employees' individual creativity is considered as the source and foundation of organizational creativity. Meanwhile, entrepreneurs have multiple identities in organizations, including employees, founders, and leaders. However, the effect of entrepreneurs' creativity on organizational creativity remains unclear. We assumed that entrepreneurs' individual creativity can be considered as the starting point for organizational creativity in creative enterprises. In addition, we proposed that entrepreneurs' transformational and transactional leadership mediate the relationship between individual creativity and organizational creativity. 202 responses from creative entrepreneurs were used to evaluate and validate our proposed hypotheses. This study constructed a cross-level framework for creativity from the entrepreneurs' perspective. More importantly, we provided a basic theoretical explanation about how creative entrepreneurs initiate a business utilizing their creativity, hence making an important contribution to the literature. The framework also provides practical guidance to entrepreneurs.</t>
  </si>
  <si>
    <t>[Gao, Yang; Zhao, Xin] Dalian Univ Technol, Sch Business, Panjin 124221, Peoples R China; [Xu, Xiaobo] Xian Jiaotong Liverpool Univ, Int Business Sch Suzhou, Suzhou 215123, Peoples R China; [Ma, Fei] Changan Univ, Sch Econ &amp; Management, Xian 710064, Peoples R China</t>
  </si>
  <si>
    <t>Dalian University of Technology; Xi'an Jiaotong-Liverpool University; Chang'an University</t>
  </si>
  <si>
    <t>Xu, XB (corresponding author), Xian Jiaotong Liverpool Univ, Int Business Sch Suzhou, Suzhou 215123, Peoples R China.</t>
  </si>
  <si>
    <t>gzm@dlut.edu.cn; 1435594354@qq.com; Xiaobo.Xu@xjtlu.edu.cn; mafeixa@chd.edu.cn</t>
  </si>
  <si>
    <t>National Natural Science Foundation of China [71602016]; Xi'an Jiaotong-Liverpool University's Research Development Fund [RDF-20-01-23]</t>
  </si>
  <si>
    <t>National Natural Science Foundation of China(National Natural Science Foundation of China (NSFC)); Xi'an Jiaotong-Liverpool University's Research Development Fund</t>
  </si>
  <si>
    <t>This study was funded by the National Natural Science Foundation of China (71602016) and Xi'an Jiaotong-Liverpool University's Research Development Fund (RDF-20-01-23).</t>
  </si>
  <si>
    <t>10.1016/j.techfore.2021.120958</t>
  </si>
  <si>
    <t>TU7XL</t>
  </si>
  <si>
    <t>WOS:000681245200005</t>
  </si>
  <si>
    <t>Xu, XB; Xia, MY; Zhao, JW; Pang, WG</t>
  </si>
  <si>
    <t>Xu, Xiaobo; Xia, Mengya; Zhao, Jingwen; Pang, Weiguo</t>
  </si>
  <si>
    <t>Be real, open, and creative: How openness to experience and to change mediate the authenticity-creativity association</t>
  </si>
  <si>
    <t>Authenticity; Creativity; Openness to experience; Openness to change; Mediation</t>
  </si>
  <si>
    <t>DIVERGENT THINKING TESTS; INNOVATIVE BEHAVIOR; SELF-DETERMINATION; DAILY-LIFE; PERSONALITY; LEADERSHIP; CONCEPTUALIZATION; MOTIVATION; RESISTANCE; SYMPTOMS</t>
  </si>
  <si>
    <t>Although several researchers have suggested that authenticity fosters individuals' creativity, few empirical studies have focused on this research topic, and even fewer have examined the underlying mechanism. To address this gap, this study examined the relationships among authenticity, openness to experience, openness to change, and creativity. Three hundred Chinese participants (246 women, mean age = 20.36 years) were recruited via an online survey website and they were asked to complete the Authenticity Scale, the Openness to Experience Scale, the Routine Seeking Scale (i.e., as a measure of openness to change), the Creative Behavior Scale, and two divergent thinking tasks (i.e., the alternative uses task, AUT). The results revealed positive associations among all the variables of interest (i.e., authenticity, openness to experience, openness to change, self-reported creative behavior, AUT fluency, AUT originality, and AUT flexibility). Moreover, both openness to experience and to change fully mediated the association between authenticity and self-reported creative behavior, AUT fluency, and AUT flexibility. In addition, openness to experience fully mediated the link between authenticity and AUT originality. The results highlight the mediating role of openness as a mechanism that underlies the association between authenticity and creativity. Therefore, developing an authentic mindset or increasing individuals' propensity to openness could be considered possible ways to stimulate their creative potential/performance. The limitations of this study and future directions are discussed in detail.</t>
  </si>
  <si>
    <t>[Xu, Xiaobo] Shanghai Normal Univ, Dept Psychol, Shanghai, Peoples R China; [Xu, Xiaobo; Zhao, Jingwen; Pang, Weiguo] East China Normal Univ, Sch Psychol &amp; Cognit Sci, 3663 North ZhongShan Rd, Shanghai 200062, Peoples R China; [Xia, Mengya] Univ Alabama, Dept Psychol, Box 870348, Tuscaloosa, AL 35487 USA</t>
  </si>
  <si>
    <t>Shanghai Normal University; East China Normal University; University of Alabama System; University of Alabama Tuscaloosa</t>
  </si>
  <si>
    <t>Shanghai Humanities and Social Sciences Key Research Base of Psychology [13200-412224-19052]; Program for Professor of Special Appointment at Shanghai Insitutions of Higher Education [TP2020013]</t>
  </si>
  <si>
    <t>Shanghai Humanities and Social Sciences Key Research Base of Psychology; Program for Professor of Special Appointment at Shanghai Insitutions of Higher Education</t>
  </si>
  <si>
    <t>This study was supported by funds from Shanghai Humanities and Social Sciences Key Research Base of Psychology (13200-412224-19052) and Program for Professor of Special Appointment at Shanghai Insitutions of Higher Education (TP2020013) .</t>
  </si>
  <si>
    <t>10.1016/j.tsc.2021.100857</t>
  </si>
  <si>
    <t>WJ3AH</t>
  </si>
  <si>
    <t>WOS:000708919100022</t>
  </si>
  <si>
    <t>Al-Hawari, MA; Bani-Melhem, S; Shamsudin, FM</t>
  </si>
  <si>
    <t>Al-Hawari, Mohd Ahmad; Bani-Melhem, Shaker; Shamsudin, Faridahwati Mohd</t>
  </si>
  <si>
    <t>Does employee willingness to take risks affect customer loyalty? A moderated mediation examination of innovative behaviors and decentralization</t>
  </si>
  <si>
    <t>Willingness to take risks; Innovative behavior; Customer loyalty; Decentralization; Dubai</t>
  </si>
  <si>
    <t>SERVICE RECOVERY PERFORMANCE; SATISFACTION; PERSONALITY; CREATIVITY; ORIENTATION; QUALITY; ORGANIZATIONS; EMPOWERMENT; INVOLVEMENT; STRATEGIES</t>
  </si>
  <si>
    <t>Purpose This study aims to build on the trait activation and interactionist perspective theories to investigate the effect of frontline employees' (FLEs) willingness to take risks on hotel guest loyalty by assessing the mediating role of their innovative behaviors. It also examines whether decentralization strengthens the positive impact of willingness to take risks on innovative behavior and, subsequently, customer loyalty. Design/methodology/approach The authors collected multilevel data from various sources - hotel FLEs (n = 183), hotel operation managers (n = 46) and hotel guests/customers (n = 266) - from five-star hotels operating in Dubai. Structural equation modeling and PROCESS macro (version 3.5) were used to analyze the data. Findings The findings showed that willingness to take risks indirectly (via innovative behaviors) affects guest/customer loyalty positively. This effect is strengthened when the hotel is decentralized. Practical implications This study provides insight into how hotel managers can foster customer loyalty. More specifically, they can do so by establishing employees' innovative behaviors triggered by employees' positive personality traits and by giving employees more autonomy. Originality/value The present study addresses recent calls to investigate the positive impact of FLEs' personality traits, attitudes and behaviors on customer loyalty.</t>
  </si>
  <si>
    <t>[Al-Hawari, Mohd Ahmad; Bani-Melhem, Shaker] Univ Sharjah, Coll Business Adm, Dept Management, Sharjah, U Arab Emirates; [Shamsudin, Faridahwati Mohd] Al Akhawayn Univ Ifrane, Coll Business Adm, Dept Management, Ifrane, Morocco</t>
  </si>
  <si>
    <t>University of Sharjah; Al Akhawayn University</t>
  </si>
  <si>
    <t>; MOHD SHAMSUDIN, FARIDAHWATI/E-6287-2011</t>
  </si>
  <si>
    <t>Al-Hawari, MohD Ahmad/0000-0002-2166-0572; MOHD SHAMSUDIN, FARIDAHWATI/0000-0003-2854-6681; Bani Melhem, Shaker/0000-0002-6137-7691</t>
  </si>
  <si>
    <t>10.1108/IJCHM-08-2020-0802</t>
  </si>
  <si>
    <t>TH6DN</t>
  </si>
  <si>
    <t>WOS:000658643300001</t>
  </si>
  <si>
    <t>Ding, H; Quan, GJ</t>
  </si>
  <si>
    <t>Ding, He; Quan, Guijie</t>
  </si>
  <si>
    <t>How and When Does Follower's Strengths-Based Leadership Relate to Follower Innovative Behavior: The Roles of Self-Efficacy and Emotional Exhaustion</t>
  </si>
  <si>
    <t>follower&amp;#8217; s strengths&amp;#8208; based leadership; self&amp;#8208; efficacy; emotional exhaustion; innovative behavior</t>
  </si>
  <si>
    <t>The purpose of the current study was to investigate the association of follower's strengths-based leadership (FSBL) with follower innovative behavior and the meditating role of self-efficacy in the relationship. Furthermore, this paper also explored the moderating role of emotional exhaustion in the relationship between FSBL, self-efficacy, and innovative behavior. Data were gathered through online survey questionnaires. The sample consisted of 705 employees who have worked in various enterprises in China. Bootstrapping analysis was utilized to examine the proposed hypotheses. The results revealed that there was a positive and significant relationship between FSBL and follower innovative behavior, and self-efficacy mediated the relationship. In addition, this study also found that emotional exhaustion positively moderated the direct relationship between self-efficacy and innovative behavior and the indirect relationship between FSBL and innovative behavior via self-efficacy. This study provides a new piece of evidence for the FSBL and innovative behavior relation and contributes to the understanding of the motivational mechanism and boundary condition of the relationship between FSBL and follower innovative behavior.</t>
  </si>
  <si>
    <t>[Ding, He] North China Elect Power Univ, Beijing, Peoples R China; [Quan, Guijie] Renmin Univ China, Beijing, Peoples R China</t>
  </si>
  <si>
    <t>Quan, GJ (corresponding author), Renmin Univ China, Sch Labor &amp; Human Resources, 59 Zhongguancun St, Beijing, Peoples R China.</t>
  </si>
  <si>
    <t>guijiequan@gmail.com</t>
  </si>
  <si>
    <t>10.1002/jocb.473</t>
  </si>
  <si>
    <t>UU4PS</t>
  </si>
  <si>
    <t>WOS:000624597700001</t>
  </si>
  <si>
    <t>Kumar, N; Hossain, MY; Jin, YH; Safeer, AA; Chen, T</t>
  </si>
  <si>
    <t>Kumar, Nilesh; Hossain, Md Yahin; Jin, Yanghua; Safeer, Asif Ali; Chen, Ting</t>
  </si>
  <si>
    <t>Impact of Performance Lower Than Expectations on Work Behaviors: The Moderating Effect of Status Mutability and Mediating Role of Regulatory Focus</t>
  </si>
  <si>
    <t>counterproductive work behaviour; innovative work behaviour; performance lower than expectations; prevention focus; promotion focus; status hierarchy mutability</t>
  </si>
  <si>
    <t>LEADER-MEMBER EXCHANGE; EMPLOYEE CREATIVITY; INNOVATIVE BEHAVIOR; ABUSIVE SUPERVISION; SELF; MOTIVATION; PROMOTION; EMPOWERMENT; HIERARCHIES; PREVENTION</t>
  </si>
  <si>
    <t>Purpose: Drawing on social cognitive theory (SCT), this research aims to test the mediation of promotion focus motivation in between performance lower than expectations and innovative work behavior under the moderation of status hierarchy mutability. Further, low performance may also lead employees to counter-productivity through prevention focus. Thus, this study examines both sides of performance lower than expectations of the employee in the organization. Methodology: The study considered a cross-sectional study and surveyed R&amp;D departments of manufacturing firms located in China. In total, 340 employees in 65 teams participated in the survey. This study conducted a confirmatory factor analysis to test the reliability and validity of data and used hierarchical linear modeling to test the hypotheses via Mplus 7.3. Findings: First, we reveal that employees' performance lower than expectations is positively linked with promotion focus regulation. Second, the study's outcomes reveal a positive indirect effect from employees' higher status mutability in the group toward innovative work behaviour through promotion focus motivation. At last, the study identified that performance lower than expectations has a positive indirect impact on counterproductive behaviour via prevention focus. Practical Implications: This research assists managers to understand the connection of stress between performances lower than expectations and the self-regulated motivation of the employee towards innovative behavior and counterproductive work behavior. Further, it recommends that leaders at different levels should understand that various reference groups inside and outside the organization pressurize employees' cognition. Therefore, certain steps and policies (eg, sensitive training, annual performance appraisal, feedback) must be taken into consideration to handle such self-regulatory behaviors. Originality: This study is the earliest to examine the performance expectations as an antecedent of innovative work behavior and counterproductive work behavior through regulatory focus.</t>
  </si>
  <si>
    <t>[Kumar, Nilesh; Jin, Yanghua; Chen, Ting] Zhejiang Gongshang Univ, Sch Business Adm, Hangzhou, Zhejiang, Peoples R China; [Kumar, Nilesh; Hossain, Md Yahin] Huazhong Univ Sci &amp; Technol, Sch Management, Wuhan, Hubei, Peoples R China; [Hossain, Md Yahin] Univ Informat Technol &amp; Sci, Dept Business Studies, Dhaka, Bangladesh; [Safeer, Asif Ali] Huanggang Normal Univ, Business Sch, Huanggang, Hubei, Peoples R China</t>
  </si>
  <si>
    <t>Zhejiang Gongshang University; Huazhong University of Science &amp; Technology; Huanggang Normal University</t>
  </si>
  <si>
    <t>Kumar, N (corresponding author), Zhejiang Gongshang Univ, Sch Business Adm, Hangzhou, Zhejiang, Peoples R China.;Kumar, N (corresponding author), Huazhong Univ Sci &amp; Technol, Sch Management, Wuhan, Hubei, Peoples R China.</t>
  </si>
  <si>
    <t>nileshk@live.com</t>
  </si>
  <si>
    <t>SAFEER, ASIF ALI/ACO-9903-2022; Kumar, Nilesh/ABG-3765-2021; Hossain, MdYahin/AFV-1763-2022; Kumar, Nilesh/GPX-5303-2022</t>
  </si>
  <si>
    <t>SAFEER, ASIF ALI/0000-0001-5877-1201; Kumar, Nilesh/0000-0001-7840-4097; Hossain, MdYahin/0000-0002-3235-233X; Kumar, Nilesh/0000-0001-7840-4097</t>
  </si>
  <si>
    <t>10.2147/PRBM.S342562</t>
  </si>
  <si>
    <t>YD8MJ</t>
  </si>
  <si>
    <t>WOS:000740689300001</t>
  </si>
  <si>
    <t>Cho, YJ; Song, HJ</t>
  </si>
  <si>
    <t>Cho, Yoon Jik; Song, Hyun Jin</t>
  </si>
  <si>
    <t>How to Facilitate Innovative Behavior and Organizational Citizenship Behavior: Evidence From Public Employees in Korea</t>
  </si>
  <si>
    <t>PUBLIC PERSONNEL MANAGEMENT</t>
  </si>
  <si>
    <t>innovative behavior; organizational citizenship behavior (OCB); perceived organizational support (POS); job demand-resource (JD-R)</t>
  </si>
  <si>
    <t>SERVICE MOTIVATION; JOB DEMANDS; WORK ENGAGEMENT; TRANSFORMATIONAL LEADERSHIP; TRANSACTIONAL LEADERSHIP; MODERATING ROLE; MEDIATING ROLE; SELF-EFFICACY; ROLE-CONFLICT; PERFORMANCE</t>
  </si>
  <si>
    <t>For decades, scholars and practitioners have paid serious attention to how to facilitate extra-role behaviors of employees. While many studies have been conducted, it is not yet clear what factors facilitate or suppress those behaviors within organizations and how those factors interact with each other. The current research focuses on two extra-role behaviors of employees: innovative behavior and organizational citizenship behavior (OCB). Both behaviors have been discussed as determinants of individual and organizational performance. Filling the gap of the existing studies, the current research comprehensively considers organizational characteristics, task characteristics, and motivational factors in explaining those behaviors. Integrating two data sets, the 2015 and 2016 Perception of Public Officials Surveys administered by the Korea Institute of Public Administration (KIPA), we conducted a hierarchical linear model (HLM) analysis to examine the effects of determinants in the Korean context. Based on the multi-level analysis, this research demonstrates the positive influence of autonomy and PSM on both behaviors. Among organizational-level variables, cooperative culture increases the innovative behavior, whereas the lack of organizational support decreases it. We provide several managerial implications based on the findings.</t>
  </si>
  <si>
    <t>[Cho, Yoon Jik; Song, Hyun Jin] Yonsei Univ, Dept Publ Adm, 50 yonsei Ro, Seoul 03722, South Korea</t>
  </si>
  <si>
    <t>Yonsei University</t>
  </si>
  <si>
    <t>Cho, YJ (corresponding author), Yonsei Univ, Dept Publ Adm, 50 yonsei Ro, Seoul 03722, South Korea.</t>
  </si>
  <si>
    <t>yoonjikcho@yonsei.ac.kr</t>
  </si>
  <si>
    <t>Song, hyun jin/ABA-3669-2021</t>
  </si>
  <si>
    <t>Song, hyun jin/0000-0003-3220-1416; Cho, Yoon Jik/0000-0002-8589-3607</t>
  </si>
  <si>
    <t>Ministry of Education of the Republic of Korea; National Research Foundation of Korea [NRF-2017S1A3A2067636]</t>
  </si>
  <si>
    <t>Ministry of Education of the Republic of Korea(Ministry of Education (MOE), Republic of Korea); National Research Foundation of Korea(National Research Foundation of Korea)</t>
  </si>
  <si>
    <t>The author(s) disclosed receipt of the following financial support for the research, authorship, and/or publication of this article: This work was supported by the Ministry of Education of the Republic of Korea and the National Research Foundation of Korea (NRF-2017S1A3A2067636).</t>
  </si>
  <si>
    <t>0091-0260</t>
  </si>
  <si>
    <t>1945-7421</t>
  </si>
  <si>
    <t>PUBLIC PERS MANAGE</t>
  </si>
  <si>
    <t>Public Personnel Manage.</t>
  </si>
  <si>
    <t>10.1177/0091026020977571</t>
  </si>
  <si>
    <t>Industrial Relations &amp; Labor; Public Administration</t>
  </si>
  <si>
    <t>WQ3EN</t>
  </si>
  <si>
    <t>WOS:000599906300001</t>
  </si>
  <si>
    <t>Ronen, S; Donia, MBL</t>
  </si>
  <si>
    <t>Ronen, Sigalit; Donia, Magda B. L.</t>
  </si>
  <si>
    <t>Stifling My Fire: The Impact of Abusive Supervision on Employees' Motivation and Ensuing Outcomes at Work</t>
  </si>
  <si>
    <t>Abusive supervision; Employee motivation; Job-satisfaction; Counterproductive work behavior; Innovative behavior; Turnover</t>
  </si>
  <si>
    <t>SELF-DETERMINATION THEORY; UNCERTAINTY MANAGEMENT THEORY; INTRINSIC MOTIVATION; WORKPLACE AGGRESSION; SOCIAL-EXCHANGE; REPORTED AFFECT; METHOD VARIANCE; PERFORMANCE; MODELS; ORGANIZATIONS</t>
  </si>
  <si>
    <t>Although the effect of abusive leadership on individual performance is well-documented, the mechanisms that explains this effect are not fully understood. Drawing on self-determination theory, we suggest that the negative effect of abusive leadership on employees' workplace outcomes results from followers' thwarted autonomous motivation. Results of time lagged data collected from 306 full-time employees indicate that abusive supervision leads to lower autonomous motivation, higher controlled motivation, and more lack of motivation (amotivation). These motivational states in turn are found to positively affect counterproductive work behaviors and intentions to quit the job and negatively affect employees' job-satisfaction and innovative behaviors. Our findings support the role of motivation as an explanatory mechanism by which abusive supervision negatively affects important employee work outcomes. Practical implications and future research directions are discussed..</t>
  </si>
  <si>
    <t>[Ronen, Sigalit] Calif State Univ Northridge, Northridge, CA 91330 USA; [Donia, Magda B. L.] Univ Ottawa, Ottawa, ON, Canada</t>
  </si>
  <si>
    <t>California State University System; California State University Northridge; University of Ottawa</t>
  </si>
  <si>
    <t>Ronen, S (corresponding author), Calif State Univ Northridge, Northridge, CA 91330 USA.</t>
  </si>
  <si>
    <t>Sigalit.ronen@csun.edu</t>
  </si>
  <si>
    <t>10.5093/jwop2020a20</t>
  </si>
  <si>
    <t>PA2RE</t>
  </si>
  <si>
    <t>WOS:000595480200003</t>
  </si>
  <si>
    <t>Wang, DW; Zhao, CY; Chen, YL; Maguire, P; Hu, YX</t>
  </si>
  <si>
    <t>Wang, Dawei; Zhao, Chaoyue; Chen, Yalin; Maguire, Phil; Hu, Yixin</t>
  </si>
  <si>
    <t>The Impact of Abusive Supervision on Job Insecurity: A Moderated Mediation Model</t>
  </si>
  <si>
    <t>abusive supervision; job insecurity; leader-member exchange; power distance; social cognitive theory</t>
  </si>
  <si>
    <t>LEADER-MEMBER EXCHANGE; PERCEIVED ORGANIZATIONAL SUPPORT; POWER DISTANCE; INNOVATIVE BEHAVIOR; EMPIRICAL-ANALYSIS; CULTURAL-VALUES; PERFORMANCE; SATISFACTION; CONSEQUENCES; METAANALYSIS</t>
  </si>
  <si>
    <t>This paper explores the impact of abusive supervision on job insecurity under the frameworks of the social cognitive theory and the leader-member exchange theory; additionally, it explores the mediating role of leader-member exchange (LMX) and the moderating role of power distance. In this study, 944 employees from two state-owned enterprises located in China were surveyed via questionnaires. Results of the correlation analysis and statistical bootstrapping showed that (i) abusive supervision was significantly and positively related to job insecurity, (ii) LMX played a mediating role in the impact of abusive supervision on job insecurity, and (iii) power distance played a moderating role in the relationship between LMX and job insecurity. Based on the social cognitive theory, this study broadens the perspective of studies regarding job insecurity. It also provides practical suggestions for avoiding abusive supervision and for alleviating employees' insecurities about management.</t>
  </si>
  <si>
    <t>[Wang, Dawei; Chen, Yalin; Hu, Yixin] Shandong Normal Univ, Sch Psychol, 88 Wenhua E Rd, Jinan 250014, Peoples R China; [Zhao, Chaoyue] East China Normal Univ, Sch Psychol &amp; Cognit Sci, 3663 North Zhongshan Rd, Shanghai 200062, Peoples R China; [Maguire, Phil] Natl Univ Ireland, Dept Comp Sci, Univ Rd, Galway H91 TK33, Ireland</t>
  </si>
  <si>
    <t>Shandong Normal University; East China Normal University</t>
  </si>
  <si>
    <t>Hu, YX (corresponding author), Shandong Normal Univ, Sch Psychol, 88 Wenhua E Rd, Jinan 250014, Peoples R China.</t>
  </si>
  <si>
    <t>wangdw@sdnu.edu.cn; 52203200019@stu.ecnu.edu.cn; 2018020189@stu.sdnu.edu.cn; pmaguire@cs.nuim.ie; huyixin2005@163.com</t>
  </si>
  <si>
    <t>National Natural Science Fund of China [31471002]; Dongyue Scholar Fund of Shandong Normal University; Innovation Team Project of Psychological and Neural Mechanisms of Human Decision-Making of Shandong Normal University</t>
  </si>
  <si>
    <t>National Natural Science Fund of China(National Natural Science Foundation of China (NSFC)); Dongyue Scholar Fund of Shandong Normal University; Innovation Team Project of Psychological and Neural Mechanisms of Human Decision-Making of Shandong Normal University</t>
  </si>
  <si>
    <t>This study was supported by National Natural Science Fund of China (grant no. 31471002), Dongyue Scholar Fund of Shandong Normal University, and The Innovation Team Project of Psychological and Neural Mechanisms of Human Decision-Making of Shandong Normal University.</t>
  </si>
  <si>
    <t>10.3390/ijerph17217773</t>
  </si>
  <si>
    <t>OR0AA</t>
  </si>
  <si>
    <t>WOS:000589136600001</t>
  </si>
  <si>
    <t>Jonsson, TF; Unterrainer, CM; Kahler, HG</t>
  </si>
  <si>
    <t>Jonsson, Thomas Faurholt; Unterrainer, Christine Maria; Kahler, Helena Gron</t>
  </si>
  <si>
    <t>Do autonomous and trusting hospital employees generate, promote and implement more ideas? The role of distributed leadership agency</t>
  </si>
  <si>
    <t>Employee involvement; Distributed leadership; Employee-driven innovation</t>
  </si>
  <si>
    <t>WORK ENGAGEMENT; METHOD VARIANCE; JOB AUTONOMY; INNOVATION; CREATIVITY; CONTEXT</t>
  </si>
  <si>
    <t>Purpose Employees constitute an important source of innovation in organizations. Innovation management strategies often include attempts of stimulating employees' innovative contribution by instilling managerial trust and granting job autonomy. However, the authors suggest and investigate the role of employees' distributed leadership agency (DLA) in hospital employee-driven innovation. Design/methodology/approach The authors tested the hypotheses using survey data from 1,536 nonmanagerial employees at a hospital in Denmark. In order to deal with a methodological risk of survey designs, the authors assessed and adjusted the results for common method variance (CMV). Findings The authors validated a DLA measurement instrument and found an indirect relationship between job autonomy and trust in management on the one hand, via DLA, and with idea generation, promotion and implementation on the other hand. In addition, the results showed a small direct relationship between job autonomy and the three innovative behaviors. The results showed that CMV did bias relationships and reliabilities but only little. Practical implications The study introduces distributed leadership to the field of innovation management and confirms that this concept is highly relevant for employee innovation. In order to strengthen an organization's innovative potential, leaders may not only need to grant autonomy and instill trust in their employees, but also gain from employee innovation by distributing leadership tasks to employees. Originality/value This study is one of the first to introduce distributed leadership to the field of employee innovation management. By identifying distributed leadership as a key variable, the findings add to one's extant understanding of how employee involvement encourages employee innovation.</t>
  </si>
  <si>
    <t>[Jonsson, Thomas Faurholt; Kahler, Helena Gron] Aarhus Univ, Dept Psychol &amp; Behav Sci, Aarhus, Denmark; [Unterrainer, Christine Maria] Univ Innsbruck, Dept Psychol, Innsbruck, Austria</t>
  </si>
  <si>
    <t>Aarhus University; University of Innsbruck</t>
  </si>
  <si>
    <t>Jonsson, TF (corresponding author), Aarhus Univ, Dept Psychol &amp; Behav Sci, Aarhus, Denmark.</t>
  </si>
  <si>
    <t>Jonsson, Thomas Faurholt/0000-0002-9161-4459</t>
  </si>
  <si>
    <t>Velux Foundation [904123]</t>
  </si>
  <si>
    <t>The authors would like to acknowledge Professor Hans-Jeppe Jeppesen. The project was funded by The Velux Foundation, project no. 904123.</t>
  </si>
  <si>
    <t>10.1108/EJIM-08-2019-0234</t>
  </si>
  <si>
    <t>WOS:000586487600001</t>
  </si>
  <si>
    <t>Xu, LY; Du, JG; Lei, XY; Hipel, KW</t>
  </si>
  <si>
    <t>Xu, Lingyan; Du, Jianguo; Lei, Xiying; Hipel, Keith W.</t>
  </si>
  <si>
    <t>Effect of locus of control on innovative behavior among new generation employees: A moderated mediation model</t>
  </si>
  <si>
    <t>locus of control; innovative behavior; new generation employees; work engagement; innovation climate; Generation Y employees</t>
  </si>
  <si>
    <t>EXTERNAL CONTROL; PERSONALITY</t>
  </si>
  <si>
    <t>We recruited 211 new generation employees in research and development teams to examine how internal and external locus of control (LOC) are related to innovative behavior, both directly and indirectly, and to examine the moderated mediation roles of innovation climate and work engagement in this relationship. Results show that internal (vs. external) LOC had direct and indirect positive (vs. negative) effects on innovative behavior. Further, work engagement mediated the LOC-innovative behavior relationship, and innovation climate strengthened the internal LOC-innovative behavior relationship. These results shed light on the personality antecedents of innovative behavior and show how individual differences shape work engagement, and how innovation climate influences innovative behavior. Theoretical and practical implications are discussed.</t>
  </si>
  <si>
    <t>[Xu, Lingyan; Du, Jianguo; Lei, Xiying] Jiangsu Univ, Management Sch, 911 Sanjiang Bldg,301 Xuefu Rd, Zhenjiang, Jiangsu, Peoples R China; [Xu, Lingyan; Hipel, Keith W.] Univ Waterloo, Dept Syst Design Engn, Waterloo, ON, Canada; [Hipel, Keith W.] Ctr Int Governance Innovat, Waterloo, ON, Canada</t>
  </si>
  <si>
    <t>Jiangsu University; University of Waterloo</t>
  </si>
  <si>
    <t>Xu, LY (corresponding author), Jiangsu Univ, Management Sch, 911 Sanjiang Bldg,301 Xuefu Rd, Zhenjiang, Jiangsu, Peoples R China.</t>
  </si>
  <si>
    <t>xulingyan333@163.com</t>
  </si>
  <si>
    <t>Du, Jianguo/V-5788-2019</t>
  </si>
  <si>
    <t>Du, Jianguo/0000-0001-9628-7496</t>
  </si>
  <si>
    <t>Social Science Foundation of Jiangsu Province in China [18GLC006]; Youth Talents Cultivation Program of Jiangsu University [411160001]; Jiangsu Overseas Visiting Scholar Program for University Prominent Young and Mid-Career Teachers and Presidents</t>
  </si>
  <si>
    <t>Social Science Foundation of Jiangsu Province in China; Youth Talents Cultivation Program of Jiangsu University; Jiangsu Overseas Visiting Scholar Program for University Prominent Young and Mid-Career Teachers and Presidents</t>
  </si>
  <si>
    <t>This research was sponsored by the Social Science Foundation of Jiangsu Province in China (18GLC006), the Youth Talents Cultivation Program of Jiangsu University (411160001), and the Jiangsu Overseas Visiting Scholar Program for University Prominent Young and Mid-Career Teachers and Presidents.</t>
  </si>
  <si>
    <t>e9379</t>
  </si>
  <si>
    <t>10.2224/sbp.9379</t>
  </si>
  <si>
    <t>WOS:000577084600009</t>
  </si>
  <si>
    <t>Yang, J; Chang, MC; Li, J; Zhou, LL; Tian, F; Zhang, JJ</t>
  </si>
  <si>
    <t>Yang, Jie; Chang, Mingchao; Li, Jian; Zhou, Lulu; Tian, Feng; Zhang, JiangJiang</t>
  </si>
  <si>
    <t>Exploring the moderated mediation relationship between leader narcissism and employees' innovative behavior</t>
  </si>
  <si>
    <t>Leader narcissism; Cognitive dependency; Environmental uncertainty; Innovative behavior</t>
  </si>
  <si>
    <t>DOUBLE-EDGED-SWORD; PERSONALITY-TRAITS; TRANSFORMATIONAL LEADERSHIP; ENVIRONMENT; DARK; ORGANIZATIONS; SUPERVISION; UNCERTAINTY; PERSPECTIVE; PERFORMANCE</t>
  </si>
  <si>
    <t>Purpose Based on the social information processing theory, the purpose of this study is to propose a conceptualized moderated mediation model for testing the linkage between leader narcissism and employees' innovative behavior through the mediating effect of employees' cognitive dependency and the moderating effect of environmental uncertainty between employees' cognitive dependency and their innovative behavior. Design/methodology/approach In this study, multisource data from 266 employees and their supervisors in 11 large high-tech Chinese companies were collected through a field study and an online survey. The hypotheses were tested using structural equation modeling and bootstrapping. Findings The results of this study show that leader narcissism has a negative impact on employees' innovative behavior and that employees' cognitive dependency plays a mediating role between leader narcissism and employees' innovative behavior. Cognitive dependency and environmental uncertainty play moderated mediation roles between leader narcissism and employees' innovative behavior. Research limitations/implications In the future, longitudinal research and experimental methods can be used to avoid common method bias. Further studies could allow leaders to evaluate environmental uncertainty and explore the emotional path by which leader narcissism has negative effects on followers' innovation from social information processing theory. In addition, future studies can explore cognitive dependency more deeply from the perspectives of forced obedience and active worship. Practical implications Organizations should warn leaders to control the dark side of narcissism and minimize environmental uncertainty to reduce barriers to innovation. Originality/value This study constructs the path of the effect of leader narcissism on employees' innovation through employees' cognitive dependency in a specific context, which enriches theoretical research on the link between leaders' traits and employees' innovative behavior. Along with the finding of leader narcissism's negative effect on employees' innovative behavior, this study explores the dark side of leader narcissism in the context of China's high-tech firms and environmental uncertainty.</t>
  </si>
  <si>
    <t>[Yang, Jie; Chang, Mingchao] Guizhou Univ Finance &amp; Econ, Sch Business Adm, Guiyang, Peoples R China; [Li, Jian] Nan Jing Normal Univ China, Sch Business, Nanjing, Peoples R China; [Zhou, Lulu] Southeast Univ China, Sch Econ &amp; Management, Nanjing, Peoples R China; [Tian, Feng] Univ Newcastle, Sch Business, Callaghan, NSW, Australia; [Zhang, JiangJiang] Nanjing Univ, Sch Business, Nanjing, Peoples R China</t>
  </si>
  <si>
    <t>Guizhou University of Finance &amp; Economics; Southeast University - China; University of Newcastle; Nanjing University</t>
  </si>
  <si>
    <t>Li, J (corresponding author), Nan Jing Normal Univ China, Sch Business, Nanjing, Peoples R China.</t>
  </si>
  <si>
    <t>lijian198112@163.com</t>
  </si>
  <si>
    <t>Tian, Feng/0000-0002-3707-4009</t>
  </si>
  <si>
    <t>10.1108/CMS-10-2019-0363</t>
  </si>
  <si>
    <t>QX9WI</t>
  </si>
  <si>
    <t>WOS:000562875400001</t>
  </si>
  <si>
    <t>Wu, CH; de Jong, JPJ; Raasch, C; Poldervaart, S</t>
  </si>
  <si>
    <t>Wu, Chia-huei; de Jong, Jeroen P. J.; Raasch, Christina; Poldervaart, Sabrine</t>
  </si>
  <si>
    <t>Work process-related lead userness as an antecedent of innovative behavior and user innovation in organizations</t>
  </si>
  <si>
    <t>Work process-related lead userness; Self-efficacy; Job autonomy; Innovative work behavior; User innovation</t>
  </si>
  <si>
    <t>SELF-EFFICACY; INDIVIDUAL INNOVATION; CONTROL DEPRIVATION; MARKET FAILURE; JOB; PERFORMANCE; CREATIVITY; MODEL; DETERMINANTS; SATISFACTION</t>
  </si>
  <si>
    <t>Recent studies have identified that employees can be lead users of their employing firm's products, and valuable sources of product innovation, residing within organizational boundaries. We extend this line of thought by recognizing that employees can be lead users with regard to internal work processes. We define work process-related lead userness (WPLU) as the extent to which employees experience unsatisfied process-related needs ahead of others, and expect high benefits from solutions to these needs. We hypothesize a positive association with user innovation in the workplace, evidenced by the development of tools, equipment, materials and methods. We test a moderated mediation model delineating how and when WPLU is related to user innovation within organizational boundaries. Drawing on survey data from 104 employees and 13 supervisors in a forensic services organization, we find that WPLU contributes to user innovation via engagement in innovative work behavior, especially when employees have higher self-efficacy (perceived capability to overcome obstacles) and lower job autonomy (situational constraints on the job).</t>
  </si>
  <si>
    <t>[Wu, Chia-huei] Univ Leeds, Business Sch, Leeds LS6 1AN, W Yorkshire, England; [de Jong, Jeroen P. J.] Univ Utrecht, Sch Econ, Kriekenpitpl 21-22, NL-3584 EC Utrecht, Netherlands; [Raasch, Christina] Kuhne Logist Univ, Grosser Grasbrook 17, D-20457 Hamburg, Germany; [Raasch, Christina] Kiel Inst World Econ, Kiellinie 66, D-24105 Kiel, Germany; [Poldervaart, Sabrine] Netherlands Forens Inst, Laan van Ypenburg 6, NL-2497 GB The Hague, Netherlands</t>
  </si>
  <si>
    <t>N8 Research Partnership; RLUK- Research Libraries UK; White Rose University Consortium; University of Leeds; Utrecht University; Kuhne Logistics University; Institut fur Weltwirtschaft an der Universitat Kiel (IFW)</t>
  </si>
  <si>
    <t>de Jong, JPJ (corresponding author), Univ Utrecht, Sch Econ, Kriekenpitpl 21-22, NL-3584 EC Utrecht, Netherlands.</t>
  </si>
  <si>
    <t>j.p.j.dejong@uu.nl</t>
  </si>
  <si>
    <t>Wu, Chia-huei/M-8677-2015</t>
  </si>
  <si>
    <t>Wu, Chia-huei/0000-0002-8011-6323; de Jong, Jeroen/0000-0002-2369-5744</t>
  </si>
  <si>
    <t>10.1016/j.respol.2020.103986</t>
  </si>
  <si>
    <t>LY1HJ</t>
  </si>
  <si>
    <t>WOS:000540272800005</t>
  </si>
  <si>
    <t>Wang, L; Yang, Y; Li, YS</t>
  </si>
  <si>
    <t>Wang, Li; Yang, Yuan; Li, Yishuai</t>
  </si>
  <si>
    <t>Extending lead-user theory to a virtual brand community: the roles of flow experience and trust</t>
  </si>
  <si>
    <t>ASIAN BUSINESS &amp; MANAGEMENT</t>
  </si>
  <si>
    <t>Lead userness; Flow experience; Trust; Innovative behavior; Virtual brand community</t>
  </si>
  <si>
    <t>INNOVATIVE BEHAVIOR; PRODUCT DEVELOPMENT; WEB SITE; KNOWLEDGE; ENVIRONMENTS; CREATIVITY; ANTECEDENTS; PERFORMANCE; PURCHASE; SUPPORT</t>
  </si>
  <si>
    <t>With the growing popularity of consumer participation in product innovation in online brand community, this research aims to integrate the concepts of flow experience and variance of trust to explore the effects of these two factors on the relationship between lead userness and innovative behavior in an online context. Survey data from the Xiaomi Company's virtual brand community show that lead userness has a positive impact on flow experience and, in turn, on innovative behavior. In addition, flow experience mediates the relationship between lead userness and innovative behavior when trust in a virtual brand community is high rather than low.</t>
  </si>
  <si>
    <t>[Wang, Li; Yang, Yuan] Tongji Univ, Sch Econ &amp; Management, Dept Business Adm, 1239 Siping Rd, Shanghai 200092, Peoples R China; [Li, Yishuai] CCB Life Insurance Co, 99 Yincheng Rd, Shanghai 200120, Peoples R China</t>
  </si>
  <si>
    <t>Yang, Y (corresponding author), Tongji Univ, Sch Econ &amp; Management, Dept Business Adm, 1239 Siping Rd, Shanghai 200092, Peoples R China.</t>
  </si>
  <si>
    <t>wangli2008@tongji.edu.cn; yuanyang@tongji.edu.cn; jingeliyishuai@163.com</t>
  </si>
  <si>
    <t>National Natural Science Foundation of China [71402122]; Shanghai Pujiang Program [15PJC094]; Fundamental Research Funds for the Central Universities [22120180074]</t>
  </si>
  <si>
    <t>National Natural Science Foundation of China(National Natural Science Foundation of China (NSFC)); Shanghai Pujiang Program(Shanghai Pujiang Program); Fundamental Research Funds for the Central Universities(Fundamental Research Funds for the Central Universities)</t>
  </si>
  <si>
    <t>This study is funded by the National Natural Science Foundation of China (Grant No. 71572130), the Shanghai Pujiang Program (Grant No. 15PJC094), and the Fundamental Research Funds for the Central Universities (Grant No. 22120180074) granted to Li Wang and by the National Natural Science Foundation of China (Grant No. 71402122) granted to Yuan Yang.</t>
  </si>
  <si>
    <t>PALGRAVE MACMILLAN LTD</t>
  </si>
  <si>
    <t>BRUNEL RD BLDG, HOUNDMILLS, BASINGSTOKE RG21 6XS, HANTS, ENGLAND</t>
  </si>
  <si>
    <t>1472-4782</t>
  </si>
  <si>
    <t>1476-9328</t>
  </si>
  <si>
    <t>ASIAN BUS MANAG</t>
  </si>
  <si>
    <t>Asian. Bus. Manag.</t>
  </si>
  <si>
    <t>10.1057/s41291-019-00097-9</t>
  </si>
  <si>
    <t>WG0YI</t>
  </si>
  <si>
    <t>WOS:000543797200001</t>
  </si>
  <si>
    <t>Ji, H; Sui, YT; Wang, H</t>
  </si>
  <si>
    <t>Ji, Hao; Sui, Yating; Wang, Hui</t>
  </si>
  <si>
    <t>Sustainable Development for Shipping Companies: A Supply Chain Integration Perspective</t>
  </si>
  <si>
    <t>JOURNAL OF COASTAL RESEARCH</t>
  </si>
  <si>
    <t>Supply chain integration; sustainable development; innovation</t>
  </si>
  <si>
    <t>With the increase of international competition and environmental protection requirements, sustainable development has become a key condition for the international competitiveness of shipping companies. This study used innovative behavior as a mediator to construct a supply chain integration mechanism for shipping companies and to promote the sustainable development of enterprises. Path analysis and hypothesis testing were performed based on structural equations. A survey of 287 samples of shipping companies was conducted through field surveys and internet questionnaires. This research shows that external integration and internal integration of the supply chain have a positive impact on the sustainable development of shipping companies through enterprise innovation. Finally, the article expounds on the management significance of this mechanism for the sustainable development of shipping companies.</t>
  </si>
  <si>
    <t>[Ji, Hao; Sui, Yating; Wang, Hui] Beijing Union Univ, Business Coll, Beijing 100025, Peoples R China</t>
  </si>
  <si>
    <t>Beijing Union University</t>
  </si>
  <si>
    <t>Ji, H (corresponding author), Beijing Union Univ, Business Coll, Beijing 100025, Peoples R China.</t>
  </si>
  <si>
    <t>hao.ji@buu.edu.cn</t>
  </si>
  <si>
    <t>Talented Personnel Strengthening School Plan of Beijing United University, China [BPHR2019CS03]; Humanities and Social Sciences Research Program of the Ministry of Education, China [17YJC630133]</t>
  </si>
  <si>
    <t>Talented Personnel Strengthening School Plan of Beijing United University, China; Humanities and Social Sciences Research Program of the Ministry of Education, China</t>
  </si>
  <si>
    <t>This research was funded by the Talented Personnel Strengthening School Plan of Beijing United University (BPHR2019CS03), China. This research was also supported by the Humanities and Social Sciences Research Program of the Ministry of Education (17YJC630133), China.</t>
  </si>
  <si>
    <t>COASTAL EDUCATION &amp; RESEARCH FOUNDATION</t>
  </si>
  <si>
    <t>COCONUT CREEK</t>
  </si>
  <si>
    <t>5130 NW 54TH STREET, COCONUT CREEK, FL 33073 USA</t>
  </si>
  <si>
    <t>0749-0208</t>
  </si>
  <si>
    <t>1551-5036</t>
  </si>
  <si>
    <t>J COASTAL RES</t>
  </si>
  <si>
    <t>J. Coast. Res.</t>
  </si>
  <si>
    <t>10.2112/SI98-080.1</t>
  </si>
  <si>
    <t>Environmental Sciences; Geography, Physical; Geosciences, Multidisciplinary</t>
  </si>
  <si>
    <t>KA7CE</t>
  </si>
  <si>
    <t>WOS:000505953800080</t>
  </si>
  <si>
    <t>Factorial Structure and Measurement Invariance of the Innovative Behavior Questionnaire</t>
  </si>
  <si>
    <t>innovative behavior; employees; confirmatory factor analysis; assessment</t>
  </si>
  <si>
    <t>INDIVIDUAL INNOVATION; WORK BEHAVIOR; CREATIVITY; PERFORMANCE; ORGANIZATIONS; WORKPLACE</t>
  </si>
  <si>
    <t>The article presents an analysis of the factorial structure and measurement invariance of the Innovative Behavior Questionnaire, developed by Scott and Bruce. Although the instrument is widely used to capture individuals' innovative behavior, very little evidence concerning its psychometric properties is available. A time-lagged study among 382 employees was conducted to check the factorial structure of the questionnaire, using confirmatory factor analysis, as well as its measurement invariance across gender and time. One-factor structure (with correlated error terms of first three items) and strict invariance across time and across gender of the Innovative Behavior Questionnaire were demonstrated. As such, the measure can be used as a reliable tool for capturing individuals' innovative behavior by self-report.</t>
  </si>
  <si>
    <t>[Purc, Ewelina; Laguna, Mariola] John Paul II Catholic Univ Lublin, Inst Psychol, Al Raclawickie 14, PL-20950 Lublin, Poland</t>
  </si>
  <si>
    <t>Purc, E (corresponding author), John Paul II Catholic Univ Lublin, Inst Psychol, Al Raclawickie 14, PL-20950 Lublin, Poland.</t>
  </si>
  <si>
    <t>ewelina.purc@gmail.com</t>
  </si>
  <si>
    <t>Polish National Science Centre [DEC-2013/10/M/HS6/00475]</t>
  </si>
  <si>
    <t>Polish National Science Centre</t>
  </si>
  <si>
    <t>This paper is based on the work conducted by the first author for her dissertation research, under the supervision of the second author. This research was financed by the Polish National Science Centre, grant no. DEC-2013/10/M/HS6/00475.</t>
  </si>
  <si>
    <t>10.1002/jocb.215</t>
  </si>
  <si>
    <t>IY2OD</t>
  </si>
  <si>
    <t>WOS:000486229700013</t>
  </si>
  <si>
    <t>Luengo-Valderrey, MJ; Moso-Diez, M</t>
  </si>
  <si>
    <t>Jesus Luengo-Valderrey, Maria; Moso-Diez, Monica</t>
  </si>
  <si>
    <t>Interaction Between Knowledge Management Activities, Innovation Barriers and Innovation Performance: Spanish High and Medium Technology Firms</t>
  </si>
  <si>
    <t>JOURNAL OF THE KNOWLEDGE ECONOMY</t>
  </si>
  <si>
    <t>Innovation theory; Knowledge management systems; Knowledge workers; Management practices; Structural equation modelling</t>
  </si>
  <si>
    <t>MODEL; CAPABILITY; FIT</t>
  </si>
  <si>
    <t>The purpose of this study is to explain differing innovative behaviours in Spanish high and medium technology firms according to the investment made in knowledge management practices within their innovation processes and their investment in their workers' capacities. Using a methodology of clusters, four separate types of behaviour were identified for their innovation performance. The cause and effect relationships between the defined constructs were studied by applying SEM methodology in each cluster identified, as well as the direct impact of the knowledge management constructs on the innovation performance construct. In all cases, knowledge workers have the greatest impact on innovation performance. There is also a strong correlation between knowledge workers and investment in internal knowledge management. Finally, the factors that hinder innovation activities are determined by the size of the companies. Further theoretical and empirical development will be required to provide comparison and feedback on the findings found over time and with a more inter-sectoral and intra-business focus. Organisations interested in improving both their innovative activity and their knowledge management, must be aware of the importance of knowledge workers, (key for internal R&amp;D knowledge) and of the need for continuous training as the main tool for stimulating the continuous transmission and generation of knowledge. This is a new contribution to the patterns of behaviour with regard to innovation performance, complementing other sector studies carried out in Spain and elsewhere, and gives further proof of the positive effect of innovation knowledge management.</t>
  </si>
  <si>
    <t>[Jesus Luengo-Valderrey, Maria] Univ Pais Vasco Euskal Herriko Unibertsitatea Uni, Dept Management Evaluat &amp; Business Innovat, C Elcano 21, Bilbao 48008, Spain; [Moso-Diez, Monica] Marbella Int Univ Ctr MIUC, Marbella 29601, CO, Spain</t>
  </si>
  <si>
    <t>Luengo-Valderrey, MJ (corresponding author), Univ Pais Vasco Euskal Herriko Unibertsitatea Uni, Dept Management Evaluat &amp; Business Innovat, C Elcano 21, Bilbao 48008, Spain.</t>
  </si>
  <si>
    <t>mariajesus.luengo@ehu.es</t>
  </si>
  <si>
    <t>Luengo-Valderrey, María-Jesús/AAX-7306-2020</t>
  </si>
  <si>
    <t>Luengo-Valderrey, María-Jesús/0000-0002-5322-8485</t>
  </si>
  <si>
    <t>1868-7865</t>
  </si>
  <si>
    <t>1868-7873</t>
  </si>
  <si>
    <t>J KNOWL ECON</t>
  </si>
  <si>
    <t>J. Knowl. Econ.</t>
  </si>
  <si>
    <t>10.1007/s13132-017-0458-0</t>
  </si>
  <si>
    <t>HR4CU</t>
  </si>
  <si>
    <t>WOS:000463092700016</t>
  </si>
  <si>
    <t>Kreuzer, C; Weber, S</t>
  </si>
  <si>
    <t>Kreuzer, Christine; Weber, Susanne</t>
  </si>
  <si>
    <t>Modelling Opportunity Recognition Competence as a Foundation for Teaching and Learning in Vocational Education</t>
  </si>
  <si>
    <t>Innovative behaviour; Opportunity Recognition; Modelling competence; Vocational education</t>
  </si>
  <si>
    <t>ENTREPRENEURIAL OPPORTUNITIES; PRIOR KNOWLEDGE; IDENTIFICATION; DISCOVERY; INFORMATION; CREATIVITY; INNOVATION; INTRAPRENEURSHIP; PERSONALITY; EMPLOYEES</t>
  </si>
  <si>
    <t>Due to tremendous worldwide changes, the entrepreneurial imperative demands innovation. Therefore, companies as well as employees require innovative thinking and acting skills to cope with modern challenges. Opportunity Recognition represents the starting point for such entrepreneurial endeavours. Hence, this paper focuses on modelling Opportunity Recognition as well as the development of an Opportunity Recognition competence model as the foundation for teaching and learning in vocational education. Building on vocational situations that trigger innovations (opportunities) and the necessary competence facets that are needed to apply competent vocational behaviour in such situations (Opportunity Recognition), we conduct a systematic literature review and develop a comprehensive Opportunity Recognition competence model. We thereby link the found vocational situations (opportunities) with the found more abstract and latent competence facets of Opportunity Recognition and operationalise them by more observable indicators, which can be construed as evidence for the latent construct and related to successful performance in associated vocational situations. This modelling procedure of evidence-based reasoning allows inferences from the observed behaviour to the underlying, although not directly observable, Opportunity Recognition competence. The resulting Opportunity Recognition competence model may serve as a foundation for developing evidence-based curricular goals for vocational education through both instruction and assessment.</t>
  </si>
  <si>
    <t>[Kreuzer, Christine; Weber, Susanne] Ludwig Maximilians Univ Munchen, Munich Sch Management, Inst Human Resource Educ &amp; Management, Ludwigstr 28 RG, D-80539 Munich, Germany</t>
  </si>
  <si>
    <t>University of Munich</t>
  </si>
  <si>
    <t>Kreuzer, C (corresponding author), Ludwig Maximilians Univ Munchen, Munich Sch Management, Inst Human Resource Educ &amp; Management, Ludwigstr 28 RG, D-80539 Munich, Germany.</t>
  </si>
  <si>
    <t>kreuzer@bwl.lmu.de</t>
  </si>
  <si>
    <t>10.1007/s12186-017-9194-7</t>
  </si>
  <si>
    <t>GV6FT</t>
  </si>
  <si>
    <t>WOS:000446204200002</t>
  </si>
  <si>
    <t>Avsec, S; Jagiello-Kowalczyk, M</t>
  </si>
  <si>
    <t>Avsec, Stanislav; Jagiello-Kowalczyk, Magdalena</t>
  </si>
  <si>
    <t>Pre-Service Teachers' Attitudes Towards Technology, Engagement in Active Learning, and Creativity as Predictors of Ability to Innovate</t>
  </si>
  <si>
    <t>technology and engineering education; pre-service teachers; attitudes towards technology; creative potential; ability to innovate</t>
  </si>
  <si>
    <t>INTRINSIC-MOTIVATION; SCHOOL DESIGN; INSTRUCTION; MODEL</t>
  </si>
  <si>
    <t>Teacher's subject matter knowledge, pedagogical content knowledge, skills, attitudes and self-efficacy guide teacher's behaviour in the classroom. Little is understood how pre-service teachers' beliefs, affective and conative abilities along with creative potential support their technological and engineering behaviour necessary for inventiveness. The purpose of this study was to examine relationships among pre-service teachers' attitudes towards technology, perceptions and experiences with their own engagement in technology and engineering activities, and their creative potential that have been shown to support their innovative behaviour. A total of 124 pre-service teachers participated in this study. The Twenty-five-Item Technology and Me survey, the Test of Creative Thinking-Divergent Production, and the Twenty-three-Item Action and Me survey were used to measure the teachers' attitudes towards technology, creative potential, and their situational interest, perceived course learning value, satisfaction, and technological and engineering behaviour. A conceptual model was hypothesized, tested, and supported by the results using confirmatory factor analysis with structural equation modelling. Findings indicate that pre-service teachers who had higher scores on interest for technology had higher situational interest, higher creative performance, and higher ability to innovate. Students who had higher scores on perceived consequences of technology had less creative performance while students who had higher scores on perceived technology difficulty had lower scores on perceived learning value of the course and lower scores on course design quality. Pre-service teachers own creativity, perceived course design, situational interest, and perceived learning value mediate the relationship between attitudes towards technology and perceived ability to innovate. Our results offer important implications about how to prepare pre-service technology and engineering teachers for innovative performance towards enhancing technological knowledge and skills.</t>
  </si>
  <si>
    <t>[Avsec, Stanislav] Univ Ljubljana, Fac Educ, Kardeljeva Ploscad 16, SI-1000 Ljubljana, Slovenia; [Jagiello-Kowalczyk, Magdalena] Cracow Univ Technol, Warszawska 24, PL-31155 Krakow, Poland</t>
  </si>
  <si>
    <t>University of Ljubljana; Cracow University of Technology</t>
  </si>
  <si>
    <t>Avsec, S (corresponding author), Univ Ljubljana, Fac Educ, Kardeljeva Ploscad 16, SI-1000 Ljubljana, Slovenia.</t>
  </si>
  <si>
    <t>Stanislav.Avsec@pef.uni-lj.si; magdajagiellok@interia.pl</t>
  </si>
  <si>
    <t>Jagiello-Kowalczyk, Magdalena/0000-0002-3971-839X</t>
  </si>
  <si>
    <t>GS0GR</t>
  </si>
  <si>
    <t>WOS:000443168300019</t>
  </si>
  <si>
    <t>Khorakian, A; Jahangir, M</t>
  </si>
  <si>
    <t>Khorakian, Alireza; Jahangir, Mostafa</t>
  </si>
  <si>
    <t>THE IMPACT OF SOCIAL NETWORK ON THE INNOVATIVE BEHAVIOR OF IT PROFESSIONALS: WHAT IS THE ROLE OF SHARING MISTAKES?</t>
  </si>
  <si>
    <t>E &amp; M EKONOMIE A MANAGEMENT</t>
  </si>
  <si>
    <t>Sharing mistakes; innovative behavior; social network; IT professionals</t>
  </si>
  <si>
    <t>ORGANIZATIONAL-CLIMATE; KNOWLEDGE; WORK; PERCEPTIONS; MANAGEMENT; PERFORMANCE; FAIRNESS; COHESION; FAILURE; ERROR</t>
  </si>
  <si>
    <t>In today's competitive world, organizations need constant innovations in products, services and processes in order to grow and survive. Key of Innovation is in the innovative behavior of organization employees. Various factors affect the innovative behavior of the staff. The existence of a social network among the employees is one of the factors which can affect this behavior. Despite this fact, the way it affects is one of the major issues in the society of IT professionals. The aim of the research is investigating the mediatory role of sharing mistakes in the impact of social network on innovative behavior of IT professionals. In order to evaluate the research variables, a questionnaire of 18 questions has been used. This questionnaire has been distributed among 210 IT professionals in Mashhad. To analyze the data, structural equation modeling has been used. The results of this research showed that social network has positive impact on sharing mistakes. Also sharing mistakes has impact on generating and promoting ideas. In addition sharing mistakes mediates the impact of social network on generating and promoting ideas. Finally, in the conclusion of the scientific achievement of this research, one can refer to the fact that to promote and develop the IT companies in this competitive industry, innovation is needed. Innovation is created by the innovative employees. To behave innovatively, the employees should have contact through social network, yet if the social network leads the employees to share their mistakes, it would enhance the innovative behavior to a greater extent.</t>
  </si>
  <si>
    <t>[Khorakian, Alireza; Jahangir, Mostafa] Ferdowsi Univ Mashhad FUM, Fac Econ &amp; Adm Sci, Dept Management, Mashhad, Iran; [Khorakian, Alireza] Univ Stirling, Stirling Management Sch, Stirling, Scotland</t>
  </si>
  <si>
    <t>Ferdowsi University Mashhad; University of Stirling</t>
  </si>
  <si>
    <t>Khorakian, A (corresponding author), Ferdowsi Univ Mashhad FUM, Fac Econ &amp; Adm Sci, Dept Management, Mashhad, Iran.;Khorakian, A (corresponding author), Univ Stirling, Stirling Management Sch, Stirling, Scotland.</t>
  </si>
  <si>
    <t>a.khorakian@um.ac.ir; mjahangir@stu.um.ac.ir</t>
  </si>
  <si>
    <t>Khorakian, Alireza/P-8771-2019</t>
  </si>
  <si>
    <t>Khorakian, Alireza/0000-0003-0890-3418; Jahangir, Mostafa/0000-0002-0384-6648</t>
  </si>
  <si>
    <t>TECHNICKA UNIV &amp; LIBERCI</t>
  </si>
  <si>
    <t>LIBEREC 1</t>
  </si>
  <si>
    <t>HOSPODARSKA FAKULTA, STUDENTSKA 2, HALKOVA 6, IC 46747885, LIBEREC 1, 461 17, CZECH REPUBLIC</t>
  </si>
  <si>
    <t>1212-3609</t>
  </si>
  <si>
    <t>E M EKON MANAG</t>
  </si>
  <si>
    <t>E M Ekon. Manag.</t>
  </si>
  <si>
    <t>10.15240/tul/001/2018-3-012</t>
  </si>
  <si>
    <t>GT4BY</t>
  </si>
  <si>
    <t>WOS:000444450000012</t>
  </si>
  <si>
    <t>Yu, MC; Zheng, XT; Wang, GG; Dai, Y; Yan, BW</t>
  </si>
  <si>
    <t>Yu, Ming-Chuan; Zheng, Xiao-Tao; Wang, Greg G.; Dai, Yi; Yan, Bingwen</t>
  </si>
  <si>
    <t>When does motivation to learn reduce innovative behavior? An examination of mediated-moderation model</t>
  </si>
  <si>
    <t>Innovative behaviour; Motivation to learn; Motivation to transfer; Transfer climate</t>
  </si>
  <si>
    <t>SELF-DETERMINATION THEORY; GOAL ORIENTATION; TRAINING EFFECTIVENESS; INDIVIDUAL CREATIVITY; INTRINSIC MOTIVATION; EMPLOYEE CREATIVITY; KNOWLEDGE CREATION; WORK-ENVIRONMENT; PATH-ANALYSIS; PERFORMANCE</t>
  </si>
  <si>
    <t>Purpose The purpose of this paper is to test and explain the context where motivation to learn (MTL) reduces innovative behavior in the organizational context. Design/methodology/approach The authors used questionnaire survey to collect data in a field study. In order to test the moderating effect of transfer climate, MTL on the relationship between MTL and innovative behavior, a sample of 606 employees was analyzed to examine the theoretical expectation by using multiple regression and bootstrapping. Findings The authors found employees motivated to learn showed less innovative behavior when perceived transfer climate is less favorable. The authors further revealed that motivation to transfer mediates the moderating effect of transfer climate for the relationship between MTL and innovative behavior. Research limitations/implications One suggestion for further research is to investigate the relationship among the four constructs by using multi-source, multi-wave and multi-level method. Practical implications This study provides several useful guidance of how organization and manager avoid the negative effects of MTL through encouraging employees to learn new knowledge and skills, and providing employee opportunities to use their acquired knowledge and skills. Originality/value The authors contribute to the motivational literature by taking a step further to understand the effect of MTL. The authors propose and confirm that employee MTL can lead to negative outcomes when individuals perceived transfer climate is low. The results offer new insight beyond previous findings on positive or non-significant relationship between MTL and innovative behavior. The results further show that this interactive effect is induced by motivation to transfer. Particularly, low transfer climate reduces individuals' motivation to transfer, and individuals with high MTL have low innovative behavior when they are less motivated to transfer.</t>
  </si>
  <si>
    <t>[Yu, Ming-Chuan; Zheng, Xiao-Tao] Shanghai Normal Univ, Sch Finance &amp; Business, Shanghai, Peoples R China; [Yu, Ming-Chuan] Shanghai Jiao Tong Univ, Coll Econ &amp; Management, Shanghai, Peoples R China; [Wang, Greg G.] Univ Texas Tyler, Coll Business &amp; Technol, Tyler, TX 75799 USA; [Wang, Greg G.] Northwestern Polytech Univ, Sch Management, Xian, Shaanxi, Peoples R China; [Dai, Yi] Shanghai Dianji Univ, Sch Business, Shanghai, Peoples R China; [Yan, Bingwen] Cape Peninsula Univ Technol, Dept Ind &amp; Syst Engn, Cape Town, South Africa</t>
  </si>
  <si>
    <t>Shanghai Normal University; Shanghai Jiao Tong University; University of Texas System; University of Texas at Tyler; Northwestern Polytechnical University; Shanghai Dianji University; Cape Peninsula University of Technology</t>
  </si>
  <si>
    <t>Zheng, XT (corresponding author), Shanghai Normal Univ, Sch Finance &amp; Business, Shanghai, Peoples R China.</t>
  </si>
  <si>
    <t>yumingchuan712@shnu.edu.cn; zhengt@shnu.edu.cn; GWang@uttyler.edu; daiy@sdju.edu.cn; yanb@cput.ac.za</t>
  </si>
  <si>
    <t>Wang, Greg/K-7003-2019</t>
  </si>
  <si>
    <t>Wang, Greg/0000-0002-7705-239X; Yu, Mingchuan/0000-0001-7576-509X; Yan, Bingwen/0000-0002-2630-5238</t>
  </si>
  <si>
    <t>Ministry of Education of Humanities and Social Science Project [15YJC630191]; China Postdoctoral Science Foundation [2018M632124]</t>
  </si>
  <si>
    <t>Ministry of Education of Humanities and Social Science Project; China Postdoctoral Science Foundation(China Postdoctoral Science Foundation)</t>
  </si>
  <si>
    <t>This study is supported by The Ministry of Education of Humanities and Social Science Project (Grant No. 15YJC630191) and China Postdoctoral Science Foundation (Grant No. 2018M632124).</t>
  </si>
  <si>
    <t>10.1108/BJM-09-2017-0279</t>
  </si>
  <si>
    <t>GT4LX</t>
  </si>
  <si>
    <t>WOS:000444476800009</t>
  </si>
  <si>
    <t>Yorzinski, JL; Ordonez, KA; Chema, KT</t>
  </si>
  <si>
    <t>Yorzinski, Jessica L.; Ordonez, Kimberly A.; Chema, Kailey T.</t>
  </si>
  <si>
    <t>Does artificial light pollution impair problem-solving success in peafowl?</t>
  </si>
  <si>
    <t>ETHOLOGY</t>
  </si>
  <si>
    <t>artificial light at night; cognition; motivation; sensory ecology; sensory pollution; urbanization</t>
  </si>
  <si>
    <t>REPRODUCTIVE SUCCESS; SLEEP-DEPRIVATION; FORAGING BEHAVIOR; HERRING-GULLS; NEURAL BASIS; PERFORMANCE; MEMORY; NOISE; INNOVATION; COGNITION</t>
  </si>
  <si>
    <t>Behavioral innovations allow animals to adjust their behavior to solve novel problems. While innovative behavior can be important for animals living in new environments, anthropogenic pollution may limit their ability to adapt by impairing cognition or motivation. In particular, exposure to light pollution at night can cause sleep deprivation and may, therefore, hinder innovative behavior. To test this hypothesis, we examined experimentally whether exposure to acute light pollution impacts problem-solving success in peafowl (Pavo cristatus). After peafowl were exposed to artificial light pollution for one night, they were presented with a problem-solving task in which they could extract food by piercing the lid of an unfamiliar food bowl. Their problem-solving success was unrelated to short-term light pollution exposure. Other factors, including persistence, sex of the bird, and moon illumination, influenced their success in solving the task. The results suggest that short-term exposure to light pollution does not limit behavioral innovation, but long-term studies are necessary to further probe this question.</t>
  </si>
  <si>
    <t>[Yorzinski, Jessica L.] Texas A&amp;M Univ, Dept Wildlife &amp; Fisheries Sci, College Stn, TX 77843 USA; [Ordonez, Kimberly A.] Purdue Univ, Dept Forestry &amp; Nat Resources, W Lafayette, IN 47907 USA; [Chema, Kailey T.] Purdue Univ, Dept Anim Sci, W Lafayette, IN 47907 USA</t>
  </si>
  <si>
    <t>Texas A&amp;M University System; Texas A&amp;M University College Station; Purdue University System; Purdue University; Purdue University West Lafayette Campus; Purdue University System; Purdue University; Purdue University West Lafayette Campus</t>
  </si>
  <si>
    <t>Yorzinski, JL (corresponding author), Texas A&amp;M Univ, Dept Wildlife &amp; Fisheries Sci, College Stn, TX 77843 USA.</t>
  </si>
  <si>
    <t>jyorzinski@tamu.edu</t>
  </si>
  <si>
    <t>College of Agriculture and Life Sciences at Texas AM University; Texas A&amp;M AgriLife Research</t>
  </si>
  <si>
    <t>College of Agriculture and Life Sciences at Texas A&amp;M University; Texas A&amp;M AgriLife Research</t>
  </si>
  <si>
    <t>0179-1613</t>
  </si>
  <si>
    <t>1439-0310</t>
  </si>
  <si>
    <t>Ethology</t>
  </si>
  <si>
    <t>10.1111/eth.12658</t>
  </si>
  <si>
    <t>FL2HT</t>
  </si>
  <si>
    <t>WOS:000414036700010</t>
  </si>
  <si>
    <t>Dias, A; Palma, L; Carvalho, F; Neto, D; Real, J; Beja, P</t>
  </si>
  <si>
    <t>Dias, Andreia; Palma, Luis; Carvalho, Filipe; Neto, Dora; Real, Joan; Beja, Pedro</t>
  </si>
  <si>
    <t>The role of conservative versus innovative nesting behavior on the 25-year population expansion of an avian predator</t>
  </si>
  <si>
    <t>ECOLOGY AND EVOLUTION</t>
  </si>
  <si>
    <t>Aquila fasciata; behavioral innovation; conditional logistic regression; conservation; habitat selection; quantile regression; range expansion</t>
  </si>
  <si>
    <t>EAGLE HIERAAETUS-FASCIATUS; BONELLIS EAGLE; RANGE EXPANSION; CLIMATE-CHANGE; LAND-USE; LOGISTIC-REGRESSION; NATAL EXPERIENCE; AQUILA-FASCIATA; HABITAT; SCALE</t>
  </si>
  <si>
    <t>Species ranges often change in relation to multiple environmental and demographic factors. Innovative behaviors may affect these changes by facilitating the use of novel habitats, although this idea has been little explored. Here, we investigate the importance of behavior during range change, using a 25-year population expansion of Bonelli's eagle in southern Portugal. This unique population is almost exclusively tree nesting, while all other populations in western Europe are predominantly cliff nesting. During 1991-2014, we surveyed nest sites and estimated the year when each breeding territory was established. We approximated the boundaries of 84 territories using Dirichlet tessellation and mapped topography, land cover, and the density of human infrastructures in buffers (250, 500, and 1,000m) around nest and random sites. We then compared environmental conditions at matching nest and random sites within territories using conditional logistic regression, and used quantile regression to estimate trends in nesting habitats in relation to the year of territory establishment. Most nests (&gt;85%, n=197) were in eucalypts, maritime pines, and cork oaks. Nest sites were farther from the nests of neighboring territories than random points, and they were in areas with higher terrain roughness, lower cover by agricultural and built-up areas, and lower road and powerline densities. Nesting habitat selection varied little with year of territory establishment, although nesting in eucalypts increased, while cliff nesting and cork oak nesting, and terrain roughness declined. Our results suggest that the observed expansion of Bonelli's eagles was facilitated by the tree nesting behavior, which allowed the colonization of areas without cliffs. However, all but a very few breeding pairs settled in habitats comparable to those of the initial population nucleus, suggesting that after an initial trigger possibly facilitated by tree nesting, the habitat selection remained largely conservative. Overall, our study supports recent calls to incorporate information on behavior for understanding and predicting species range shifts.</t>
  </si>
  <si>
    <t>[Dias, Andreia; Real, Joan] Univ Barcelona, Dept Biol Evolut Ecol &amp; Ciencies Ambientals, Equip Biol Conservacio, Barcelona, Catalonia, Spain; [Dias, Andreia; Real, Joan] Univ Barcelona, Inst Recerca Biodiversitat IRBIO, Barcelona, Catalonia, Spain; [Dias, Andreia; Palma, Luis; Beja, Pedro] Univ Porto, Ctr Invest Biodiversidade &amp; Recursos Genet, CIBIO InBio UP, Campus Agr Vairao, Vairao, Portugal; [Carvalho, Filipe; Neto, Dora] Univ Evora, Ctr Invest Biodiversidade &amp; Recursos Genet, CIBIO InBIO UE, Evora, Portugal; [Carvalho, Filipe] Univ Ft Hare, Sch Biol &amp; Environm Sci, Dept Zool &amp; Entomol, Alice, South Africa; [Beja, Pedro] Univ Lisbon, Inst Super Agron, Ctr Ecol Aplicada Prof Baeta Neves, CEABN InBIO, Lisbon, Portugal</t>
  </si>
  <si>
    <t>University of Barcelona; University of Barcelona; Universidade do Porto; University of Evora; University of Fort Hare; Universidade de Lisboa</t>
  </si>
  <si>
    <t>Beja, P (corresponding author), Univ Porto, Ctr Invest Biodiversidade &amp; Recursos Genet, CIBIO InBio UP, Campus Agr Vairao, Vairao, Portugal.</t>
  </si>
  <si>
    <t>pbeja@cibio.up.pt</t>
  </si>
  <si>
    <t>Beja, Pedro/A-7851-2008; Palma, Luís M A/L-7826-2013; Real, Joan/L-1590-2017; Carvalho, Filipe/E-4902-2010</t>
  </si>
  <si>
    <t>Beja, Pedro/0000-0001-8164-0760; Palma, Luís M A/0000-0003-2899-9269; Carvalho, Filipe/0000-0003-2161-5293; Real, Joan/0000-0003-1355-8938; Neto, Dora/0000-0002-6234-6117</t>
  </si>
  <si>
    <t>EDP - Energias de Portugal; Sociedade Portuguesa de Vida Selvagem</t>
  </si>
  <si>
    <t>2045-7758</t>
  </si>
  <si>
    <t>ECOL EVOL</t>
  </si>
  <si>
    <t>Ecol. Evol.</t>
  </si>
  <si>
    <t>10.1002/ece3.3007</t>
  </si>
  <si>
    <t>EY3PN</t>
  </si>
  <si>
    <t>WOS:000403884700017</t>
  </si>
  <si>
    <t>Hou, XF</t>
  </si>
  <si>
    <t>Hou, Xuanfang</t>
  </si>
  <si>
    <t>MULTILEVEL INFLUENCE OF DESTRUCTIVE LEADERSHIP ON MILLENNIAL GENERATION EMPLOYEES' INNOVATIVE BEHAVIOR</t>
  </si>
  <si>
    <t>destructive leadership; Chinese millennial generation employees; millennial employees' innovative behavior; group affective tone; individual affective responses</t>
  </si>
  <si>
    <t>ABUSIVE SUPERVISION; MOOD</t>
  </si>
  <si>
    <t>I applied affective events theory to explore the multilevel influence of destructive leadership on the innovative behavior of millennial generation employees. Participants were 223 employees from 32 work groups at 3 companies in mainland China. Results showed that both actual group destructive leadership and destructive leadership as perceived by the millennial employees, had a negative influence on innovative behavior via the mediation of employees' individual affective responses. In addition, the multilevel negative influence of actual group destructive leadership on the millennial employees' innovative behavior was mediated by group affective tone. In this study, I revealed the multilevel value of affective events in the relationship between destructive leadership and millennial employees' innovative behavior, and offered insight into how to control the negative effects of destructive leaders and inspire innovative behavior in millennial employees.</t>
  </si>
  <si>
    <t>[Hou, Xuanfang] Jiangxi Normal Univ, Business Coll, 99 Ziyang Rd, Nanchang 330022, Jiangxi, Peoples R China</t>
  </si>
  <si>
    <t>Hou, XF (corresponding author), Jiangxi Normal Univ, Business Coll, 99 Ziyang Rd, Nanchang 330022, Jiangxi, Peoples R China.</t>
  </si>
  <si>
    <t>This study was supported by grants from the National Natural Science Foundation of China (71562021), the Social Science Planning Project of Jiangxi Province (15GL14), and the Research Project of Humanities and Social Sciences in Universities of Jiangxi Province (GL1559).</t>
  </si>
  <si>
    <t>10.2224/sbp.6117</t>
  </si>
  <si>
    <t>FD2WQ</t>
  </si>
  <si>
    <t>WOS:000407395900005</t>
  </si>
  <si>
    <t>Schultz, JS; Sjovold, E; Andre, B</t>
  </si>
  <si>
    <t>Schultz, Joseph Samuel; Sjovold, Endre; Andre, Beate</t>
  </si>
  <si>
    <t>Can group climate explain innovative readiness for change?</t>
  </si>
  <si>
    <t>Innovation; Change management; Climate; Organizational readiness</t>
  </si>
  <si>
    <t>ORGANIZATIONAL CULTURE; IMPLEMENTATION; ELDERCARE; SERVICES</t>
  </si>
  <si>
    <t>Purpose - Globally, elderly populations are increasing at unprecedented rates. This has precipitated change in the way practitioners are thinking of delivering eldercare services, especially in the public sector. In Norway, innovation scholars, the Norwegian government, and most municipalities delivering eldercare services agree that they must innovate to meet upcoming demands. However, infrastructural impacts are not expected for 15 years. Thus, the more difficult question becomes when a change is so distant, when or with whom should you innovate? The purpose of this paper is to determine innovative readiness by looking at group climate. Design/methodology/approach - The study will explore the differences between two groups within an organization: one group that participated (participant group) in formal innovation training and and the other group (nonparticipant group that did not participate in the training). The differences in each group's climate will be explored using a t-test. Findings - There exist two identifiable group climates within the same organization. The participant group's climate indicated that their members are ready for innovative change by showing that they are task oriented (C2), engaged (S1), and have an overall positive attitude toward innovation (A1 and A2). On the contrary, the nonparticipant group's climate indicates that their members are not ready for innovative change. This group has a dominant role of acceptance (D2), rather than pursuing ideas or causes they believe in, they accept those tasks given to them. Each group's level of innovation understanding was relatively similar prior to any formal training. Originality/value - This research shows that even though a manager within an organization is championing or encouraging innovative behavior, there can still exist two different group climates: a group that is genuinely interested in innovation and one that is not. Should participation in innovation training be mandatory or voluntary? This study showed the latter that the participant group's climate indicated its members were more ready for innovative change, while the nonparticipant group's climate indicated its members were not. This could be an important group dynamic for managers to consider when building a new innovative initiative, especially if that organization struggles with maintaining engagement and positivity for that change.</t>
  </si>
  <si>
    <t>[Schultz, Joseph Samuel; Sjovold, Endre] Norges Tekn Nat Vitenskapelige Univ, Dept Ind Econ &amp; Technol Management, Trondheim, Norway; [Andre, Beate] Norges Tekn Nat Vitenskapelige Univ, Dept Nursing Sci, Trondheim, Norway; [Andre, Beate] Norges Tekn Nat Vitenskapelige Univ, NTNU Res Ctr Hlth Promot Res, Trondheim, Norway</t>
  </si>
  <si>
    <t>Norwegian University of Science &amp; Technology (NTNU); Norwegian University of Science &amp; Technology (NTNU); Norwegian University of Science &amp; Technology (NTNU)</t>
  </si>
  <si>
    <t>Schultz, JS (corresponding author), Norges Tekn Nat Vitenskapelige Univ, Dept Ind Econ &amp; Technol Management, Trondheim, Norway.</t>
  </si>
  <si>
    <t>joseph.samuel.schultz@gmail.com</t>
  </si>
  <si>
    <t>Schultz, Joseph Samuel/0000-0002-0489-3323</t>
  </si>
  <si>
    <t>10.1108/JOCM-06-2016-0112</t>
  </si>
  <si>
    <t>EX0UR</t>
  </si>
  <si>
    <t>WOS:000402936800013</t>
  </si>
  <si>
    <t>Bignon, I; Szajnfarber, Z</t>
  </si>
  <si>
    <t>Bignon, Isabel; Szajnfarber, Zoe</t>
  </si>
  <si>
    <t>Technical Professionals' Identities in the R&amp;D Context: Beyond the Scientist Versus Engineer Dichotomy</t>
  </si>
  <si>
    <t>Management of scientists and engineers; motivation; reward systems; research and development (R&amp;D) management; technical organizations</t>
  </si>
  <si>
    <t>BIG 5; INNOVATIVE BEHAVIOR; JOB-PERFORMANCE; MOTIVATION; ORIENTATIONS; PERSONALITY; INDUSTRIAL; WORKPLACE; INTERESTS; CAREERS</t>
  </si>
  <si>
    <t>Scientists and engineers are essential to Research and Development (R&amp;D) organizations. Although the literature on technical professionals tends to characterize them in terms of dichotomies or even make no distinctions at all, it is known that human capital is more heterogeneous and nuanced. There is a need to revisit the underlying assumptions about technical professionals through deep empirical work to keep management connected to the reality of today's workforce. In this research, we explore different types of professional identities by examining the work motives and behavior of a group of employees in a scientific R&amp;D organization. Using in-depth interviews with 25 scientists and engineers at a National Aeronautics and Space Administration (NASA) center, we develop a motive-based model of technical professionals' work identities. We found an overlapping spectrum of relevant work identities that go beyond the scientist versus engineer dichotomy. Our model suggests three dimensions of motivation (social orientation, temporality of reward, and involvement with technology) that define different technical professional's identity types-among them, enablers, bridgers, researchers, and intrapreneurs. Depending on their dominant motivations and behaviors, these identities react differently to incentives. This research offers a more current and grounded classification of technical professionals, which has implications for both scholars studying intellectual human capital and managers leading organizations.</t>
  </si>
  <si>
    <t>[Bignon, Isabel; Szajnfarber, Zoe] George Washington Univ, Engn Management &amp; Syst Engn, Washington, DC 20052 USA</t>
  </si>
  <si>
    <t>George Washington University</t>
  </si>
  <si>
    <t>Bignon, I (corresponding author), George Washington Univ, Engn Management &amp; Syst Engn, Washington, DC 20052 USA.</t>
  </si>
  <si>
    <t>bignon@gwu.edu; zszajnfa@gwu.edu</t>
  </si>
  <si>
    <t>10.1109/TEM.2015.2455056</t>
  </si>
  <si>
    <t>CU1CA</t>
  </si>
  <si>
    <t>WOS:000363255500009</t>
  </si>
  <si>
    <t>Duffield, C; Wilson, AJ; Thornton, A</t>
  </si>
  <si>
    <t>Duffield, Callum; Wilson, Alastair J.; Thornton, Alex</t>
  </si>
  <si>
    <t>Desperate Prawns: Drivers of Behavioural Innovation Vary across Social Contexts in Rock Pool Crustaceans</t>
  </si>
  <si>
    <t>PROBLEM-SOLVING PERFORMANCE; IN-HOUSE SPARROWS; CALLITRICHID MONKEYS; COMPETITIVE ABILITY; FORAGING INNOVATION; MINIATURE BRAINS; LARGER GROUPS; WILD; BIRDS; FLEXIBILITY</t>
  </si>
  <si>
    <t>Innovative behaviour may allow animals to cope with changes in their environment. Innovative propensities are known to vary widely both between and within species, and a growing body of research has begun to examine the factors that drive individuals to innovate. Evidence suggests that individuals are commonly driven to innovate by necessity; for instance by hunger or because they are physically unable to outcompete others for access to resources. However, it is not known whether the factors that drive individuals to innovate are stable across contexts. We examined contextual variation in the drivers of innovation in rock pool prawns (Palaemon spp), invertebrates that face widely fluctuating environments and may, through the actions of tides and waves, find themselves isolated or in groups. Using two novel foraging tasks, we examined the effects of body size and hunger in prawns tested in solitary and group contexts. When tested alone, small prawns were significantly more likely to succeed in a spatial task, and faster to reach the food in a manipulation task, while hunger state had no effect. In contrast, size had no effect when prawns were tested in groups, but food-deprived individuals were disproportionately likely to innovate in both tasks. We suggest that contextual variation in the drivers of innovation is likely to be common in animals living in variable environments, and may best be understood by considering variation in the perception of relative risks and rewards under different conditions.</t>
  </si>
  <si>
    <t>[Duffield, Callum; Wilson, Alastair J.; Thornton, Alex] Univ Exeter, Ctr Ecol &amp; Conservat, Exeter, Cornwall, England</t>
  </si>
  <si>
    <t>Thornton, A (corresponding author), Univ Exeter, Ctr Ecol &amp; Conservat, Penryn Campus, Exeter, Cornwall, England.</t>
  </si>
  <si>
    <t>alex.thornton@exeter.ac.uk</t>
  </si>
  <si>
    <t>Wilson, Alastair J/F-3118-2010</t>
  </si>
  <si>
    <t>Wilson, Alastair/0000-0002-5045-2051; Thornton, Alex/0000-0002-1607-2047</t>
  </si>
  <si>
    <t>Biotechnology and Biological Sciences Research Council [BB/H021817/1]; Biotechnology and Biological Sciences Research Council [BB/L022656/1, BB/H021817/2, BB/H021817/1] Funding Source: researchfish; BBSRC [BB/L022656/1, BB/H021817/1, BB/H021817/2] Funding Source: UKRI</t>
  </si>
  <si>
    <t>Biotechnology and Biological Sciences Research Council(UK Research &amp; Innovation (UKRI)Biotechnology and Biological Sciences Research Council (BBSRC)); Biotechnology and Biological Sciences Research Council(UK Research &amp; Innovation (UKRI)Biotechnology and Biological Sciences Research Council (BBSRC)); BBSRC(UK Research &amp; Innovation (UKRI)Biotechnology and Biological Sciences Research Council (BBSRC))</t>
  </si>
  <si>
    <t>A.T. was supported by a David Phillips Fellowship from the Biotechnology and Biological Sciences Research Council (www.bbsrc.co.uk; grant number: BB/H021817/1). The funders had no role in study design, data collection and analysis, decision to publish, or preparation of the manuscript.</t>
  </si>
  <si>
    <t>e0139050</t>
  </si>
  <si>
    <t>10.1371/journal.pone.0139050</t>
  </si>
  <si>
    <t>CU0ZM</t>
  </si>
  <si>
    <t>Green Published, Green Submitted, gold</t>
  </si>
  <si>
    <t>WOS:000363248400019</t>
  </si>
  <si>
    <t>Hsu, JL; Wang, JH</t>
  </si>
  <si>
    <t>Hsu, Jiun-Lan; Wang, Jeng-Hwan</t>
  </si>
  <si>
    <t>Exploring the effects of Organizational Justice on Employees' Innovative Behavior in Hospitality Industry from the Aspect of Organizational Support</t>
  </si>
  <si>
    <t>organizational justice; innovative behavior; organizational support; hospitality industry</t>
  </si>
  <si>
    <t>CREATIVITY; CONTEXT; MODEL</t>
  </si>
  <si>
    <t>To cope with the strict challenge of hospitality business environments, domestic hospitality businesses need to concern about the market products being innovative and the employees have to actively present innovative behaviors in order to break through the deadlock for enhancing the competitiveness and business performance. Taking hospitality industry in Taiwan as the research subject, the correlations among employees' Perceived Organizational Justice (Distributive Justice, Procedural Justice, and Interactional Justice), Innovative Behavior, and Organizational Support are explored in this study. With random sampling, 500 copies of questionnaires are distributed to and collected from the employees of The Landis Group on-site, and 263 valid ones are retrieved, with the retrieval rate 53%. The research results are concluded as below. 1. Organizational Justice presents significantly positive correlations with Idea Generation in Innovative Behavior. 2. Organizational Justice reveals remarkably positive correlations with Idea Marketing in Innovative Behavior. 3. Organizational Justice shows notably positive correlations with Idea Practice in Innovative Behavior. 4. Organizational Support appears outstanding moderating effects on the correlations between Organizational Justice and Innovative Behavior.</t>
  </si>
  <si>
    <t>[Hsu, Jiun-Lan] Taipei Coll Maritime Technol, Dept Food &amp; Beverage Management, Taipei, Taiwan; [Wang, Jeng-Hwan] Mackay Jr Coll Med Nursing &amp; Management, Dept Food &amp; Beverage Management, Taipei, Taiwan</t>
  </si>
  <si>
    <t>Mackay Junior College of Medicine, Nursing &amp; Management</t>
  </si>
  <si>
    <t>Wang, JH (corresponding author), Mackay Jr Coll Med Nursing &amp; Management, Dept Food &amp; Beverage Management, Taipei, Taiwan.</t>
  </si>
  <si>
    <t>f0837@mail.tcmt.edu.tw; s319@eip.mkc.edu.tw</t>
  </si>
  <si>
    <t>CK7FR</t>
  </si>
  <si>
    <t>WOS:000356398700008</t>
  </si>
  <si>
    <t>Sigmund, T</t>
  </si>
  <si>
    <t>Sigmund, Tomas</t>
  </si>
  <si>
    <t>THE RELATIONSHIP OF ETHICAL AND ECONOMIC BEHAVIOUR</t>
  </si>
  <si>
    <t>POLITICKA EKONOMIE</t>
  </si>
  <si>
    <t>Czech</t>
  </si>
  <si>
    <t>business ethics; altruism; corporate social responsibility; innovation; homo economicus; selfishness</t>
  </si>
  <si>
    <t>CORPORATE SOCIAL-RESPONSIBILITY; PUBLIC-GOODS; VOLUNTARY; ALTRUISM; FOUNDATIONS; RECIPROCITY; INCENTIVES; PROVISION; POLITICS; CHARITY</t>
  </si>
  <si>
    <t>Altruism and the ethical relationship to other people affect behaviour of subjects in economic environment. Economy tries to capture this behaviour, there are various models, but it hasn't been successful in finding one model describing various types and cases of altruistic behaviour. Business ethics faces a similar problem as it lacks a definition of what exactly ethical behaviour means. This paper claims impossibility of finding a unanimous definition belongs to ethics and is its characteristic feature. In the area of economic behaviour that is not a problem, but a chance for innovative behaviour.</t>
  </si>
  <si>
    <t>Univ Econ, Fac Informat &amp; Stat, Dept Syst Anal, CZ-13067 Prague 3, Czech Republic</t>
  </si>
  <si>
    <t>Sigmund, T (corresponding author), Univ Econ, Fac Informat &amp; Stat, Dept Syst Anal, Nam W Churchilla 4, CZ-13067 Prague 3, Czech Republic.</t>
  </si>
  <si>
    <t>sigmund@vse.cz</t>
  </si>
  <si>
    <t>VYSOKA SKOLA EKONOMICKA</t>
  </si>
  <si>
    <t>PRAGUE</t>
  </si>
  <si>
    <t>NAM W CHURCHILLA 4, PRAGUE 13067, CZECH REPUBLIC</t>
  </si>
  <si>
    <t>0032-3233</t>
  </si>
  <si>
    <t>POLIT EKON</t>
  </si>
  <si>
    <t>Polit. Ekon.</t>
  </si>
  <si>
    <t>10.18267/j.polek.998</t>
  </si>
  <si>
    <t>Economics; Political Science</t>
  </si>
  <si>
    <t>Business &amp; Economics; Government &amp; Law</t>
  </si>
  <si>
    <t>CJ1IY</t>
  </si>
  <si>
    <t>WOS:000355238500005</t>
  </si>
  <si>
    <t>le Roux, A; Beishuizen, R; Brekelmans, W; Ganswindt, A; Paris, M; Dalerum, F</t>
  </si>
  <si>
    <t>le Roux, A.; Beishuizen, R.; Brekelmans, W.; Ganswindt, A.; Paris, M.; Dalerum, F.</t>
  </si>
  <si>
    <t>Innovative parental care in a myrmecophageous mammal</t>
  </si>
  <si>
    <t>Canidae; Dung provisioning; Myrmecophagy; Otocyon megalotis; Parental care</t>
  </si>
  <si>
    <t>OTOCYON MEGALOTIS; COGNITION; AARDWOLF; WILD; FOX</t>
  </si>
  <si>
    <t>Male bat-eared foxes, Otocyon megalotis, are known to contribute extensively to parental care. Yet, the exact roles that males and females play in raising offspring remain relatively unexplored. Here, we describe interactions between adult foxes and their presumed offspring based on a pilot study on three family groups of a wild population in South Africa. We report the first recorded instance of dung provisioning observed in canids. A male bat-eared fox provided dung to his offspring during a foraging trip, presumably to give them access to the ensconced insects. Further, this male provisioned the young foxes with large, live insects. Similar to other researchers, we never observed provisioning by females, but the females in this population did interact socially with their young in addition to suckling. We emphasize the importance of anecdotal reports of novel behavioural responses in wild canids, as an accumulation of such evidence may reveal patterns of innovative behaviour presently unrecognized in this family.</t>
  </si>
  <si>
    <t>[le Roux, A.] Univ Free State Qwaqwa, Dept Zool &amp; Entomol, ZA-9866 Phuthaditjhaba, South Africa; [Beishuizen, R.; Brekelmans, W.; Paris, M.] Univ Utrecht, Dept Equine Sci, Fac Vet Sci, NL-3584 CM Utrecht, Netherlands; [Ganswindt, A.] Univ Pretoria, Dept Anat &amp; Physiol, Fac Vet Sci, ZA-0110 Onderstepoort, South Africa; [Ganswindt, A.; Dalerum, F.] Univ Pretoria, Mammal Res Inst, Dept Zool &amp; Entomol, ZA-0028 Pretoria, South Africa; [Paris, M.] Inst Breeding Rare &amp; Endangered Mammals, Edinburgh, Midlothian, Scotland; [Paris, M.] Univ Western Australia, Sch Anim Biol, Crawley, WA 6009, Australia; [Dalerum, F.] Univ Pretoria, Hatfield Expt Farm, Ctr Wildlife Management, ZA-0028 Pretoria, South Africa</t>
  </si>
  <si>
    <t>Utrecht University; University of Pretoria; University of Pretoria; University of Western Australia; University of Pretoria</t>
  </si>
  <si>
    <t>le Roux, A (corresponding author), Univ Free State Qwaqwa, Dept Zool &amp; Entomol, Private Bag X13, ZA-9866 Phuthaditjhaba, South Africa.</t>
  </si>
  <si>
    <t>lerouxa3@qwa.ufs.ac.za</t>
  </si>
  <si>
    <t>le Roux, Aliza/Y-3541-2019; Dalerum, Fredrik/M-6068-2017; Ganswindt, Andre/G-9856-2014</t>
  </si>
  <si>
    <t>Dalerum, Fredrik/0000-0001-9737-8242; Ganswindt, Andre/0000-0002-1474-7602; le Roux, Aliza/0000-0002-9869-2580</t>
  </si>
  <si>
    <t>NRF; NRF SARCHi Chair in Mammal Behavioural Ecology and Physiology; University of Pretoria</t>
  </si>
  <si>
    <t>We are grateful to the De Beers Ecology Division and the Diamond Route for permission to work on the Benfontein Game Reserve and the staff and managers at Benfontein for their logistic support. This study was financially supported by an NRF focal area grant awarded to Professor Elissa Cameron, an NRF SARCHi Chair in Mammal Behavioural Ecology and Physiology awarded to Professor Nigel Bennett and NRF incentive funds as well as a research fellowship from the University of Pretoria awarded to F. Dalerum.</t>
  </si>
  <si>
    <t>10.1007/s10211-013-0157-1</t>
  </si>
  <si>
    <t>AB2OL</t>
  </si>
  <si>
    <t>WOS:000331631900009</t>
  </si>
  <si>
    <t>Phillips, KA; Subiaul, F; Sherwood, CC</t>
  </si>
  <si>
    <t>Phillips, Kimberley A.; Subiaul, Francys; Sherwood, Chet C.</t>
  </si>
  <si>
    <t>Curious monkeys have increased gray matter density in the precuneus</t>
  </si>
  <si>
    <t>NEUROSCIENCE LETTERS</t>
  </si>
  <si>
    <t>Curiosity; Exploratory behavior; Cebus; VBM</t>
  </si>
  <si>
    <t>EXPLORATORY-BEHAVIOR; BRAIN IMAGES; MR-IMAGES; REGISTRATION; PRIMATES; ROBUST; OPTIMIZATION; CURIOSITY; MEMORY; SIZE</t>
  </si>
  <si>
    <t>Curiosity is a cornerstone of cognition that has the potential to lead to innovations and increase the behavioral repertoire of individuals. A defining characteristic of curiosity is inquisitiveness directed toward novel objects. Species differences in innovative behavior and inquisitiveness have been linked to social complexity and neocortical size [18]. In this study, we observed behavioral actions among nine socially reared and socially housed capuchin monkeys in response to an unfamiliar object, a paradigm widely employed as a means to assess curiosity. K-means hierarchical clustering analysis of the behavioral responses revealed three monkeys engaged in significantly more exploratory behavior of the novel object than other monkeys. Using voxel-based-morphometry analysis of MRIs obtained from these same subjects, we demonstrated that the more curious monkeys had significantly greater gray matter density in the precuneus, a cortical region involved in highly integrated processes including memory and self-awareness. These results linking variation in precuneus gray matter volume to exploratory behavior suggest that monitoring states of self-awareness may play a role in cognitive processes mediating individual curiosity. (C) 2012 Elsevier Ireland Ltd. All rights reserved.</t>
  </si>
  <si>
    <t>[Phillips, Kimberley A.] Trinity Univ, Dept Psychol, San Antonio, TX 78212 USA; [Phillips, Kimberley A.] Texas Biomed Res Inst, SW Natl Primate Res Ctr, San Antonio, TX USA; [Subiaul, Francys] George Washington Univ, Dept Speech &amp; Hearing Sci, Washington, DC 20052 USA; [Sherwood, Chet C.] George Washington Univ, Dept Anthropol, Ctr Adv Study Hominid Paleobiol, Washington, DC 20052 USA</t>
  </si>
  <si>
    <t>Trinity University; Texas Biomedical Research Institute; George Washington University; George Washington University</t>
  </si>
  <si>
    <t>Phillips, KA (corresponding author), Trinity Univ, Dept Psychol, 1 Trinity Pl, San Antonio, TX 78212 USA.</t>
  </si>
  <si>
    <t>Kimberley.Phillips@Trinity.edu</t>
  </si>
  <si>
    <t>Phillips, Kimberley/P-1212-2016</t>
  </si>
  <si>
    <t>Phillips, Kimberley/0000-0002-5517-3596; SUBIAUL, FRANCYS/0000-0002-5873-9524</t>
  </si>
  <si>
    <t>Division Of Behavioral and Cognitive Sci; Direct For Social, Behav &amp; Economic Scie [0827531] Funding Source: National Science Foundation</t>
  </si>
  <si>
    <t>Division Of Behavioral and Cognitive Sci; Direct For Social, Behav &amp; Economic Scie(National Science Foundation (NSF)NSF - Directorate for Social, Behavioral &amp; Economic Sciences (SBE))</t>
  </si>
  <si>
    <t>0304-3940</t>
  </si>
  <si>
    <t>NEUROSCI LETT</t>
  </si>
  <si>
    <t>Neurosci. Lett.</t>
  </si>
  <si>
    <t>JUN 19</t>
  </si>
  <si>
    <t>10.1016/j.neulet.2012.05.004</t>
  </si>
  <si>
    <t>Neurosciences</t>
  </si>
  <si>
    <t>Neurosciences &amp; Neurology</t>
  </si>
  <si>
    <t>964RA</t>
  </si>
  <si>
    <t>WOS:000305713200020</t>
  </si>
  <si>
    <t>Wilson, DP; Zhang, L</t>
  </si>
  <si>
    <t>Wilson, David P.; Zhang, Lei</t>
  </si>
  <si>
    <t>Characteristics of HIV epidemics driven by men who have sex with men and people who inject drugs</t>
  </si>
  <si>
    <t>CURRENT OPINION IN HIV AND AIDS</t>
  </si>
  <si>
    <t>HIV; mathematical modelling; men who have sex with men; people who inject drugs</t>
  </si>
  <si>
    <t>HUMAN-IMMUNODEFICIENCY-VIRUS; ACTIVE ANTIRETROVIRAL THERAPY; SEXUALLY-TRANSMITTED INFECTIONS; HEALTH-CARE WORKERS; UNPROTECTED ANAL INTERCOURSE; MIDDLE-INCOME COUNTRIES; MODEL-BASED ANALYSIS; HEPATITIS-C VIRUS; HOMOSEXUAL-MEN; UNITED-STATES</t>
  </si>
  <si>
    <t>Purpose of review To highlight the latest developments in mathematical transmission modelling of HIV epidemics among men who have sex with men (MSM) and people who inject drugs (PWID). Recent findings Mathematical approaches have been applied to a wide range of topics in recent HIV research. Epidemiological models have evaluated past and forecasted future trends in prevalence and incidence, evaluated innovative behaviour modification strategies and public health programmes aimed at minimizing risk, and explored the potential impact of various biomedical interventions. MSM have developed new risk reduction strategies which models have deemed to be effective at a population level only in certain settings, such as when there are high rates of HIV testing. Modelling has also indicated that persistent circulation of drug-resistant HIV strains is likely to become an inevitable public health issue in the near future in resource-rich settings among MSM. Models have also recently been used to demonstrate that needle and syringe programmes for harm reduction among PWID are effective and cost-effective. Summary Mathematical modelling is particularly amenable to single population groups of concentrated HIV epidemics, such as among MSM and PWID. Models have been utilized to evaluate innovative areas in clinical, biomedical and public health research that cannot be conducted in other population groups. Future directions are likely to include evaluation of specific public health programmes and providing understanding of the importance of specific treatment regimens and incidence and interaction of comorbid conditions associated with HIV.</t>
  </si>
  <si>
    <t>[Wilson, David P.; Zhang, Lei] Univ New S Wales, Natl Ctr HIV Epidemiol &amp; Clin Res, Sydney, NSW, Australia</t>
  </si>
  <si>
    <t>University of New South Wales Sydney; Kirby Institute</t>
  </si>
  <si>
    <t>Wilson, DP (corresponding author), CFI Bldg,Corner W &amp; Boundary St, Sydney, NSW 2010, Australia.</t>
  </si>
  <si>
    <t>Dwilson@unsw.edu.au</t>
  </si>
  <si>
    <t>Wilson, David P/G-4614-2013; Zhang, Lei/D-4039-2011</t>
  </si>
  <si>
    <t>Zhang, Lei/0000-0003-2343-084X</t>
  </si>
  <si>
    <t>Australian Government Department of Health and Ageing; Australian Research Council [FT0991990]; University of new South Wales; Australian Research Council [FT0991990] Funding Source: Australian Research Council</t>
  </si>
  <si>
    <t>Australian Government Department of Health and Ageing(Australian GovernmentDepartment of Health &amp; Ageing); Australian Research Council(Australian Research Council); University of new South Wales; Australian Research Council(Australian Research Council)</t>
  </si>
  <si>
    <t>The study was funded from the following sources: the Australian Government Department of Health and Ageing; Australian Research Council (FT0991990); the University of new South Wales. The views expressed in this publication do not necessarily represent the position of the Australian Government. NCHECR is affiliated with the Faculty of Medicine, University of New South Wales.</t>
  </si>
  <si>
    <t>1746-630X</t>
  </si>
  <si>
    <t>1746-6318</t>
  </si>
  <si>
    <t>CURR OPIN HIV AIDS</t>
  </si>
  <si>
    <t>Curr. Opin. HIV AIDS</t>
  </si>
  <si>
    <t>10.1097/COH.0b013e328343ad93</t>
  </si>
  <si>
    <t>828OP</t>
  </si>
  <si>
    <t>WOS:000295511900002</t>
  </si>
  <si>
    <t>Borrell, RMJ; Rodriguez, FR</t>
  </si>
  <si>
    <t>Jorda Borrell, Rosa Ma; Ruiz Rodriguez, Francisca</t>
  </si>
  <si>
    <t>INNOVATIVE CORPORATE BEHAVIOR INTERNATIONALIZED THROUGH AREAS IN ANDALUCIA. FLOWS AND SYSTEMS</t>
  </si>
  <si>
    <t>BOLETIN DE LA ASOCIACION DE GEOGRAFOS ESPANOLES</t>
  </si>
  <si>
    <t>innovative process; knowledge transfer; Andalusia; systems; flow; external economies</t>
  </si>
  <si>
    <t>It is analysed the innovative. behaviour of international enterprises in Andalusia (rural, medium-sized cities, metropolitan areas) and flow systems created in order to know the spreading in each sphere of activity and in the regional whole. We have developed both a descriptive and network analysis (access, excel and Arc-Gis 9.2) in a sample of 189 companies. They feed of the external economies of metropolitan areas. The flow chart of the Geographical Information System shows that the rural population centre and the medium-sized one connect at the worldwide scale through metropolitan areas. The knowledge transfer is made of material and non-material flows. Local systems (of significant potentiality) has been created in the medium-sized cities and rural centres hardly connected with their local and provincial surroundings, but connected with the metropolitan areas.</t>
  </si>
  <si>
    <t>[Jorda Borrell, Rosa Ma; Ruiz Rodriguez, Francisca] Univ Seville, Seville, Spain</t>
  </si>
  <si>
    <t>Borrell, RMJ (corresponding author), Univ Seville, Seville, Spain.</t>
  </si>
  <si>
    <t>Ruiz-Rodríguez, Francisca/H-7705-2015; JORDÁ-BORRELL, ROSA/M-2861-2014</t>
  </si>
  <si>
    <t>Ruiz-Rodríguez, Francisca/0000-0002-5409-3631; JORDÁ-BORRELL, ROSA/0000-0002-4680-4771</t>
  </si>
  <si>
    <t>ASOCIACION ESPANOLES DE GEOGRAFIA</t>
  </si>
  <si>
    <t>PINAR 25, MADRID, 28006, SPAIN</t>
  </si>
  <si>
    <t>0212-9426</t>
  </si>
  <si>
    <t>2605-3322</t>
  </si>
  <si>
    <t>B ASOC GEOGR ESP</t>
  </si>
  <si>
    <t>Bol. Asoc. Geogr. Esp.</t>
  </si>
  <si>
    <t>Geography</t>
  </si>
  <si>
    <t>527WS</t>
  </si>
  <si>
    <t>WOS:000272402200014</t>
  </si>
  <si>
    <t>Innovative behaviour across the lifespan: Effects of feedback, support for lateral career mobility, and self-efficacy for development</t>
  </si>
  <si>
    <t>ZEITSCHRIFT FUR PERSONALPSYCHOLOGIE</t>
  </si>
  <si>
    <t>feedback from co-workers; support for lateral career mobility; self-efficacy for development; employees' innovative behaviour</t>
  </si>
  <si>
    <t>SOCIAL COGNITIVE THEORY; AGE; EXPERIENCE; BELIEFS; WORK; INVOLVEMENT; CREATIVITY; EMPLOYEES; ATTITUDES; OPENNESS</t>
  </si>
  <si>
    <t>The present study tested a model concerning the relationship between age, work characteristics, personnel development characteristics, and personal characteristics and its relationship with idea generation and idea implementation. Firstly, it was assumed that age is negatively related to feedback from co-workers as well as support for lateral career mobility. Secondly, it was assumed that those two contextual characteristics are positively related to self-efficacy for development. This in turn should, according to the third assumption, be positively related to idea generation and idea implementation. It was further tested whether the positive relationship between feedback from co-workers and support for lateral career mobility with innovative behaviour was mediated by self-efficacy for development. A questionnaire study was undertaken with 766 employees, ranging from 18-65 years of age. Results from structural equation modelling confirmed the before mentioned assumptions, whereas additional effects of job complexity and autonomy on innovative behaviour were controlled. An additional multigroup analysis showed that the model's postulated relationships were independent from the employees' type of work (age enhanced, age neutral, and age impaired).</t>
  </si>
  <si>
    <t>[Noefer, Katrin] Inst Psychol, Abt Arbeits &amp; Org Psychol, D-69117 Heidelberg, Germany</t>
  </si>
  <si>
    <t>Noefer, K (corresponding author), Inst Psychol, Abt Arbeits &amp; Org Psychol, Hauptstr 47-51, D-69117 Heidelberg, Germany.</t>
  </si>
  <si>
    <t>Katrin.Noefer@psychologie.uni-heidelberg.de</t>
  </si>
  <si>
    <t>1617-6391</t>
  </si>
  <si>
    <t>Z PERSONALPSYCHOL</t>
  </si>
  <si>
    <t>Z. Personalpsychol.</t>
  </si>
  <si>
    <t>10.1026/1617-6391.8.2.47</t>
  </si>
  <si>
    <t>432HY</t>
  </si>
  <si>
    <t>WOS:000265125300002</t>
  </si>
  <si>
    <t>Cabral, JED</t>
  </si>
  <si>
    <t>Survey on technological innovative behavior in the Brazilian Food Industry</t>
  </si>
  <si>
    <t>TECHNICAL CHANGE; FIRMS</t>
  </si>
  <si>
    <t>This paper is based on the information collected through a survey on technological innovation in a relatively large sample of 1000 firms of the Brazilian Food industry (hereafter BFI). 248 firms (24.8%) responded to the questionnaire and 77 (31.0%) declared that they had introduced innovations in the period surveyed (1994-1996). This paper concentrates both on the different characteristics related to food firms and innovative activity and on the nature of the innovations. Regarding the former we have asked questions about firms' industrial sector, major activities, production stages, ownership, age, turnover, exports effort, advertising, R&amp;D and technological innovation effort, size (number of employees), external alliances, organization of management functions (technological innovation policy, long term strategic plan, marketing research), and perceived barriers to innovation. Regarding the nature of the innovations, questions included: institutional sources of knowledge of the innovations, sources of innovations (external or internal), degree of protection of innovations (patents and other means), external collaboration, novelty of innovations (radical or incremental), type of innovations (product, process or combined), newness of innovations (to the world, to the country or to the firm), and impact of innovations on inputs (manpower, material, capital and energy). The results of the research are presented in this paper in a descriptive way. Therefore, we have not carried out advanced statistical analysis and we have not tried to establish cause-effect relationships among variables, but just links among them and trends. From the analysis, we can claim that technological innovation is actually a very complex process within firms, even though they are in a so called low-tech industry. Nevertheless, it is possible to identify outstanding factors linked to this process both at industry level (some sectors are more innovative than others) and at Arm level (the large firms tend to be more innovative than small ones).</t>
  </si>
  <si>
    <t>Univ Reading, Dept Agr &amp; Food Econ, Reading RG6 2AH, Berks, England; Brazilian Agr Res Co Brasil, EMBRAPA, Jaguariuna, Brazil</t>
  </si>
  <si>
    <t>RLUK- Research Libraries UK; University of Reading; Empresa Brasileira de Pesquisa Agropecuaria (EMBRAPA)</t>
  </si>
  <si>
    <t>Cabral, JED (corresponding author), 4 Earley Gate,Whiteknights Rd,POB 237, Reading RG6 6AR, Berks, England.</t>
  </si>
  <si>
    <t>ZX004</t>
  </si>
  <si>
    <t>WOS:000074470600003</t>
  </si>
  <si>
    <t>Forrant, R; Flynn, E</t>
  </si>
  <si>
    <t>Seizing agglomeration's potential: The greater Springfield Massachusetts metalworking sector in transition, 1986-1996</t>
  </si>
  <si>
    <t>economic regeneration; firm learning; industrial policy; interfirm collaboration; machine action project</t>
  </si>
  <si>
    <t>INDUSTRIAL DISTRICTS; NETWORKS; FIRMS</t>
  </si>
  <si>
    <t>In the 1980s a dramatic wave of lay-offs and plant closings among western Massachusetts' largest metalworking manufacturers led to rapid industrial decline and massive dislocation for several thousand of the region's workers. Today western Massachusetts is home to a thriving and competitive agglomeration of over 350 small metalworking firms. In an industrial sector known for cut-throat competition, cost-driven business strategies and fierce privacy, western Massachusetts firms stand apart for their openness. Hundreds of workers and managers have participated in group training and seminars over the last several years in topics including blue-print reading, computer numerical control machine tool programming and repair, work flow management and ISO 9000 certification. Western Massachusetts represents a successful case of the 'bootstrapping' approach to local economic development in which new institutions, services and forms of collaboration between and among firms and service providers emerge from a continuous process of engagement and adjustment between public and private actors. The geographic proximity of some three hundred small metalworking firms in western Massachusetts created the possibility for innovative behaviour, but that agglomeration's potential was realized through the conscious and continuous interventions of a committed group of public and private actors.</t>
  </si>
  <si>
    <t>Univ Lowell, Ctr Ind Competitiveness, Lowell, MA 01854 USA; MIT, Ctr Int Studies, Cambridge, MA 02742 USA</t>
  </si>
  <si>
    <t>University of Massachusetts System; University of Massachusetts Lowell; Massachusetts Institute of Technology (MIT)</t>
  </si>
  <si>
    <t>Forrant, R (corresponding author), Univ Lowell, Ctr Ind Competitiveness, Lowell, MA 01854 USA.</t>
  </si>
  <si>
    <t>10.1080/00343409850119715</t>
  </si>
  <si>
    <t>ZQ446</t>
  </si>
  <si>
    <t>WOS:000073862700001</t>
  </si>
  <si>
    <t>Cioffi, A; Gorgitano, MT</t>
  </si>
  <si>
    <t>Local innovative capability and innovative adoption in agriculture: Computers on Italian farms</t>
  </si>
  <si>
    <t>EUROPEAN REVIEW OF AGRICULTURAL ECONOMICS</t>
  </si>
  <si>
    <t>innovation adoption; farmers' innovative behaviour; local innovative capability; principal component analysis</t>
  </si>
  <si>
    <t>The paper examines the role of the local environment in determining farmers innovative behaviour. The local environment embodies an innovative capability that helps farms to bridge the knowledge gap associated with innovation adoption. This capability is generated by the formal and informal relationships established by the economic units and institutions within the local environment, which allow the creation and circulation of new knowledge and skills. Local innovative capability is defined through composite variables identified by applying principal component analysis to a set of variables,measuring characteristics of local society, production systems and agriculture. The model Mras tested by analysing computer ownership by Italian farms at provincial level. Empirical analysis confirms the importance of the local innovative capability for farmers' innovative behaviour. The propensity to innovate is further enhanced if farm structures are well endowed.</t>
  </si>
  <si>
    <t>Univ Naples Federico II, I-80138 Naples, Italy</t>
  </si>
  <si>
    <t>Cioffi, A (corresponding author), Univ Naples Federico II, Dipartimento Econ &amp; Polit Agr, Via Univ 96, I-80055 Portici, Italy.</t>
  </si>
  <si>
    <t>GORGITANO, Maria Teresa/0000-0003-4841-3659</t>
  </si>
  <si>
    <t>0165-1587</t>
  </si>
  <si>
    <t>1464-3618</t>
  </si>
  <si>
    <t>EUR REV AGRIC ECON</t>
  </si>
  <si>
    <t>Eur. Rev. Agric. Econ.</t>
  </si>
  <si>
    <t>10.1093/erae/25.2.210</t>
  </si>
  <si>
    <t>Agricultural Economics &amp; Policy; Economics</t>
  </si>
  <si>
    <t>Agriculture; Business &amp; Economics</t>
  </si>
  <si>
    <t>105YV</t>
  </si>
  <si>
    <t>WOS:000075103700004</t>
  </si>
  <si>
    <t>Almahamid, SM; Ayoub, AEA</t>
  </si>
  <si>
    <t>Almahamid, Soud M.; Ayoub, Alaa Eldin A.</t>
  </si>
  <si>
    <t>A predictive structural model of new ways of working on innovative work behaviour: Higher education perspective in the Gulf Cooperation Council</t>
  </si>
  <si>
    <t>GCC countries; higher education institutions; innovative work behaviour; new ways of working; new ways of working satisfaction; work-life balance</t>
  </si>
  <si>
    <t>JOB DEMANDS; LIFE BALANCE; INDIVIDUAL INNOVATION; SATISFACTION; LEADERSHIP; RESOURCES; CLIMATE; PERCEPTIONS; PERFORMANCE; ENGAGEMENT</t>
  </si>
  <si>
    <t>This study examined the relationship between compulsory new ways of working (flexible work design, workplace design at home, advanced information and communication technology [ICT]-based communications and culture of innovation) and faculty members' innovative work behaviour. The mediating role of work-life balance and employees' satisfaction with new ways of working in the relationship between new ways of working and innovative work behaviour was also examined. Building on established measurement scales, a questionnaire-based deductive approach was used to collect data. In total, 457 faculty members were randomly selected from universities in countries in the Gulf Cooperation Council. New ways of work and innovative work behaviour were confirmed as multidimensional concepts. The study participants were clustered in three profiles according to their level of perception of the research variables. New ways of working practices apart from advanced ITC-based communications were significantly positively related to innovative work behaviour, and work-life balance was significantly positively related to satisfaction. Satisfaction with new ways of working and work-life balance is a vital mechanism of innovative work behaviour, and satisfaction mediates work-life balance and innovative work behaviour. Our research theoretically extends understanding of the compulsory new ways of working and innovative work behaviour in higher education institutions. It provides insights into how new ways of working affect innovative behaviour via two mediating mechanisms: work-life balance and satisfaction. This contingent perspective has not yet been explored in prior studies. Educational policy and decision makers can benefit from the results of this study by reorganizing their work activities according to faculty members' need to foster innovative educational solutions.</t>
  </si>
  <si>
    <t>[Almahamid, Soud M.] Arabian Gulf Univ, Coll Grad Studies, Dept Innovat &amp; Technol Management, Manama, Bahrain; [Ayoub, Alaa Eldin A.] Arabian Gulf Univ, Coll Grad Studies, Dept Gifted Educ, Manama, Bahrain; [Ayoub, Alaa Eldin A.] Aswan Univ, Dept Educ Psychol, Aswan, Egypt</t>
  </si>
  <si>
    <t>Arabian Gulf University; Arabian Gulf University; Egyptian Knowledge Bank (EKB); Aswan University</t>
  </si>
  <si>
    <t>Almahamid, SM (corresponding author), Arabian Gulf Univ, Coll Grad Studies, Dept Innovat &amp; Technol Management, Manama, Bahrain.</t>
  </si>
  <si>
    <t>soudmm@agu.edu.bh</t>
  </si>
  <si>
    <t>Almahamid, Soud/0000-0002-2678-4435; Ayoub, Alaa Eldin/0000-0002-3506-4835</t>
  </si>
  <si>
    <t>10.1111/caim.12510</t>
  </si>
  <si>
    <t>3U6OT</t>
  </si>
  <si>
    <t>WOS:000810764800001</t>
  </si>
  <si>
    <t>Liang, XD; Guo, GX; Shu, LL; Gong, QX; Luo, P</t>
  </si>
  <si>
    <t>Liang, Xuedong; Guo, Gengxuan; Shu, Lingli; Gong, Qunxi; Luo, Peng</t>
  </si>
  <si>
    <t>Investigating the double-edged sword effect of AI awareness on employee's service innovative behavior</t>
  </si>
  <si>
    <t>AI awareness; Emotional exhaustion; Intrinsic motivation; Future orientation; Service innovative behavior; JD-R model</t>
  </si>
  <si>
    <t>DEMANDS-RESOURCES MODEL; LEADER-MEMBER EXCHANGE; JOB DEMANDS; ARTIFICIAL-INTELLIGENCE; EMOTIONAL EXHAUSTION; INTRINSIC MOTIVATION; WORK ENGAGEMENT; CREATIVITY; CLIMATE; FUTURE</t>
  </si>
  <si>
    <t>Drawing on the job demand-resource (JD-R) model, the current study constructs a dual-pathway approach which aims to reveal the mixed impact of AI awareness on service innovative behavior. Specifically, this paper argues that AI awareness will both increase employees' emotional exhaustion, inhibiting their service innovative behaviors (strain pathway) and stimulate employees' intrinsic motivation, promoting their service innovative behaviors (motivation pathway). Meanwhile, employees' future orientation will buffer the strain pathway and strengthen the motivation pathway. Multisource data (n = 317) from China support the proposed theoretical framework. Implications for theory and practice are discussed.</t>
  </si>
  <si>
    <t>[Liang, Xuedong; Guo, Gengxuan; Shu, Lingli; Gong, Qunxi; Luo, Peng] Sichuan Univ, Sch Business, Chengdu 610065, Peoples R China; [Liang, Xuedong] Sichuan Blockchain Assoc, Chengdu 610093, Sichuan, Peoples R China</t>
  </si>
  <si>
    <t>Sichuan University</t>
  </si>
  <si>
    <t>Luo, P (corresponding author), Sichuan Univ, Sch Business, Chengdu 610065, Peoples R China.</t>
  </si>
  <si>
    <t>liangxuedong@scu.edu.cn; ggx0056@hotmail.com; linglishai@163.com; gongqunxi@stu.scu.edu.cn; luopeng@scu.edu.cn</t>
  </si>
  <si>
    <t>gong, qunxi/AEH-7503-2022</t>
  </si>
  <si>
    <t>gong, qunxi/0000-0001-9076-0537; LUO, Peng/0000-0003-1126-0329</t>
  </si>
  <si>
    <t>10.1016/j.tourman.2022.104564</t>
  </si>
  <si>
    <t>1U0OW</t>
  </si>
  <si>
    <t>WOS:000805121500001</t>
  </si>
  <si>
    <t>Jin, X; Qing, CL; Jin, SY</t>
  </si>
  <si>
    <t>Jin, Xiu; Qing, Chenglin; Jin, Shanyue</t>
  </si>
  <si>
    <t>Ethical Leadership and Innovative Behavior: Mediating Role of Voice Behavior and Moderated Mediation Role of Psychological Safety</t>
  </si>
  <si>
    <t>ethical leadership; innovative behavior; moderated mediation model; psychological safety; voice behavior</t>
  </si>
  <si>
    <t>EMPLOYEE VOICE; WORK; IMPACT; PERFORMANCE; PERSPECTIVE; CONSTRUCT; DETERMINANTS; PERSONALITY; ENGAGEMENT; CREATIVITY</t>
  </si>
  <si>
    <t>Organizations increasingly emphasize and require their members to engage in innovative behavior because it is directly associated with organizational sustainability and survival. This study aims to address whether ethical leadership enhances subordinates' innovative behavior and investigates the mediating role of voice behavior in promoting innovative behavior. Psychological safety was tested to moderate the mediating effect of voice behavior on the relationship between ethical leadership and innovative behavior. We collected data from 296 full-time employees from small and medium-sized enterprises in China. The results suggest that ethical leadership positively influences innovative behavior through the mediating role of voice behavior. Furthermore, psychological leadership significantly moderates the mediating effect of voice behavior on the relationship between ethical leadership and innovative behavior. This study expands the scope of research on improving innovative behavior and provides a theoretical basis for related research.</t>
  </si>
  <si>
    <t>[Jin, Xiu; Qing, Chenglin] Honam Univ, Dept Business Adm, Gwangju 62399, South Korea; [Jin, Shanyue] Gachon Univ, Coll Business, Seongnam 13120, South Korea</t>
  </si>
  <si>
    <t>Honam University; Gachon University</t>
  </si>
  <si>
    <t>Qing, CL (corresponding author), Honam Univ, Dept Business Adm, Gwangju 62399, South Korea.;Jin, SY (corresponding author), Gachon Univ, Coll Business, Seongnam 13120, South Korea.</t>
  </si>
  <si>
    <t>2020026@honam.ac.kr; 2013129@honam.ac.kr; jsyrena0923@gachon.ac.kr</t>
  </si>
  <si>
    <t>Qing, chenglin/0000-0003-0098-396X</t>
  </si>
  <si>
    <t>10.3390/su14095125</t>
  </si>
  <si>
    <t>1F7EJ</t>
  </si>
  <si>
    <t>WOS:000795327300001</t>
  </si>
  <si>
    <t>Lee, WR; Kang, SW; Choi, SB</t>
  </si>
  <si>
    <t>Lee, Wang-Ro; Kang, Seung-Wan; Choi, Suk Bong</t>
  </si>
  <si>
    <t>Abusive Supervision and Employee's Creative Performance: A Serial Mediation Model of Relational Conflict and Employee Silence</t>
  </si>
  <si>
    <t>abusive supervision; creative performance; relational conflict; employee silence; serial mediation model</t>
  </si>
  <si>
    <t>STRATEGIC DECISION-MAKING; DESTRUCTIVE LEADERSHIP; INNOVATIVE BEHAVIOR; WORK BEHAVIOR; RESOLUTION; RESOURCES; STYLES; ISSUES; VOICE</t>
  </si>
  <si>
    <t>Many previous studies on creativity have focused on discovering positive factors to improve creativity and innovation performance from leader, individual, and organizational perspectives. However, research on factors that hinder creative performance was relatively insufficient. This study examines leaders' behavior that hinders employees' creative performance by focusing on abusive supervision. Based on the Korean employee context, our research model draws upon constructs of abusive supervision, relational conflict, employee silence, and creative performance to hypothesize serial mediation mechanisms connecting abusive supervision to creative performance. Using survey data of 555 Korean employees, we find that abusive supervision is negatively related to creative performance. We also find that both relational conflict and employee silence mediate the relationship between abusive supervision and employee creative performance. More importantly, our empirical analysis indicates that a serial mediation effect testing a dual coordination effect was identified in the process of the leader's abusive supervision leading to employee's creative performance. Although many previous studies were focused on a single medium effect in the relationship between leadership types and employee creativity, this study applied the serial mediation effects in the relationship to test a dual medium effect. We further addressed a more complex process to explain the path of reducing creative performance by supervisor abusive supervision. We conclude by discussing both theoretical and practical implications.</t>
  </si>
  <si>
    <t>[Lee, Wang-Ro; Choi, Suk Bong] Korea Univ, Coll Global Business, 2511 Sejong Ro, Sejong City 30019, South Korea; [Kang, Seung-Wan] Gachon Univ, Coll Business, 1342 Seongnamdaero, Seongnam Si 13120, South Korea</t>
  </si>
  <si>
    <t>Choi, SB (corresponding author), Korea Univ, Coll Global Business, 2511 Sejong Ro, Sejong City 30019, South Korea.;Kang, SW (corresponding author), Gachon Univ, Coll Business, 1342 Seongnamdaero, Seongnam Si 13120, South Korea.</t>
  </si>
  <si>
    <t>yr2015@korea.ac.kr; globa17@gachon.ac.kr; sukchoi@korea.ac.kr</t>
  </si>
  <si>
    <t>Ministry of Education of the Republic of Korea; National Research Foundation of Korea [NRF-2020S1A5A2A01044289]</t>
  </si>
  <si>
    <t>This work was supported by the Ministry of Education of the Republic of Korea and the National Research Foundation of Korea(NRF-2020S1A5A2A01044289).</t>
  </si>
  <si>
    <t>10.3390/bs12050156</t>
  </si>
  <si>
    <t>1S8GE</t>
  </si>
  <si>
    <t>WOS:000804282300001</t>
  </si>
  <si>
    <t>Fu, QH; Cherian, J; Rehman, KU; Samad, S; Khan, MA; Ali, MA; Cismas, LM; Miculescu, A</t>
  </si>
  <si>
    <t>Fu, Qinghua; Cherian, Jacob; Rehman, Khalil-ur; Samad, Sarminah; Khan, Mohammed Arshad; Athar Ali, Mohammad; Cismas, Laura Mariana; Miculescu, Andra</t>
  </si>
  <si>
    <t>Enhancing Employee Creativity in the Banking Sector: A Transformational Leadership Framework</t>
  </si>
  <si>
    <t>transformational leadership; work engagement; employee creativity; perceived organizational support; management; new management style; organizational value creation</t>
  </si>
  <si>
    <t>PERCEIVED ORGANIZATIONAL SUPPORT; PERSON-JOB FIT; WORK ENGAGEMENT; SELF-EFFICACY; MEDIATING ROLE; INNOVATIVE BEHAVIOR; MODERATING ROLE; PROACTIVE PERSONALITY; SHARED LEADERSHIP; LEARNING CLIMATE</t>
  </si>
  <si>
    <t>Despite the growing academic interest in transformational leadership and employee creativity, the banking sector has not yet received enough consideration. Mostly, the banking sector was assumed to be an inappropriate setting for employee creativity as it is a tightly supervised and controlled segment of an economy. Nevertheless, some research studies in advanced nations emphasized the significance of employee creativity in a banking context. However, the case of developing countries (e.g., Pakistan) has remained an understudied area. Against this background, the objective of this study was to examine the relationships between transformational leadership (TL), perceived organizational support (POS), and employee creativity (EC) through work engagement (WE). Some private banks were selected, situated in a large metropolitan city, with data collected for the present research by a self-administered questionnaire. The structural equation modeling (SEM) technique was employed to analyze data. It was observed that TL and POS induce EC, whereas WE mediated these relationships. These findings may help policymakers of the banking industry to improve employee creativity through WE.</t>
  </si>
  <si>
    <t>[Fu, Qinghua] Moutai Inst, Dept Business Adm, Zunyi 563000, Guizhou, Peoples R China; [Cherian, Jacob] Abu Dhabi Univ, Coll Business, POB 59911, Abu Dhabi 59911, U Arab Emirates; [Rehman, Khalil-ur] Lahore Leads Univ, Fac Business Adm, Lahore 54000, Pakistan; [Samad, Sarminah] Princess Nourah Bint Abdulrahman Univ, Dept Business Adm, Coll Business &amp; Adm, Riyadh 11671, Saudi Arabia; [Khan, Mohammed Arshad] Saudi Elect Univ, Dept Accounting, Coll Adm &amp; Financial Sci, Riyadh 11673, Saudi Arabia; [Athar Ali, Mohammad] Saudi Elect Univ, Dept Finance, Coll Adm &amp; Financial Sci, Riyadh 11673, Saudi Arabia; [Cismas, Laura Mariana; Miculescu, Andra] West Univ Timisoara, Fac Econ &amp; Business Adm, Timisoara 300006, Romania</t>
  </si>
  <si>
    <t>Abu Dhabi University; Princess Nourah bint Abdulrahman University; Saudi Electronic University; Saudi Electronic University; West University of Timisoara</t>
  </si>
  <si>
    <t>Cismas, LM (corresponding author), West Univ Timisoara, Fac Econ &amp; Business Adm, Timisoara 300006, Romania.</t>
  </si>
  <si>
    <t>2016101050084@whu.edu.cn; jacob.cherian@adu.ac.ae; khalil@leads.edu.pk; sarminasamad@gmail.com; m.akhan@seu.edu.sa; m.athar@seu.edu.sa; laura.cismas@e-uvt.ro; andra.miculescu@e-uvt.ro</t>
  </si>
  <si>
    <t>Samad, Sarminah/AAX-7406-2021; Cismas, Laura/V-4145-2018</t>
  </si>
  <si>
    <t>Cismas, Laura/0000-0003-4743-4618; Awan, Khalil/0000-0002-3754-1666; Arshad Khan, Dr. Mohammed/0000-0002-8375-8110; Cherian, Jacob/0000-0002-8530-6951</t>
  </si>
  <si>
    <t>10.3390/su14084643</t>
  </si>
  <si>
    <t>0U1QC</t>
  </si>
  <si>
    <t>WOS:000787430700001</t>
  </si>
  <si>
    <t>Li, J; Yu, IY; Yang, MX; Chen, SL</t>
  </si>
  <si>
    <t>Li, Ji; Yu, Irina Y.; Yang, Morgan X.; Chen, Silu</t>
  </si>
  <si>
    <t>How needs for belongingness and justice influence social identity and performances: Evidence from the hospitality industry</t>
  </si>
  <si>
    <t>Perceived needs for belongingness and justice; Social identity; Insider status; Innovation; Facilitation</t>
  </si>
  <si>
    <t>GROUP ENGAGEMENT MODEL; RATIONAL SELF-INTEREST; ORGANIZATIONAL IDENTIFICATION; INNOVATIVE BEHAVIOR; PROCEDURAL JUSTICE; WORK; MOTIVATION; MANAGEMENT; MEDIATION; PSYCHOLOGY</t>
  </si>
  <si>
    <t>This study aims at exploring the relationship between employees' needs for belongingness and social identity on the one hand, and their performances related to group facilitation, and innovation on the other. Drawn on the theory of social identity, this study purposes a moderation-mediation model showing the relationship. Applying methods of hierarchical modelling (HLM) and structural equation modelling (SEM), we obtain interesting results highlighting the motivational implications of social identity on work-related performance/behaviours as well as several boundary conditions. The results also underscore the salience of employees' perceived needs for belongingness and justice as preconditions for the development of their social identity in the hospitality industry.</t>
  </si>
  <si>
    <t>[Li, Ji] Shanghai Univ, SHU UTS SILC Business Sch, Shanghai, Peoples R China; [Li, Ji] Shandong Univ, Sch Management, Jinan, Peoples R China; [Yu, Irina Y.] Caritas Inst Higher Educ, Rita Tong Liu Sch Business &amp; Hospitality Manageme, Hong Kong, Peoples R China; [Yang, Morgan X.] Hang Seng Univ Hong Kong, Dept Mkt, Hong Kong, Peoples R China; [Chen, Silu] Cent China Normal Univ, Sch Econ &amp; Business Adm, Wuhan, Peoples R China</t>
  </si>
  <si>
    <t>Shanghai University; Shandong University; Hang Seng University of Hong Kong; Central China Normal University</t>
  </si>
  <si>
    <t>Chen, SL (corresponding author), Cent China Normal Univ, Sch Econ &amp; Business Adm, Wuhan, Peoples R China.</t>
  </si>
  <si>
    <t>Lijihkbu163@gmail.com; irinayu@link.cuhk.edu.hk; morganyang@hsu.edu.hk; chensilu@mail.ccnu.edu.cn</t>
  </si>
  <si>
    <t>Chen, Silu/0000-0003-3487-7671</t>
  </si>
  <si>
    <t>National Natural Science Foundation of China [71902068]</t>
  </si>
  <si>
    <t>This research was financially supported by National Natural Science Foundation of China (71902068).</t>
  </si>
  <si>
    <t>10.1016/j.jhtm.2022.02.015</t>
  </si>
  <si>
    <t>2P6LY</t>
  </si>
  <si>
    <t>WOS:000819851200015</t>
  </si>
  <si>
    <t>Caniels, MCJ; Hatak, I; Kuijpers, KJC; de Weerd-Nederhof, PC</t>
  </si>
  <si>
    <t>Caniels, Marjolein C. J.; Hatak, Isabella; Kuijpers, Koen J. C.; de Weerd-Nederhof, Petra C.</t>
  </si>
  <si>
    <t>Trait resilience instigates innovative behaviour at work? A cross-lagged study</t>
  </si>
  <si>
    <t>cross-lags; emotions; innovative work behaviour; resilience</t>
  </si>
  <si>
    <t>POSITIVE EMOTIONS; JOB DEMANDS; EMPLOYEE RESILIENCE; PERSONALITY-TRAITS; TEAM RESILIENCE; SELF-REGULATION; NEGATIVE AFFECT; HEDONIC TONE; MODEL; MOOD</t>
  </si>
  <si>
    <t>Being able to deal with change and setbacks at work is a major reason why many people generate, promote and implement new ideas at work, supporting organizations in their strive for success including innovation outcomes. Yet, surprisingly little research has examined the underlying mechanisms through which trait resilience influences innovative behaviour at work. Drawing upon control theory in conjunction with the affect-as-information perspective, we theorize why resilience as a core personality trait affects innovative behaviour at work. Performing cross-lagged analyses on two-wave data, our analyses demonstrate that resilience positively relates to employees' innovative work behaviour due to increased levels of positive emotions. We conclude that being able to deal with change and setbacks at work generates a powerful pool of emotions that can boost innovative behaviour at work, offering meaningful implications for research on innovation and the dynamics of personality and emotions at work.</t>
  </si>
  <si>
    <t>[Caniels, Marjolein C. J.] Open Univ Netherlands, Fac Management, POB 2960, NL-6401 DL Heerlen, Netherlands; [Hatak, Isabella] Univ St Gallen, Swiss Inst Small Business &amp; Entrepreneurship KMU, St Gallen, Switzerland; [Kuijpers, Koen J. C.] Open Univ Netherlands, Fac Sci, Heerlen, Netherlands; [Kuijpers, Koen J. C.] Univ Twente, Fac Behav Management &amp; Social Sci, Enschede, Netherlands; [de Weerd-Nederhof, Petra C.] Sax Univ Appl Sci, Res Grp Digital Intelligence &amp; Business, Enschede, Netherlands</t>
  </si>
  <si>
    <t>Open University Netherlands; University of St Gallen; Open University Netherlands; University of Twente; Saxion University of Applied Sciences</t>
  </si>
  <si>
    <t>Caniels, MCJ (corresponding author), Open Univ Netherlands, Fac Management, POB 2960, NL-6401 DL Heerlen, Netherlands.</t>
  </si>
  <si>
    <t>marjolein.caniels@ou.nl</t>
  </si>
  <si>
    <t>Kuijpers, Johannes Cornelis/0000-0001-5374-946X; Caniels, Marjolein/0000-0002-4206-4083; de Weerd-Nederhof, Petra/0000-0002-7954-4048</t>
  </si>
  <si>
    <t>10.1111/caim.12486</t>
  </si>
  <si>
    <t>1S4KR</t>
  </si>
  <si>
    <t>Green Accepted, hybrid, Green Published</t>
  </si>
  <si>
    <t>WOS:000755673000001</t>
  </si>
  <si>
    <t>Wang, ZC; Qiu, XY; Jin, YX; Zhang, X</t>
  </si>
  <si>
    <t>Wang, Zhicheng; Qiu, Xingyu; Jin, Yixing; Zhang, Xinyan</t>
  </si>
  <si>
    <t>How Work-Family Conflict and Work-Family Facilitation Affect Employee Innovation: A Moderated Mediation Model of Emotions and Work Flexibility</t>
  </si>
  <si>
    <t>employee innovation; work-family conflict; work-family facilitation; negative emotions; positive emotions; work flexibility</t>
  </si>
  <si>
    <t>POSITIVE AFFECT; ROLE PERFORMANCE; JOB INVOLVEMENT; CREATIVITY; HOME; BEHAVIOR; SUPPORT; LEISURE; ROLES; CONSERVATION</t>
  </si>
  <si>
    <t>This paper aims to verify the effects of work-family conflict and work-family facilitation on employee innovation in the digital era. Based on resource conservation theory, this study regards the work-family relationship as a conditional resource. Employees who are in a state of lack of resources caused by work-family conflict will maintain existing resources by avoiding the consumption of further resources to perform innovation activities; employees who are in a state of sufficient resources are more willing to invest existing resources to obtain more resources. In this study, 405 employees from enterprises in the Chinese provinces of Jiangsu, Anhui, Sichuan, and Guangdong, and in the municipality of Tianjin were selected as the research object. These enterprises are knowledge-based companies, and their employees frequently transfer knowledge at work. We collected questionnaires from the frontline employees of these companies. The results show that negative and positive emotions mediate the effect of work-family conflict and work-family facilitation on employee innovation. Moreover, work flexibility has a significant moderating effect on the mediating role of emotions between work-family facilitation and employee innovation behavior. In the digital era, when facing different work-family situations, employees need to pay attention to and dredge their negative emotions to avoid reducing their innovative behaviors due to self-abandonment; in parallel, they need to guide their positive emotions toward innovation, so as to promote their innovative consciousness and behavior. This paper expands the research perspective of employee innovation behavior.</t>
  </si>
  <si>
    <t>[Wang, Zhicheng] Nanjing Univ, Sch Business, Nanjing, Peoples R China; [Wang, Zhicheng] Jiangxi Univ Finance &amp; Econ, Sch Business, Nanchang, Jiangxi, Peoples R China; [Qiu, Xingyu] Jinan Univ, Sch Business, Guangzhou, Peoples R China; [Jin, Yixing] Huangshan Univ, Sch Tourism, Huangshan, Peoples R China; [Zhang, Xinyan] Chungnam Natl Univ, Sch Business, Daejeon, South Korea</t>
  </si>
  <si>
    <t>Nanjing University; Jiangxi University of Finance &amp; Economics; Jinan University; Huangshan University; Chungnam National University</t>
  </si>
  <si>
    <t>Qiu, XY (corresponding author), Jinan Univ, Sch Business, Guangzhou, Peoples R China.</t>
  </si>
  <si>
    <t>qiuxingyu2020@163.com</t>
  </si>
  <si>
    <t>National Natural Science Foundation of China [71862013, 71832007, 72162023, 71762016, 71862019]; China Postdoctoral Science Foundation [2018M642216]</t>
  </si>
  <si>
    <t>National Natural Science Foundation of China(National Natural Science Foundation of China (NSFC)); China Postdoctoral Science Foundation(China Postdoctoral Science Foundation)</t>
  </si>
  <si>
    <t>Funding This research was funded by National Natural Science Foundation of China (Nos. 71862013, 71832007, 72162023, 71762016 and 71862019), and China Postdoctoral Science Foundation (No. 2018M642216).</t>
  </si>
  <si>
    <t>JAN 11</t>
  </si>
  <si>
    <t>10.3389/fpsyg.2021.796201</t>
  </si>
  <si>
    <t>YO6BU</t>
  </si>
  <si>
    <t>WOS:000748025300001</t>
  </si>
  <si>
    <t>Batisteli, AF; Pizo, MA; Sarmento, H</t>
  </si>
  <si>
    <t>Batisteli, Augusto F.; Pizo, Marco A.; Sarmento, Hugo</t>
  </si>
  <si>
    <t>Female neophobia predicts the use of buildings as nesting sites in a Neotropical songbird</t>
  </si>
  <si>
    <t>anthropogenic resource; innovative behaviour; neophobia; nest placement; thrush; urban bird</t>
  </si>
  <si>
    <t>THRUSH TURDUS-LEUCOMELAS; RISK-TAKING BEHAVIOR; PERSONALITY-TRAITS; SOCIAL RANK; URBANIZATION; BIRDS; ENVIRONMENT; BOLDNESS; SUCCESS; WINNER</t>
  </si>
  <si>
    <t>Neophobia (i.e. the degree of avoidance to novel situations) is a personality trait that may predict the ability to exploit new resources, which potentially affects the success of settlement of urban animal populations. Despite the increasing amount of information on birds using artificial structures as nesting supports, the hypothesis that the propensity to nest on buildings is related to parental personality has never been tested. In a field experiment, we addressed the relationship between female neophobia and the use of buildings as nesting sites in an urban population of the pale-breasted thrush, Turdus leucomelas, in southeast Brazil. We placed novel objects near active nests placed on buildings (N = 16) and trees (N = 12) and measured the latency of incubating females to resume incubation. Using linear mixed effects models, we estimated the individual repeatability of this behavioural response and tested whether latency times differed between neophobia and control tests within nesting substrate types. We found significant repeatability for the latency to resume incubation during neophobia tests (r = 0.353), indicating that this behaviour was consistent at the individual level as expected for personality-mediated responses. Latency was higher in neophobia than in control tests, but only among females that nested on trees. Previous studies suggest that less neophobic individuals tend to express more exploratory and innovative behaviours, which may have enhanced the use of buildings as nesting sites by fearless females. We conclude that less neophobic females are more prone to nest on buildings in the pale-breasted thrush. Our study is the first to link bird neophobia and the use of buildings as nesting substrates, evidencing that the exploitation of artificial resources may be associated with the predominance of certain animal personalities in anthropic environments.(c) 2021 The Association for the Study of Animal Behaviour. Published by Elsevier Ltd. All rights reserved.</t>
  </si>
  <si>
    <t>[Batisteli, Augusto F.] Univ Fed Sao Carlos, Programa Posgrad Ecol &amp; Recursos Nat, Sao Carlos, SP, Brazil; [Pizo, Marco A.] Univ Estadual Paulista, Inst Biociencias, Rio Claro, SP, Brazil; [Sarmento, Hugo] Univ Fed Sao Carlos, Dept Hidrobiol, Sao Carlos, SP, Brazil</t>
  </si>
  <si>
    <t>Universidade Federal de Sao Carlos; Universidade Estadual Paulista; Universidade Federal de Sao Carlos</t>
  </si>
  <si>
    <t>Batisteli, AF (corresponding author), Univ Fed Sao Carlos, Programa Posgrad Ecol &amp; Recursos Nat, Sao Carlos, SP, Brazil.</t>
  </si>
  <si>
    <t>augustofb@gmail.com</t>
  </si>
  <si>
    <t>Sarmento, Hugo/W-3805-2019</t>
  </si>
  <si>
    <t>Sarmento, Hugo/0000-0001-5220-7992; Florisvaldo Batisteli, Augusto/0000-0003-4866-487X</t>
  </si>
  <si>
    <t>Coordenacao de Aperfeicoamento de Pessoal de Nivel Superior-Brasil (CAPES) [001]; Brazilian Research Council (CNPq) [304742/2019-8]; CNPq [309514/2017-7]</t>
  </si>
  <si>
    <t>Coordenacao de Aperfeicoamento de Pessoal de Nivel Superior-Brasil (CAPES)(Coordenacao de Aperfeicoamento de Pessoal de Nivel Superior (CAPES)); Brazilian Research Council (CNPq)(Conselho Nacional de Desenvolvimento Cientifico e Tecnologico (CNPQ)); CNPq(Conselho Nacional de Desenvolvimento Cientifico e Tecnologico (CNPQ))</t>
  </si>
  <si>
    <t>We are grateful to the Brazilian banding agency (CEMAVE-ICMBIO) , Talita Soares, Rosane Costa, Lorrayni Barbosa and Isadora Santieff for field assistance, Mercival Francisco, Cesar Cestari, Augusto Piratelli and Matheus Reis for their contributions to a first draft and two referees for their valuable comments. This study was financed in part by the Coordenacao de Aperfeicoamento de Pessoal de Nivel Superior-Brasil (CAPES) -Finance Code 001. M.A.P. received a research grant from the Brazilian Research Council (CNPq; process 304742/2019-8) . H.S. had a CNPq productivity grant (process 309514/2017-7) .</t>
  </si>
  <si>
    <t>10.1016/j.anbehav.2021.11.008</t>
  </si>
  <si>
    <t>1K6TR</t>
  </si>
  <si>
    <t>WOS:000798731100005</t>
  </si>
  <si>
    <t>Wojcik-Karpacz, A; Kraus, S; Karpacz, J</t>
  </si>
  <si>
    <t>Wojcik-Karpacz, Anna; Kraus, Sascha; Karpacz, Jaroslaw</t>
  </si>
  <si>
    <t>Examining the relationship between team-level entrepreneurial orientation and team performance</t>
  </si>
  <si>
    <t>INTERNATIONAL JOURNAL OF ENTREPRENEURIAL BEHAVIOR &amp; RESEARCH</t>
  </si>
  <si>
    <t>Entrepreneurial orientation; Trust; Commitment; Performance; Team; L26; M10; M12; M50</t>
  </si>
  <si>
    <t>ORGANIZATIONAL CITIZENSHIP BEHAVIOR; INNOVATIVE BEHAVIOR; SOCIAL-EXCHANGE; TRUST; COMMITMENT; LEADERSHIP; MODEL; ENGAGEMENT; MANAGEMENT; WORKPLACE</t>
  </si>
  <si>
    <t>Purpose This article investigates (in)direct relationships between team-level entrepreneurial orientation and team performance, where team entrepreneurial orientation (EO) is measured as a team-level construct, not as concentration of team members' scores. In this article, the authors present and explore how EO-oriented behaviour within a team affect its performance, taking into account the team's trust in a manager and commitment to team and company goals. Design/methodology/approach This article focuses on a quantitative analysis of 55 teams operating within a large high-tech manufacturing enterprise, gathered through a traditional survey. The conceptual framework for this research was based on the theories of organisational citizenship, extra-role behaviour and social exchange. The authors explain how contextual factors establish a framework which enables team EO transformation towards higher performance of teams. Findings The results show that (team) performance benefits from EO-related behaviours. However, individual dimensions of EO are not universally beneficial and need to be combined with a mutual trust and/or commitment to team enterprise's goals to achieve high performance. Originality/value The findings provide important insight into which team factors may be targeted at the intervention or support of team members, including managers and immediate superiors who lack an active personality and are not willing to take risks at workplace. The authors adopted EO instruments, mutual trust and commitment from an individual scale to a team one, and also offer new opportunities to analyse such phenomena from a new level and evaluate them from the perspective of team managers.</t>
  </si>
  <si>
    <t>[Wojcik-Karpacz, Anna; Karpacz, Jaroslaw] Jan Kochanowski Univ Humanities &amp; Sci, Fac Law &amp; Social Sci, Kielce, Poland; [Kraus, Sascha] Free Univ Bozen Bolzano, Fac Econ &amp; Management, Bolzano, Italy</t>
  </si>
  <si>
    <t>Jan Kochanowski University; Free University of Bozen-Bolzano</t>
  </si>
  <si>
    <t>Kraus, S (corresponding author), Free Univ Bozen Bolzano, Fac Econ &amp; Management, Bolzano, Italy.</t>
  </si>
  <si>
    <t>Kraus, Sascha/0000-0003-4886-7482; Karpacz, Jaroslaw/0000-0001-7315-2855; Wojcik-Karpacz, Anna/0000-0002-6303-6778</t>
  </si>
  <si>
    <t>1355-2554</t>
  </si>
  <si>
    <t>1758-6534</t>
  </si>
  <si>
    <t>INT J ENTREP BEHAV R</t>
  </si>
  <si>
    <t>Int. J. Entrep. Behav. Res.</t>
  </si>
  <si>
    <t>10.1108/IJEBR-05-2021-0388</t>
  </si>
  <si>
    <t>YB6SU</t>
  </si>
  <si>
    <t>WOS:000739140400001</t>
  </si>
  <si>
    <t>Liao, PY; Collins, BJ; Chen, SY; Juang, BS</t>
  </si>
  <si>
    <t>Liao, Pen-Yuan; Collins, Brian J.; Chen, Shu-Yuan; Juang, Bo-Sheng</t>
  </si>
  <si>
    <t>Does organization-based self-esteem mediate the relationships between on-the-job embeddedness and job behaviors?</t>
  </si>
  <si>
    <t>Cognitive consistency theory; Job embeddedness; Organization-based self-esteem; Innovative behavior; Organizational citizenship behavior; Job performance</t>
  </si>
  <si>
    <t>INNOVATIVE BEHAVIOR; MODERATING ROLE; PSYCHOLOGICAL CONTRACT; CITIZENSHIP BEHAVIOR; WORKPLACE OSTRACISM; EMPLOYEE ATTITUDES; VOLUNTARY TURNOVER; PERFORMANCE; WORK; MODEL</t>
  </si>
  <si>
    <t>Based on cognitive consistency theory, this study developed a motivation mechanism linking on-the-job embeddedness to employees' job behaviors. This mechanism was tested using a sample of 170 subordinate-supervisor dyads. HLM analysis results revealed that organization-based self-esteem fully mediated the influence of on-the-job embeddedness on job performance and organizational citizenship behavior-altruism and partially mediated on-the-job embeddedness's influence on innovative behavior. However, organization-based self-esteem did not mediate the relationship between on-the-job embeddedness and organizational citizenship behavior-voice. Implications are discussed.</t>
  </si>
  <si>
    <t>[Liao, Pen-Yuan; Chen, Shu-Yuan] Natl United Univ, Coll Management, Dept Business Management, 1 LienDa, Miaoli 360301, Taiwan; [Collins, Brian J.] Univ Southern Mississippi, Dept Management, Hattiesburg, MS 39406 USA; [Juang, Bo-Sheng] Taishin Int Bank, 5F,19-2 Sanchong Rd, Taipei 115601, Taiwan</t>
  </si>
  <si>
    <t>National United University; University of Southern Mississippi</t>
  </si>
  <si>
    <t>Liao, PY (corresponding author), Natl United Univ, Coll Management, Dept Business Management, 1 LienDa, Miaoli 360301, Taiwan.</t>
  </si>
  <si>
    <t>liao@nuu.edu.tw</t>
  </si>
  <si>
    <t>liao, pen-yuan/0000-0001-6476-6521</t>
  </si>
  <si>
    <t>10.1007/s12144-021-02284-4</t>
  </si>
  <si>
    <t>UP8ON</t>
  </si>
  <si>
    <t>WOS:000695633300003</t>
  </si>
  <si>
    <t>Villani, E; Linder, C; Lechner, C; Muller, L</t>
  </si>
  <si>
    <t>Villani, Elisa; Linder, Christian; Lechner, Christian; Muller, Lina</t>
  </si>
  <si>
    <t>How do non-innovative firms start innovation and build legitimacy? The case of professional service firms</t>
  </si>
  <si>
    <t>Professional service firms; Service innovation; Process innovation; Legitimacy; Law firms; Qualitative comparative analysis</t>
  </si>
  <si>
    <t>QUALITATIVE COMPARATIVE-ANALYSIS; COMPARATIVE-ANALYSIS QCA; RESEARCH PRIORITIES; KNOWLEDGE TRANSFER; MODEL; EXPERIENCE; PRODUCT; SUCCESS; ORGANIZATIONS; HETEROGENEITY</t>
  </si>
  <si>
    <t>As clients' needs change, firms need to adapt and innovate, but how do firms innovate if they have not done it before? We study law firms as novice innovators. Law firms are generally conservative and averse to explorationbased innovation. We show that law firms face two challenges in starting innovation: developing innovation capacity and gaining legitimacy for innovative behavior. Employing a qualitative comparative analysis approach, we used 50 in-depth interviews with innovating multinational law firms headquartered in the United Kingdom to present six configurations of factors leading to service innovation in law firms. Clients and competitors play a key role both as innovation stimuli and legitimizing actors. We demonstrate that knowledge-based networks are important for service innovation, but legitimizing strategies are important for novice innovators to ensure innovation is recognized, approved, and diffused.</t>
  </si>
  <si>
    <t>[Villani, Elisa] Univ Bologna, Dept Management, Via Capo Lucca 34, I-40126 Bologna, Italy; [Villani, Elisa] Imperial Coll Business Sch, Dept Innovat &amp; Entrepreneurship, South Kensington Campus, London SW7 2AZ, England; [Linder, Christian] Univ Cote Azur, SKEMA Business Sch, 5 Quai Marcel Dassault, F-92156 Suresnes, France; [Lechner, Christian] LUISS Business Sch, Dept Business &amp; Management, Viale Romania 32, I-00197 Rome, Italy; [Muller, Lina] Muller &amp; Partners, S Moniuskos St G 27, LT-08115 Vilnius, Lithuania; [Muller, Lina] Muller &amp; Partners, Law, S Moniuskos St G 27, LT-08115 Vilnius, Lithuania</t>
  </si>
  <si>
    <t>University of Bologna; RLUK- Research Libraries UK; Imperial College London; SKEMA Business School; UDICE-French Research Universities; Universite Cote d'Azur; Luiss Guido Carli University</t>
  </si>
  <si>
    <t>Villani, E (corresponding author), Univ Bologna, Dept Management, Via Capo Lucca 34, I-40126 Bologna, Italy.</t>
  </si>
  <si>
    <t>e.villani@unibo.it; christian.linder@skema.edu; clechner@luiss.it; lina@legalm.eu</t>
  </si>
  <si>
    <t>VILLANI, Elisa/0000-0002-4664-7542</t>
  </si>
  <si>
    <t>10.1016/j.jbusres.2021.08.062</t>
  </si>
  <si>
    <t>WOS:000702884800022</t>
  </si>
  <si>
    <t>Tan, L; Ma, Z; Huang, J; Guo, GX</t>
  </si>
  <si>
    <t>Tan, Liang; Ma, Zhuang; Huang, Jun; Guo, Gengxuan</t>
  </si>
  <si>
    <t>Peer abusive supervision and third-party employee creativity from a social exchange theory perspective</t>
  </si>
  <si>
    <t>peer abusive supervision; employee creativity; supervisory organizational embodiment; organizational support; third-party perceptions; spillover effect</t>
  </si>
  <si>
    <t>LEADER-MEMBER EXCHANGE; INNOVATIVE BEHAVIOR; MODEL; JUSTICE</t>
  </si>
  <si>
    <t>We used social exchange theory to construct a theoretical framework of peer abusive supervision, third-party perception of organizational support, third-party employee creativity, and third-party perception of supervisory organizational embodiment. Wethen empirically tested the theoreticalmodel with 367 supervisor-employee paired dyads from five large real estate companies in China. The results show that peer abusive supervision had a negative impact on third-party employee creativity, and third-party perception of organizational support played a mediating role in this relationship. Further, third-party perception of supervisory organizational embodiment positively moderated the impact of peer abusive supervision on third-party perception of organizational support. Our results, which show the spillover effect and boundary conditions of abusive supervision on third-party employee creativity, are significant for the enhancement of employee creativity in corporate management practice.</t>
  </si>
  <si>
    <t>[Tan, Liang] Sichuan Int Studies Univ, Sch Int Business, Chongqing, Peoples R China; [Tan, Liang] Chongqing Technol &amp; Business Univ, Int Business Sch, Chongqing, Peoples R China; [Ma, Zhuang] Univ Liverpool, Management Sch, Liverpool, Merseyside, England; [Huang, Jun] Southwest Univ, Sch Econ &amp; Management, Chongqing, Peoples R China; [Guo, Gengxuan] Sichuan Univ, Sch Business, 24 South Sect 1,Yihuan Rd, Chengdu, Peoples R China</t>
  </si>
  <si>
    <t>Sichuan International Studies University; Chongqing Technology &amp; Business University; N8 Research Partnership; RLUK- Research Libraries UK; University of Liverpool; Southwest University - China; Sichuan University</t>
  </si>
  <si>
    <t>Guo, GX (corresponding author), Sichuan Univ, Sch Business, 24 South Sect 1,Yihuan Rd, Chengdu, Peoples R China.</t>
  </si>
  <si>
    <t>ggxoo56@hotmail.com</t>
  </si>
  <si>
    <t>Ma, Zhuang/ABX-8790-2022</t>
  </si>
  <si>
    <t>Ma, Zhuang/0000-0002-9859-8930</t>
  </si>
  <si>
    <t>e9641</t>
  </si>
  <si>
    <t>10.2224/sbp.9641</t>
  </si>
  <si>
    <t>SA7JZ</t>
  </si>
  <si>
    <t>WOS:000649478600001</t>
  </si>
  <si>
    <t>Schepers, J; Voordeckers, W; Steijvers, T; Laveren, E</t>
  </si>
  <si>
    <t>Schepers, Jelle; Voordeckers, Wim; Steijvers, Tensie; Laveren, Eddy</t>
  </si>
  <si>
    <t>Entrepreneurial intention-action gap in family firms: bifurcation bias and the board of directors as an economizing mechanism</t>
  </si>
  <si>
    <t>Entrepreneurship; Family firms; Intention-action gap; Bifurcation bias; Board of directors</t>
  </si>
  <si>
    <t>COMMON METHOD VARIANCE; SOCIOEMOTIONAL WEALTH; CORPORATE ENTREPRENEURSHIP; BUSINESS PERFORMANCE; INNOVATIVE BEHAVIOR; PAST RESEARCH; GROWTH; ORIENTATION; FUTURE; MODELS</t>
  </si>
  <si>
    <t>This study investigates under which conditions entrepreneurial intentions will transform into entrepreneurial actions in a family firm context. Although entrepreneurial intentions are often a good predictor for entrepreneurial activity, intentions will not always lead to the expected action. We aim to explain this intention-behavior gap in family firms by investigating the moderating role of bifurcation bias, defined as the de facto asymmetric treatment of family vs. nonfamily assets. Our results support the argument that bifurcation bias in family firms hinders the smooth transition of entrepreneurial intentions into entrepreneurial actions. Nevertheless, results also support the notion that the appointment of outside directors in the board could serve as an economizing mechanism for bifurcation biased family firms to transform entrepreneurial intentions into entrepreneurial actions.</t>
  </si>
  <si>
    <t>[Schepers, Jelle; Voordeckers, Wim; Steijvers, Tensie] Hasselt Univ, Res Ctr Entrepreneurship &amp; Family Firms RCEF, Agoralaan,Bldg D, B-3590 Diepenbeek, Belgium; [Laveren, Eddy] Univ Antwerp, Prinsstr 13, B-2000 Antwerp, Belgium</t>
  </si>
  <si>
    <t>Hasselt University; University of Antwerp</t>
  </si>
  <si>
    <t>Schepers, J (corresponding author), Hasselt Univ, Res Ctr Entrepreneurship &amp; Family Firms RCEF, Agoralaan,Bldg D, B-3590 Diepenbeek, Belgium.</t>
  </si>
  <si>
    <t>jelle.schepers@uhasselt.be</t>
  </si>
  <si>
    <t>Steijvers, Tensie/E-6253-2017; Laveren, Eddy/HGE-7884-2022; Voordeckers, Wim/C-2239-2018</t>
  </si>
  <si>
    <t>Steijvers, Tensie/0000-0001-6947-4421; Voordeckers, Wim/0000-0001-7041-3933; Schepers, Jelle/0000-0003-1566-8786; Laveren, Eddy/0000-0002-6481-7082</t>
  </si>
  <si>
    <t>10.1007/s40821-021-00183-z</t>
  </si>
  <si>
    <t>TS6AI</t>
  </si>
  <si>
    <t>WOS:000645877000001</t>
  </si>
  <si>
    <t>Montani, F; Courcy, F; Battistelli, A; de Witte, H</t>
  </si>
  <si>
    <t>Montani, Francesco; Courcy, Francois; Battistelli, Adalgisa; de Witte, Hans</t>
  </si>
  <si>
    <t>Job insecurity and innovative work behaviour: A moderated mediation model of intrinsic motivation and trait mindfulness</t>
  </si>
  <si>
    <t>STRESS AND HEALTH</t>
  </si>
  <si>
    <t>job insecurity; innovative work behaviour; intrinsic motivation; trait mindfulness</t>
  </si>
  <si>
    <t>SELF-DETERMINATION THEORY; EMPLOYEE CREATIVITY; PSYCHOLOGICAL NEEDS; PERCEPTIONS; PERSPECTIVE; STRESSORS; INCREASES; EXTENSION; EFFICACY; EMOTION</t>
  </si>
  <si>
    <t>Research has disregarded the processes and boundary conditions associated with the effects of job insecurity on innovative work behaviour. Combining the job demands-resources and the self-determination perspectives, the present study develops and tests a first-stage moderated mediation model that identifies intrinsic motivation as a key mechanism accounting for a negative effect of job insecurity on innovative behaviour and trait mindfulness as a buffer against the detrimental impact of job insecurity on intrinsic motivation and, indirectly, innovative work behaviour. Two time-lagged studies-a two-wave study of 138 employees from Canadian firms and a three-wave study of 157 employees from US firms-were conducted to test the hypothesized model. Supporting our predictions, intrinsic motivation mediated a negative relationship between job insecurity and innovative work behaviour. Moreover, high levels of trait mindfulness were observed to attenuate the negative relationship of job insecurity with intrinsic motivation and, indirectly, innovative behaviour. These findings contribute to the literature by disclosing the processes linking job insecurity with impaired work outcomes and help to elucidate how and when employee can keep their innovative potential alive in spite of insecure work conditions.</t>
  </si>
  <si>
    <t>[Montani, Francesco] Univ Bologna, Dept Management, Rimini Campus, Rimini, Italy; [Courcy, Francois] Univ Sherbrooke, Dept Psychol, Sherbrooke, PQ, Canada; [Battistelli, Adalgisa] Univ Bordeaux, Lab Psychol, Bordeaux, France; [de Witte, Hans] Katholieke Univ Leuven, Fac Psychol &amp; Educ Sci, Leuven, Belgium</t>
  </si>
  <si>
    <t>University of Bologna; University of Sherbrooke; UDICE-French Research Universities; Universite de Bordeaux; KU Leuven</t>
  </si>
  <si>
    <t>Montani, F (corresponding author), Int Univ Monaco, 14 Rue Hubert Clerissi, MC-98000 Monaco, Monaco.</t>
  </si>
  <si>
    <t>fmontani@inseec.com</t>
  </si>
  <si>
    <t>De Witte, Hans/0000-0002-6691-517X</t>
  </si>
  <si>
    <t>Social Sciences and Humanities Research Council of Canada, Grant/Award Number: 430-2015-00476</t>
  </si>
  <si>
    <t>1532-3005</t>
  </si>
  <si>
    <t>1532-2998</t>
  </si>
  <si>
    <t>STRESS HEALTH</t>
  </si>
  <si>
    <t>Stress Health</t>
  </si>
  <si>
    <t>10.1002/smi.3034</t>
  </si>
  <si>
    <t>Psychology, Applied; Psychiatry; Psychology</t>
  </si>
  <si>
    <t>UZ8YI</t>
  </si>
  <si>
    <t>WOS:000620663900001</t>
  </si>
  <si>
    <t>Sterbova, M; Vybostok, J; Salka, J</t>
  </si>
  <si>
    <t>Sterbova, Martina; Vybostok, Jozef; Salka, Jaroslav</t>
  </si>
  <si>
    <t>A classification of eco-innovators: Insights from the Slovak forestry service sector</t>
  </si>
  <si>
    <t>FOREST POLICY AND ECONOMICS</t>
  </si>
  <si>
    <t>Environmental innovation; Eco-innovators; Eco-adopters; Forestry service sector; Slovakia</t>
  </si>
  <si>
    <t>MANAGEMENT; OPERATIONS; BARRIERS; INDUSTRY; PRODUCT; SIZE; PERSPECTIVES; CAPABILITY; COMPANIES; DRIVERS</t>
  </si>
  <si>
    <t>In the current economy, considerable attention is being paid towards the environmental aspect of carrying out activities in the forest. Therefore, eco-innovation implementation can be considered as a basic and crucial condition for the success and competitiveness of businesses. The aim of this study was to identify and classify the different types of eco-innovators in the Slovak forestry service sector according to their innovative behaviour, with emphasis on the contractors' environmental awareness. At the same time, the study focused on a better understanding of the factors influencing implementation of eco-innovations in the Slovak forestry service sector. Methodologically, it is based on the analysis of quantitative data collected through a questionnaire method from a representative sample of 204 contractors. To analyse the data, the statistical program R was used. Subsequently, based on factors influencing innovation behaviour and eco-innovation implementation, two basic categories: (1) eco-adopters and (2) non eco-adopters, as well as eight subcategories of eco-adopters, were identified and characterised. The most important factors affecting eco-innovation implementation are associated with availability of financial sources and information about innovations, forestry consultancy, cooperation with other actors, as well as laws and regulations. However, one of the most important aspect is the environmental awareness of the company. Eco-adopters with stronger environmental awareness invest more in eco-innovations. On the other hand, there are passive (non) eco-adopters that need to gain necessary knowledge and be pushed to eco-innovation implementation from the outside environment. In conclusion, the study outlines possible policy recommendations for improving the eco-innovation activities within the Slovak forestry service sector.</t>
  </si>
  <si>
    <t>[Sterbova, Martina] Forest Res Inst Zvolen, Natl Forest Ctr, Dept Forest Policy Econ &amp; Forest Management, TG Masaryka 22, SK-96001 Zvolen, Slovakia; [Sterbova, Martina; Vybostok, Jozef; Salka, Jaroslav] Tech Univ Zvolen, Fac Forestry, Dept Econ &amp; Management Forestry, TG Masaryka 24, SK-96001 Zvolen, Slovakia</t>
  </si>
  <si>
    <t>National Forest Center - Slovakia; Technical University Zvolen</t>
  </si>
  <si>
    <t>Sterbova, M (corresponding author), Forest Res Inst Zvolen, Natl Forest Ctr, Dept Forest Policy Econ &amp; Forest Management, TG Masaryka 22, SK-96001 Zvolen, Slovakia.</t>
  </si>
  <si>
    <t>martina.sterbova@nlcsk.org; xvybostokj@tuzvo.sk; salka@tuzvo.sk</t>
  </si>
  <si>
    <t>Výbošťok, Jozef/AID-5754-2022; Šálka, Jaroslav/D-5456-2015</t>
  </si>
  <si>
    <t>Výbošťok, Jozef/0000-0002-0038-5911; Šálka, Jaroslav/0000-0002-1638-1085; Sterbova, Martina/0000-0002-5896-211X</t>
  </si>
  <si>
    <t>Slovak Research and Development Agency [APVV-17-0231]; Cultural and Educational Agency of the Ministry of Education, Science, Research and Sport of the SR by VEGA [1/0665/20]; KEGA [009TU Z-4]</t>
  </si>
  <si>
    <t>Slovak Research and Development Agency(Slovak Research and Development Agency); Cultural and Educational Agency of the Ministry of Education, Science, Research and Sport of the SR by VEGA; KEGA</t>
  </si>
  <si>
    <t>This work was supported by the Slovak Research and Development Agency under research project APVV-17-0231: Testing novel policies and business models for provision of selected forest ecosystem services and by the Cultural and Educational Agency of the Ministry of Education, Science, Research and Sport of the SR by VEGA, project no. 1/0665/20 InnoWaFor: Innovation potential of payments for ecosystem services -water and forests and by KEGA no. 009TU Z-4/2019 Modernization of environmental economics education at technical universities in the Slovak republic.</t>
  </si>
  <si>
    <t>1389-9341</t>
  </si>
  <si>
    <t>1872-7050</t>
  </si>
  <si>
    <t>FOREST POLICY ECON</t>
  </si>
  <si>
    <t>Forest Policy Econ.</t>
  </si>
  <si>
    <t>10.1016/j.forpol.2020.102356</t>
  </si>
  <si>
    <t>Economics; Environmental Studies; Forestry</t>
  </si>
  <si>
    <t>Business &amp; Economics; Environmental Sciences &amp; Ecology; Forestry</t>
  </si>
  <si>
    <t>PR1WK</t>
  </si>
  <si>
    <t>WOS:000607033300012</t>
  </si>
  <si>
    <t>Wu, MY; Zhang, LR; Imran, M; Xu, J; Yu, RH</t>
  </si>
  <si>
    <t>Wu, Mengyun; Zhang, Linrong; Imran, Muhammad; Xu, Jing; Yu, Ruihui</t>
  </si>
  <si>
    <t>Impact of differential leadership on innovative behavior of employees: A double-edged sword</t>
  </si>
  <si>
    <t>differential leadership; work engagement; ego depletion; innovative behavior; employee behavior; leader-follower relationship</t>
  </si>
  <si>
    <t>EGO-DEPLETION; WORK ENGAGEMENT; MEDIATING ROLE; CREATIVITY; MODEL; PERFORMANCE; CONFLICT; TEAM</t>
  </si>
  <si>
    <t>We investigated if differential leadership predicts the innovative behavior of employees, and examined the mediating roles of work engagement and ego depletion in this relationship. Using a three-wave research design we collected leader-member dyad data from 198 leaders and 485 employees at nine Chinese companies. Results show that differential leadership had opposite effects, that is, it positively predicted the innovative behavior of employees through the mediator of work engagement, and it negatively predicted the innovative behavior of employees through the mediator of ego depletion. These findings contribute to understanding of the relationship between differential leadership and employees' innovative behavior, and provide a new theoretical perspective on differential leadership.</t>
  </si>
  <si>
    <t>[Wu, Mengyun; Zhang, Linrong; Imran, Muhammad] Jiangsu Univ, Sch Finance &amp; Econ, 301 Xuefu Rd, Zhenjiang 212013, Jiangsu, Peoples R China; [Xu, Jing] Yangzhou Univ, Business Sch, Yangzhou, Jiangsu, Peoples R China; [Yu, Ruihui] Chungnam Natl Univ, Dept Int Trade, Daejeon, South Korea</t>
  </si>
  <si>
    <t>Jiangsu University; Yangzhou University; Chungnam National University</t>
  </si>
  <si>
    <t>Zhang, LR (corresponding author), Jiangsu Univ, Sch Finance &amp; Econ, 301 Xuefu Rd, Zhenjiang 212013, Jiangsu, Peoples R China.</t>
  </si>
  <si>
    <t>zlrdtc@126.com</t>
  </si>
  <si>
    <t>Imran, Muhammad/GLS-9070-2022; Imran, Muhammad/AAX-2549-2021</t>
  </si>
  <si>
    <t xml:space="preserve">Imran, Muhammad/0000-0003-1625-0517; </t>
  </si>
  <si>
    <t>National Social Science Foundation [19BGL127]; National Natural Science Fund [71572071, 72072076]; China Postdoctoral Science Foundation [2020M671377, 2015M571708]; Research and Practice Project of Teaching Reform of Graduate Education in Jiangsu Province [JGZZ1_056]; Advanced Talent Project of Jiangsu University [09JDG050, 14JDG202]</t>
  </si>
  <si>
    <t>National Social Science Foundation; National Natural Science Fund(National Natural Science Foundation of China (NSFC)); China Postdoctoral Science Foundation(China Postdoctoral Science Foundation); Research and Practice Project of Teaching Reform of Graduate Education in Jiangsu Province; Advanced Talent Project of Jiangsu University</t>
  </si>
  <si>
    <t>This research was supported by the National Social Science Foundation (19BGL127), the National Natural Science Fund (71572071, 72072076), the China Postdoctoral Science Foundation (2020M671377, 2015M571708), the Research and Practice Project of Teaching Reform of Graduate Education in Jiangsu Province (JGZZ1_056), and the Advanced Talent Project of Jiangsu University (09JDG050, 14JDG202).</t>
  </si>
  <si>
    <t>e9746</t>
  </si>
  <si>
    <t>10.2224/sbp.9746</t>
  </si>
  <si>
    <t>QI0FE</t>
  </si>
  <si>
    <t>WOS:000618650000003</t>
  </si>
  <si>
    <t>Derin, OB; Toker, K; Gorener, A</t>
  </si>
  <si>
    <t>Derin, Oyku Basak; Toker, Kerem; Gorener, Ali</t>
  </si>
  <si>
    <t>The Relationship between Knowledge Sharing and Innovative Work Behaviour:the Mediating Role of Ethical Climate</t>
  </si>
  <si>
    <t>KNOWLEDGE MANAGEMENT RESEARCH &amp; PRACTICE</t>
  </si>
  <si>
    <t>Knowledge sharing; ethical climate; innovative work behaviour; cement industry</t>
  </si>
  <si>
    <t>This study aims to identify and define the relationships among knowledge sharing, innovative work behaviour, and ethical climate. We examine the mediating role of ethical climate in knowledge sharing and innovative business behaviour based on a case study of a Turkish cement factory with 495 employees. A hierarchal regression results demonstrated that a low egoist, benevolence, and principled climate played positive partial mediating roles between knowledge sharing and innovative work behaviour. The results provide an original theoretical framework for organisations that aim to develop innovative behaviours among employees.</t>
  </si>
  <si>
    <t>[Derin, Oyku Basak] Istanbul Commerce Univ, Grad Sch Social Sci, Istanbul, Turkey; [Toker, Kerem] Bezmialem Vakif Univ, Dept Hlth Management, Fac Hlth Sci, Istanbul, Turkey; [Gorener, Ali] Istanbul Commerce Univ, Dept Management, Fac Business, Istanbul, Turkey</t>
  </si>
  <si>
    <t>Istanbul Ticaret University; Bezmialem Vakif University; Istanbul Ticaret University</t>
  </si>
  <si>
    <t>Toker, K (corresponding author), Bezmialem Vakif Univ, Dept Hlth Management, Fac Hlth Sci, Istanbul, Turkey.</t>
  </si>
  <si>
    <t>ktoker@bezmialem.edu.tr</t>
  </si>
  <si>
    <t>GÖRENER, Ali/M-9882-2018; TOKER, Kerem/AAC-9725-2022</t>
  </si>
  <si>
    <t>GÖRENER, Ali/0000-0001-6000-5143; TOKER, Kerem/0000-0002-1904-1406</t>
  </si>
  <si>
    <t>1477-8238</t>
  </si>
  <si>
    <t>1477-8246</t>
  </si>
  <si>
    <t>KNOWL MAN RES PRACT</t>
  </si>
  <si>
    <t>Knowl. Manag. Res. Pract.</t>
  </si>
  <si>
    <t>10.1080/14778238.2020.1860666</t>
  </si>
  <si>
    <t>3A9XS</t>
  </si>
  <si>
    <t>WOS:000606688600001</t>
  </si>
  <si>
    <t>Revuelto-Taboada, L; Canet-Giner, MT; Balbastre-Benavent, F</t>
  </si>
  <si>
    <t>Revuelto-Taboada, Lorenzo; Canet-Giner, Maria Teresa; Balbastre-Benavent, Francisco</t>
  </si>
  <si>
    <t>High-Commitment Work Practices and the Social Responsibility Issue: Interaction and Benefits</t>
  </si>
  <si>
    <t>HCWP; corporate sustainability; social responsibility; innovative behavior</t>
  </si>
  <si>
    <t>HUMAN-RESOURCE MANAGEMENT; UNDERSTANDING EMPLOYEES PERCEPTIONS; PERCEIVED ORGANIZATIONAL SUPPORT; COMPETITIVE ADVANTAGE; PRODUCT INNOVATION; FIRM PERFORMANCE; EXCHANGE THEORY; HRM; SUSTAINABILITY; CSR</t>
  </si>
  <si>
    <t>Human Resource Management (HRM) has a potentially vital role to play in addressing the new challenges that companies have to face and in delivering initiatives in the framework of corporate sustainability. Our work attempts to shed light on the strategic role of High-Commitment Work Practices (HCWP) as a Corporate Sustainability (CS) partner and, more specifically, to analyze the implications of their integration on the competitiveness of the firm. With this purpose, we apply a qualitative methodology, using a single case study, to explore and explain why and how the interaction between HCWP and CS takes place. The results show how this interaction encourages the formulation and implementation of new socially responsible organizational initiatives that help the firm to improve its competitive position in the market through the development of employees' innovative behavior. HCWP integrate with CS initiatives when CS values form part of the mission and strategy of the firm. Also, HCWP support CS deployment, primarily in its internal dimension. In addition, our work reveals that cultural factors such as organizational values and management style, and structural factors like empowerment and teamwork must be jointly considered when adopting a CS strategy aimed at developing innovative behavior and competitive advantage.</t>
  </si>
  <si>
    <t>[Revuelto-Taboada, Lorenzo; Canet-Giner, Maria Teresa; Balbastre-Benavent, Francisco] Univ Valencia, Fac Econ, Dept Business Management, Valencia 46022, Spain</t>
  </si>
  <si>
    <t>Revuelto-Taboada, L (corresponding author), Univ Valencia, Fac Econ, Dept Business Management, Valencia 46022, Spain.</t>
  </si>
  <si>
    <t>lorenzo.revuelto@uv.es; teresa.canet@uv.es; francisco.balbastre@uv.es</t>
  </si>
  <si>
    <t>Revuelto-Taboada, Lorenzo/C-4007-2017; Giner, María Teresa Canet/O-5253-2017; Balbastre-Benavent, Francisco/M-9992-2017</t>
  </si>
  <si>
    <t>Revuelto-Taboada, Lorenzo/0000-0002-4957-8626; Giner, María Teresa Canet/0000-0002-6896-3976; Balbastre-Benavent, Francisco/0000-0001-9549-2412</t>
  </si>
  <si>
    <t>UNIVERSITY of VALENCIA [UV-INVAE19-1200085]</t>
  </si>
  <si>
    <t>UNIVERSITY of VALENCIA</t>
  </si>
  <si>
    <t>This research was funded by the UNIVERSITY of VALENCIA, grant number UV-INVAE19-1200085.</t>
  </si>
  <si>
    <t>10.3390/su13020459</t>
  </si>
  <si>
    <t>PY0JV</t>
  </si>
  <si>
    <t>WOS:000611737300001</t>
  </si>
  <si>
    <t>Zappala, S; Toscano, F; Polevaya, MV; Kamneva, EV</t>
  </si>
  <si>
    <t>Zappala, Salvatore; Toscano, Ferdinando; Polevaya, Marina V.; Kamneva, Elena V.</t>
  </si>
  <si>
    <t>Personal Initiative, Passive-Avoidant Leadership and Support for Innovation as Antecedents of Nurses' Idea Generation and Idea Implementation</t>
  </si>
  <si>
    <t>JOURNAL OF NURSING SCHOLARSHIP</t>
  </si>
  <si>
    <t>innovation; personal initiative; work engagement; leadership style; support for innovation</t>
  </si>
  <si>
    <t>TRANSFORMATIONAL LEADERSHIP; TRANSACTIONAL LEADERSHIP; WORK ENGAGEMENT; HEALTH-CARE; BEHAVIOR; CREATIVITY; CLIMATE; ORGANIZATIONS; QUESTIONNAIRE; PERFORMANCE</t>
  </si>
  <si>
    <t>Purpose This study aims to explore the role of individual (work engagement, personal initiative), group (transformational, transactional, passive-avoidant leadership) and organisational factors (support for innovation climate) in fostering the two components of nurses' innovative behaviours, idea generation and idea implementation. Design and Method A cross-sectional study was conducted in an Italian public hospital, in two departments that had been created by merging other departments. A self-report questionnaire was completed by 118 nurses. Hierarchical regression analysis was used to test the hypotheses. Findings Respondents reported a high frequency of idea generation followed by idea implementation. Personal initiative and passive-avoidant leadership were significantly and positively related to nurses' idea generation and idea implementation. Support for innovation was positively related to idea implementation. Transactional and transformational leadership did not show any relationships with the two innovative work behaviours. Conclusions This study shows that nurses' innovative work behaviour is a complex and multi determined behaviour, influenced by individual, group, and organisational factors. It also shows that low levels of passive-avoidant leadership may contribute to innovation. Clinical Relevance Healthcare policies and strategies are needed to support a leadership style that allows space for autonomy, and that, together with support for innovation and personal initiative, facilitates nurses' idea generation and idea implementation.</t>
  </si>
  <si>
    <t>[Zappala, Salvatore; Toscano, Ferdinando] Univ Bologna, Dept Psychol, Piazza Aldo Moro 90, I-47521 Cesena, Italy; [Zappala, Salvatore; Polevaya, Marina V.; Kamneva, Elena V.] Financial Univ Govt Russian Federat, Dept Psychol &amp; Human Capital Dev, Moscow, Russia</t>
  </si>
  <si>
    <t>University of Bologna; Financial University Under the Government of Russian Federation</t>
  </si>
  <si>
    <t>Zappala, S (corresponding author), Univ Bologna, Dept Psychol, Piazza Aldo Moro 90, I-47521 Cesena, Italy.</t>
  </si>
  <si>
    <t>salvatore.zappala@unibo.it</t>
  </si>
  <si>
    <t>Toscano, Ferdinando/S-8291-2019; Zappala, Salvatore/AAK-4850-2020</t>
  </si>
  <si>
    <t>Toscano, Ferdinando/0000-0003-4884-9743; Zappala', Salvatore/0000-0002-8679-1063; Kamneva, Elena/0000-0002-6165-1339</t>
  </si>
  <si>
    <t>1527-6546</t>
  </si>
  <si>
    <t>1547-5069</t>
  </si>
  <si>
    <t>J NURS SCHOLARSHIP</t>
  </si>
  <si>
    <t>J. Nurs. Scholarsh.</t>
  </si>
  <si>
    <t>10.1111/jnu.12615</t>
  </si>
  <si>
    <t>PO5HH</t>
  </si>
  <si>
    <t>WOS:000600528900001</t>
  </si>
  <si>
    <t>Zhao, FQ; Ahmed, F; Iqbal, MK; Mughal, MF; Qin, YJ; Faraz, NA; Hunt, VJ</t>
  </si>
  <si>
    <t>Zhao, Fuqiang; Ahmed, Fawad; Iqbal, Muhammad Khalid; Mughal, Muhammad Farhan; Qin, Yuan Jian; Faraz, Naveed Ahmad; Hunt, Victor James</t>
  </si>
  <si>
    <t>Shaping Behaviors Through Institutional Support in British Higher Educational Institutions: Focusing on Employees for Sustainable Technological Change</t>
  </si>
  <si>
    <t>intention to use; education management information systems; self-efficacy; institutional support; personal innovativeness; organizational support theory</t>
  </si>
  <si>
    <t>SELF-EFFICACY; INFORMATION-SYSTEMS; PERSONAL INNOVATIVENESS; ACCEPTANCE MODEL; USER ACCEPTANCE; MODERATING ROLE; PLS-SEM; ADOPTION; READINESS; USAGE</t>
  </si>
  <si>
    <t>Technology permeates all walks of life. It has emerged as a global facilitator to improve learning and training, alleviating the temporal and spatial limitations of traditional learning systems. It is imperative to identify enablers or inhibitors of technology adoption by employees for sustainable change in education management systems. Using the theoretical lens of organizational support theory, this paper studies effect of institutional support on education management information systems (EMIS) use along with two individual traits of self-efficacy and innovative behavior of academic employees in British higher educational institutions. Data for this cross-sectional study were collected through a questionnaire completed by 591 academic employees of 23 universities from 10 cities in the United Kingdom. Partial Least Square structural equation modeling was used to analyze data with smartPLS 3.2.9 software. Results indicate that institutional support promotes self-efficacy and innovative behavior that help develop positive employee perceptions. The model explains a 52.9% variance in intention to use. Post-hoc mediation analysis shows that innovativeness and self-efficacy mediate between institutional support and employee technology adoption behavior. As opposed to student samples in past studies on educational technology, this study adds to the literature by focusing on academic employees.</t>
  </si>
  <si>
    <t>[Zhao, Fuqiang; Ahmed, Fawad; Qin, Yuan Jian; Faraz, Naveed Ahmad] Wuhan Univ Technol, Sch Management, Wuhan, Peoples R China; [Iqbal, Muhammad Khalid] Univ Management &amp; Technol, Knowledge Unit Business Econ Accountancy &amp; Commer, Sialkot Campus, Sialkot, Pakistan; [Mughal, Muhammad Farhan] Tianjin Univ Finance &amp; Econ, Sch Management Sci, Tianjin, Peoples R China; [Hunt, Victor James] Birmingham City Univ, Birmingham City Business Sch, Birmingham, W Midlands, England</t>
  </si>
  <si>
    <t>Wuhan University of Technology; University of Management &amp; Technology (UMT); Tianjin University of Finance &amp; Economics; Birmingham City University</t>
  </si>
  <si>
    <t>Ahmed, F; Qin, YJ; Faraz, NA (corresponding author), Wuhan Univ Technol, Sch Management, Wuhan, Peoples R China.</t>
  </si>
  <si>
    <t>fawadahmed1@live.com; qyjhb@163.com; naveedahmad@whut.edu.cn</t>
  </si>
  <si>
    <t>Mughal, Muhammad Farhan/HNQ-2977-2023; Faraz, Naveed Ahmad/H-1129-2018; Ahmed, Fawad/AAU-7791-2020; Faraz, Naveed Ahmad/AAF-7146-2022; Faraz, Naveed Ahmad/AEV-1478-2022</t>
  </si>
  <si>
    <t>Faraz, Naveed Ahmad/0000-0002-4790-9751; Faraz, Naveed Ahmad/0000-0002-4790-9751; Ahmed, Fawad/0000-0002-3495-7404</t>
  </si>
  <si>
    <t>National Social Science Fund of China [20FGLB047]; Independent Innovation Research Foundation; Wuhan University of Technology [2020IVA078]</t>
  </si>
  <si>
    <t>National Social Science Fund of China; Independent Innovation Research Foundation; Wuhan University of Technology</t>
  </si>
  <si>
    <t>This research was supported by the National Social Science Fund of China (20FGLB047), Independent Innovation Research Foundation, and Wuhan University of Technology (2020IVA078).</t>
  </si>
  <si>
    <t>DEC 3</t>
  </si>
  <si>
    <t>10.3389/fpsyg.2020.584857</t>
  </si>
  <si>
    <t>PF8HO</t>
  </si>
  <si>
    <t>WOS:000599288900001</t>
  </si>
  <si>
    <t>Hou, XF; Yuan, Q; Hu, KL; Huang, R; Liu, YQ</t>
  </si>
  <si>
    <t>Hou, Xuanfang; Yuan, Qiao; Hu, Kailin; Huang, Rong; Liu, Yunqi</t>
  </si>
  <si>
    <t>Employees' emotional intelligence and innovative behavior in China: Organizational political climate as a moderator</t>
  </si>
  <si>
    <t>emotional intelligence; process of innovation; innovative process engagement; innovative behavior; organizational political climate; employee behavior</t>
  </si>
  <si>
    <t>ETHICAL LEADERSHIP; PERFORMANCE; CREATIVITY</t>
  </si>
  <si>
    <t>We used conservation of resources theory to explore the moderated mediation effect of employees' emotional intelligence on their innovative behavior in an organization context. Data were collected from 237 employees and their supervisors in two innovative Chinese enterprises, with a dual time point pairing design. The results show that emotional intelligence positively influenced innovative behavior via innovative process engagement, a strongly negative organizational political climate negatively moderated the effect of emotional intelligence on innovative process engagement, and innovative process engagement mediated the relationship between emotional intelligence and innovative behavior. These results support the need to strengthen the management of employees' emotions; to build a new ecology of organizational politics in China (e.g., offering fair pay and promotions); and to promote coworker relationships that are characterized by openness, transparency, and integrity, to promote innovation among employees.</t>
  </si>
  <si>
    <t>[Hou, Xuanfang; Yuan, Qiao; Hu, Kailin; Huang, Rong; Liu, Yunqi] Jiangxi Normal Univ, Business Coll, 99 Ziyang Rd, Nanchang 330022, Jiangxi, Peoples R China</t>
  </si>
  <si>
    <t>michaelhou@whu.edu.cn</t>
  </si>
  <si>
    <t>National Natural Science Foundation of China [71562021]</t>
  </si>
  <si>
    <t>This study was supported by a grant from the National Natural Science Foundation of China (71562021).</t>
  </si>
  <si>
    <t>e9476</t>
  </si>
  <si>
    <t>10.2224/sbp.9476</t>
  </si>
  <si>
    <t>OQ3RV</t>
  </si>
  <si>
    <t>WOS:000588705200009</t>
  </si>
  <si>
    <t>Liu, CHS; Huang, YC</t>
  </si>
  <si>
    <t>Liu, Chih-Hsing Sam; Huang, Yung-Chuan</t>
  </si>
  <si>
    <t>The influence of transformational leadership on subordinate creative behaviour development process</t>
  </si>
  <si>
    <t>Transformational leadership; Work environment; Social capital; Knowledge transfer; Creative behaviour</t>
  </si>
  <si>
    <t>EMPLOYEE CREATIVITY; KNOWLEDGE TRANSFER; SELF-EFFICACY; INNOVATIVE BEHAVIOR; SERVICE INNOVATION; ENTREPRENEURIAL ORIENTATION; HOSPITALITY INDUSTRY; WORK-ENVIRONMENT; MEDIATING ROLES; MEMBER EXCHANGE</t>
  </si>
  <si>
    <t>This study utilized a multilevel sample of 543 employees and 106 managers and structural equation modelling (SEM) to test the proposed hypotheses. The results showed the mediating role of the group-level work environment in the relationships between transformational leadership and individual-level social capital and human capital. Moreover, social capital and knowledge transfer mediate the relationship between human capital and creative behaviour. Theoretical and managerial implications are discussed.</t>
  </si>
  <si>
    <t>[Liu, Chih-Hsing Sam] Natl Kaohsiung Univ Sci &amp; Technol, Dept Tourism Management, 415 Chien Kung Rd, Kaohsiung 807, Taiwan; [Huang, Yung-Chuan] Ming Chuan Univ, Tourism Hospitality &amp; Recreat Res Ctr, Sch Tourism, Dept Tourism, 5 De Ming Rd, Taoyuan 333, Taiwan</t>
  </si>
  <si>
    <t>National Kaohsiung University of Science &amp; Technology; Ming Chuan University</t>
  </si>
  <si>
    <t>Huang, YC (corresponding author), Ming Chuan Univ, Tourism Hospitality &amp; Recreat Res Ctr, Sch Tourism, Dept Tourism, 5 De Ming Rd, Taoyuan 333, Taiwan.</t>
  </si>
  <si>
    <t>andychuan2001@gmail.com</t>
  </si>
  <si>
    <t>10.1016/j.tmp.2020.100742</t>
  </si>
  <si>
    <t>OV1KU</t>
  </si>
  <si>
    <t>WOS:000591978600023</t>
  </si>
  <si>
    <t>Ben Amara, D; Chen, H</t>
  </si>
  <si>
    <t>Ben Amara, Dhekra; Chen, Hong</t>
  </si>
  <si>
    <t>The impact of participative decision-making on eco-innovation capability: the mediating role of motivational eco-innovation factors</t>
  </si>
  <si>
    <t>ENVIRONMENT DEVELOPMENT AND SUSTAINABILITY</t>
  </si>
  <si>
    <t>Motivational factors; Entrepreneurship; Eco-innovation capability; Participative decision-making; Sustainable development</t>
  </si>
  <si>
    <t>DYNAMIC CAPABILITIES; GREEN; ORIENTATION; PERSPECTIVE; STRATEGIES; LEADERSHIP; FRAMEWORK; DRIVERS; ABILITY; MODEL</t>
  </si>
  <si>
    <t>Given the environmental impact caused by the agricultural and agri-food sectors, eco-innovation is exceptionally important in the context of food production. In this respect, this study analyses the combined effect of motivational factors, participative decision-making practices, and eco-innovation capabilities and examines the peculiarities of these effects on Tunisian agricultural and agri-food sectors. Our results reveal several findings: (1) motivational factors are positively related to participative decision-making, and eco-innovation capabilities; (2) economic and ethical motivations constitute the most critical factors for offering innovative behaviour that would enhance participative decision-making and further boost the capacity of both entrepreneurs and employees to generate eco-innovation practices; and (3) motivational factors exert a mediating role on both participative decision-making and eco-innovation capabilities. Our findings further report that enterprises could not ignore the vitality of environmental issues and motivational eco-innovation factors in order to attain sustained economic and environmental performance. Our study highlights the critical role played by participative decision-making in the process of shaping a motivational and innovative work environment, while the enterprise's goals were not only the economic performance but also to attach great importance to achieving the environmental targets. Our study, therefore, supports that the combined impacts of these relevant constructs might overcome environmental, economic, and institutional barriers and generate further a better society that is sustainable in the long term.</t>
  </si>
  <si>
    <t>[Ben Amara, Dhekra; Chen, Hong] Northeast Forestry Univ, Sch Agr Econ &amp; Management, Harbin, Peoples R China</t>
  </si>
  <si>
    <t>Northeast Forestry University - China</t>
  </si>
  <si>
    <t>Chen, H (corresponding author), Northeast Forestry Univ, Sch Agr Econ &amp; Management, Harbin, Peoples R China.</t>
  </si>
  <si>
    <t>ben.amara@nefu.edu.cn; nefuchenhong@yeah.net</t>
  </si>
  <si>
    <t>mara, dhekra Ben/AAP-4099-2020</t>
  </si>
  <si>
    <t>ben amara, dhekra/0000-0003-1996-1293</t>
  </si>
  <si>
    <t>1387-585X</t>
  </si>
  <si>
    <t>1573-2975</t>
  </si>
  <si>
    <t>ENVIRON DEV SUSTAIN</t>
  </si>
  <si>
    <t>Environ. Dev. Sustain.</t>
  </si>
  <si>
    <t>10.1007/s10668-020-00900-0</t>
  </si>
  <si>
    <t>Green &amp; Sustainable Science &amp; Technology; Environmental Sciences</t>
  </si>
  <si>
    <t>RU2FY</t>
  </si>
  <si>
    <t>WOS:000562651600001</t>
  </si>
  <si>
    <t>Luke, MA; Carnelley, KB; Sedikides, C</t>
  </si>
  <si>
    <t>Luke, Michelle A.; Carnelley, Katherine B.; Sedikides, Constantine</t>
  </si>
  <si>
    <t>Attachments in the workplace: How attachment security in the workplace benefits the organisation</t>
  </si>
  <si>
    <t>EUROPEAN JOURNAL OF SOCIAL PSYCHOLOGY</t>
  </si>
  <si>
    <t>attachment; attitudes; emotions; organisational behaviour; relationships</t>
  </si>
  <si>
    <t>ADULT ATTACHMENT; INNOVATIVE BEHAVIORS; WORKING MODELS; STYLE; INFORMATION; QUALITY; ENGAGEMENT; LEADERS; ENERGY; TRUST</t>
  </si>
  <si>
    <t>In four studies, we tested if workplace secure attachment entails organisational benefits, given that such relationships are associated with increased positive relationship emotions. In Study 1, employees rated the extent to which colleagues, supervisors, and other individuals fulfil the attachment functions. In Study 2, employees listed up to 10 individuals before completing the same rating task as Study 1. In the remaining studies, employees rated their attachment security with their supervisors (Study 3) or colleagues (Study 4), and completed measures of positive relationship emotions with these individuals, proactive behaviour, organisational allure, and organisational deviance. We found that supervisors and colleagues fulfil attachment functions (Studies 1-2), and that workplace attachment security confers organisational allure and proactive behaviour due to its association with positive relationships emotions. However, workplace attachment security directly lowers organisational deviance (Studies 3-4). Thus, supportive and trusting work environments may encourage workplace relationships that could bestow organisational benefits.</t>
  </si>
  <si>
    <t>[Luke, Michelle A.] Univ Sussex, Sch Business, Brighton BN1 9SL, E Sussex, England; [Carnelley, Katherine B.; Sedikides, Constantine] Univ Southampton, Sch Psychol, Ctr Res Self &amp; Ident, Southampton, Hants, England</t>
  </si>
  <si>
    <t>RLUK- Research Libraries UK; University of Sussex; RLUK- Research Libraries UK; University of Southampton</t>
  </si>
  <si>
    <t>Luke, MA (corresponding author), Univ Sussex, Sch Business, Brighton BN1 9SL, E Sussex, England.</t>
  </si>
  <si>
    <t>M.A.Luke@sussex.ac.uk</t>
  </si>
  <si>
    <t>Luke, Michelle/0000-0002-6241-719X; Sedikides, Contantine/0000-0003-4036-889X; Carnelley, Katherine/0000-0003-4064-8576</t>
  </si>
  <si>
    <t>0046-2772</t>
  </si>
  <si>
    <t>1099-0992</t>
  </si>
  <si>
    <t>EUR J SOC PSYCHOL</t>
  </si>
  <si>
    <t>Eur. J. Soc. Psychol.</t>
  </si>
  <si>
    <t>10.1002/ejsp.2652</t>
  </si>
  <si>
    <t>MR7RS</t>
  </si>
  <si>
    <t>WOS:000509701200001</t>
  </si>
  <si>
    <t>Ruiu, G; Breschi, M</t>
  </si>
  <si>
    <t>Ruiu, Gabriele; Breschi, Marco</t>
  </si>
  <si>
    <t>The Effect of Aging on the Innovative Behavior of Entrepreneurs</t>
  </si>
  <si>
    <t>Entrepreneurship; Population aging; Innovation; Opportunity perception</t>
  </si>
  <si>
    <t>FIRM FORMATION; SELECTION; GENDER; AGE; OVERCONFIDENCE; SIZE</t>
  </si>
  <si>
    <t>The populations of economically developed countries are rapidly aging. This represents a sign of demographic success but at the same time it poses several problems for these societies, among which would be an eventual loss of entrepreneurial spirit. Concomitant with the latter idea, the body of empirical literature has shown that the probability of starting a business seems to increase with age up to a threshold point (between 35 and 44 years of age) and to decrease thereafter. However, this does not automatically imply that the innovative attitude of those who opt for an entrepreneurial career in an older population is lower than that characterizing a younger population. One may, indeed, surmise that more efforts will be exerted to introduce innovations as a strategy to compensate the negative effects produced by the shrinking in labor force size and in human capital productivity. Establishing whether population aging has an impact on the innovation attitude of entrepreneurs is crucial to offering a better understanding of the ways through which aging my affect economic growth. In the present paper, we implement a cross-country analysis aimed at answering the following research questions: are older individuals characterized by a lower probability of becoming entrepreneurs? If this turns out to be true, then are the entrepreneurs operating in older societies less or more prone to innovate?</t>
  </si>
  <si>
    <t>[Ruiu, Gabriele; Breschi, Marco] Univ Sassari, Dept Econ &amp; Business, Via Muroni 25, Sassari, Italy</t>
  </si>
  <si>
    <t>University of Sassari</t>
  </si>
  <si>
    <t>Ruiu, G (corresponding author), Univ Sassari, Dept Econ &amp; Business, Via Muroni 25, Sassari, Italy.</t>
  </si>
  <si>
    <t>gabrieleruiu@gmail.com</t>
  </si>
  <si>
    <t>RUIU, Gabriele/0000-0002-4337-4665</t>
  </si>
  <si>
    <t>Fondo per il finanziamento dei dipartimenti universitari di eccellenza</t>
  </si>
  <si>
    <t>The research activity carried out by Gabriele Ruiu has been in part financed by the Fondo per il finanziamento dei dipartimenti universitari di eccellenza (Law nr. 232/2016).</t>
  </si>
  <si>
    <t>10.1007/s13132-019-00612-5</t>
  </si>
  <si>
    <t>KH7QO</t>
  </si>
  <si>
    <t>WOS:000510844900024</t>
  </si>
  <si>
    <t>Suvonova, H; Lee, JY; Park, T</t>
  </si>
  <si>
    <t>Suvonova, Hulkar; Lee, Ju-yeon; Park, Taekyung</t>
  </si>
  <si>
    <t>Organizational preparedness for corporate entrepreneurship and psychological capital: does the managerial level matter?</t>
  </si>
  <si>
    <t>Corporate entrepreneurship; OPCE dimensions; managerial level; psychological capital; innovative behaviour</t>
  </si>
  <si>
    <t>SELF-EFFICACY; INTERNAL ENVIRONMENT; INNOVATIVE BEHAVIOR; PERFORMANCE; MANAGEMENT; IMPACT; LEADERSHIP; MODEL; PERCEPTION; AUTONOMY</t>
  </si>
  <si>
    <t>This study explores the effects of organizational preparedness for corporate entrepreneurship (OPCE) on psychological capital and innovative behaviour in South Korean small and medium-sized enterprises (SMEs), with a particular focus on the moderating effects of the managerial level. Building on the literature review regarding the OPCE and psychological capital, hypotheses are constructed and tested using a sample of 217 collected from middle managers of South Korean SMEs. Regarding analytical techniques, structural equation modelling and moderated regression analysis were applied. Results indicate that two of the four OPCE dimensions affect the development of psychological capital. More notably, this study finds that the relationship between middle managers? perception of OPCE dimensions and psychological capital is more significantly positive for higher level managers than for lower level managers. It also finds that innovative behaviour is driven by psychological capital. Contributions, implications and limitations with suggestions for future studies are presented.</t>
  </si>
  <si>
    <t>[Suvonova, Hulkar; Lee, Ju-yeon] Yeungnam Univ, Grad Sch, Dept Business Adm, Gyongsan, South Korea; [Park, Taekyung] Yeungnam Univ, Sch Business, Gyongsan, South Korea</t>
  </si>
  <si>
    <t>Yeungnam University; Yeungnam University</t>
  </si>
  <si>
    <t>Park, T (corresponding author), Yeungnam Univ, Sch Business, Gyongsan, South Korea.</t>
  </si>
  <si>
    <t>tpark@yu.ac.kr</t>
  </si>
  <si>
    <t>SEP 2</t>
  </si>
  <si>
    <t>10.1080/19761597.2019.1679025</t>
  </si>
  <si>
    <t>JH9EN</t>
  </si>
  <si>
    <t>WOS:000491022600001</t>
  </si>
  <si>
    <t>Hermida, Y; Clem, W; Guss, CD</t>
  </si>
  <si>
    <t>Hermida, Yoannis; Clem, Willow; Guss, C. Dominik</t>
  </si>
  <si>
    <t>The Inseparable Three: How Organization and Culture Can Foster Individual Creativity</t>
  </si>
  <si>
    <t>culture; cross-cultural; organization; creativity; cultural values; innovation</t>
  </si>
  <si>
    <t>MULTICULTURAL EXPERIENCE; INNOVATIVE BEHAVIOR; POWER DISTANCE; LEVEL; MODEL; PERSONALITY; PERSPECTIVE; PERFORMANCE; CLIMATE; LEADERS</t>
  </si>
  <si>
    <t>[Hermida, Yoannis; Clem, Willow; Guss, C. Dominik] Univ North Florida, Dept Psychol, Jacksonville, FL 32224 USA</t>
  </si>
  <si>
    <t>State University System of Florida; University of North Florida</t>
  </si>
  <si>
    <t>Guss, CD (corresponding author), Univ North Florida, Dept Psychol, Jacksonville, FL 32224 USA.</t>
  </si>
  <si>
    <t>dguess@unf.edu</t>
  </si>
  <si>
    <t>University of North Florida's Delaney Presidential Professorship</t>
  </si>
  <si>
    <t>This research was supported in part by a grant from the University of North Florida's Delaney Presidential Professorship to CG.</t>
  </si>
  <si>
    <t>SEP 18</t>
  </si>
  <si>
    <t>10.3389/fpsyg.2019.02133</t>
  </si>
  <si>
    <t>IY4YX</t>
  </si>
  <si>
    <t>WOS:000486400000001</t>
  </si>
  <si>
    <t>Li, X; Cai, Q</t>
  </si>
  <si>
    <t>Li, Xing; Cai, Qi</t>
  </si>
  <si>
    <t>Analysis on Green Dynamic Ability of Creating Resources and Eco-Innovation Performance of Marine Industrial Clusters</t>
  </si>
  <si>
    <t>Marine industrial clusters; ecological innovation; green dynamic capability; eco-innovation performance</t>
  </si>
  <si>
    <t>ABSORPTIVE-CAPACITY</t>
  </si>
  <si>
    <t>Sustainable innovation needs resources as a guarantee, so resources are the blood and lubricant of enterprises' eco-innovation. As an important form of eco-innovation, industrial clusters' innovative behaviors need to be studied from the perspective of resources. The creation of resources requires the enterprises have the ability to create new resources, which will directly affect the quality and quantity of the enterprises' eco-innovation resources, and then affect the enterprises' eco-innovation performance. Therefore, we define the green dynamic capacity of creation of eco-innovation resources of Marine industrial clusters firstly, and then analyze the impact of green dynamic capacity on the eco-innovation performance of Marine industrial clusters from a theoretical perspective, and finally discuss the relationship between the eco-innovation network structure, green dynamic capacity and eco-innovation performance of Marine industrial clusters from the perspective of complex social network by means of modeling and simulation.</t>
  </si>
  <si>
    <t>[Li, Xing] Yunnan Univ, Postdoctoral Mobile Stn Theoret Econ, Kunming 650091, Yunnan, Peoples R China; [Li, Xing; Cai, Qi] Guizhou Univ Finances &amp; Econ, Sch Management Sci, Guiyang 550025, Guizhou, Peoples R China; [Li, Xing] Tsinghua Univ, Res Ctr Technol Innovat, Beijing 100084, Peoples R China</t>
  </si>
  <si>
    <t>Yunnan University; Tsinghua University</t>
  </si>
  <si>
    <t>Li, X (corresponding author), Yunnan Univ, Postdoctoral Mobile Stn Theoret Econ, Kunming 650091, Yunnan, Peoples R China.;Li, X (corresponding author), Guizhou Univ Finances &amp; Econ, Sch Management Sci, Guiyang 550025, Guizhou, Peoples R China.;Li, X (corresponding author), Tsinghua Univ, Res Ctr Technol Innovat, Beijing 100084, Peoples R China.</t>
  </si>
  <si>
    <t>netlixing2008@126.com</t>
  </si>
  <si>
    <t>Guizhou university of finance and economics [2017SWBZD19]; National Social Science Fund Project [14CJY002]; Ministry of Commerce [2017SWBZD19]</t>
  </si>
  <si>
    <t>Guizhou university of finance and economics; National Social Science Fund Project; Ministry of Commerce</t>
  </si>
  <si>
    <t>This article is funded by joint fund project of Ministry of Commerce and Guizhou university of finance and economics (2017SWBZD19), the National Social Science Fund Project (14CJY002).</t>
  </si>
  <si>
    <t>SUM</t>
  </si>
  <si>
    <t>10.2112/SI94-002.1</t>
  </si>
  <si>
    <t>IX5GB</t>
  </si>
  <si>
    <t>WOS:000485711600003</t>
  </si>
  <si>
    <t>Berdal, MA; Rosenqvist, G; Wright, J</t>
  </si>
  <si>
    <t>Berdal, Monica Anderson; Rosenqvist, Gunilla; Wright, Jonathan</t>
  </si>
  <si>
    <t>Innovation as part of a wider behavioural syndrome in the guppy: The effect of sex and body size</t>
  </si>
  <si>
    <t>animal personality; behavioural flexibility; behavioural syndromes; developmental state; habituation; maze exploration</t>
  </si>
  <si>
    <t>GENERAL LEARNING-ABILITIES; MALE GREAT TITS; POECILIA-RETICULATA; LIFE-HISTORY; FORAGING INNOVATION; FEMALE GUPPIES; OUTBRED MICE; INFORMATION; PERSONALITY; EVOLUTIONARY</t>
  </si>
  <si>
    <t>Recent work on animal personalities has shown that individuals within populations often differ consistently in various types of behaviour and that many of these behaviours correlate among individuals to form behavioural syndromes. Individuals of certain species have also been shown to differ in their rate of behavioural innovation in arriving at novel solutions to new and existing problems (e.g., mazes, novel foods). Here, we investigate whether behaviours traditionally studied in personality research are correlated with individual rates of innovation as part of a wider behavioural syndrome. Guppies (Poecilia reticulata) of both sexes from three different wild population sources were assessed: (a) exploration of an open area; (b) speed through a three-dimensional maze; (c) investigation of a novel object; and (d) attraction to a novel food. The covariance structure (syndrome structure) was examined using structural equation modelling. The best model separated behaviours relating to activity in all contexts from rates of exploration/investigation and innovation. Innovative behaviour (utilizing new food and moving through a novel area) in these fish therefore forms part of the same syndrome as the traditional shy-bold continuum (exploration of an open area and investigation of a novel object) found in many animal personality studies. There were no clear differences in innovation or syndrome structure between the sexes, or between the three different populations. However, body size was implicated as part of the behavioural syndrome structure, and because body size is highly correlated with age in guppies, this suggests that individual behavioural differences in personality/innovation in guppies may largely be driven by developmental state.</t>
  </si>
  <si>
    <t>[Berdal, Monica Anderson; Rosenqvist, Gunilla; Wright, Jonathan] Norwegian Univ Sci &amp; Technol NTNU, CBD, Dept Biol, Trondheim, Norway; [Berdal, Monica Anderson] North Dakota State Univ, Dept Biol Sci, Fargo, ND 58105 USA</t>
  </si>
  <si>
    <t>Norwegian University of Science &amp; Technology (NTNU); North Dakota State University Fargo</t>
  </si>
  <si>
    <t>Berdal, MA (corresponding author), Norwegian Univ Sci &amp; Technol NTNU, CBD, Dept Biol, Trondheim, Norway.</t>
  </si>
  <si>
    <t>m.anderson.berdal@gmail.com</t>
  </si>
  <si>
    <t>Rosenqvist, Gunilla/0000-0002-6500-020X</t>
  </si>
  <si>
    <t>Research Council of Norway [223257]</t>
  </si>
  <si>
    <t>Research Council of Norway(Research Council of Norway)</t>
  </si>
  <si>
    <t>Research Council of Norway, Grant/Award Number: 223257</t>
  </si>
  <si>
    <t>10.1111/eth.12810</t>
  </si>
  <si>
    <t>GT1JX</t>
  </si>
  <si>
    <t>WOS:000444226700008</t>
  </si>
  <si>
    <t>Kim, BJ; Kim, TH; Jung, SY</t>
  </si>
  <si>
    <t>Kim, Byung-Jik; Kim, Tae-Hyun; Jung, Se-Youn</t>
  </si>
  <si>
    <t>How to Enhance Sustainability through Transformational Leadership: The Important Role of Employees' Forgiveness</t>
  </si>
  <si>
    <t>transformational leadership; forgiveness; innovative behavior; mediation analysis</t>
  </si>
  <si>
    <t>POSITIVE AFFECT; INNOVATIVE BEHAVIOR; ETHICAL CLIMATE; MEDIATING ROLE; CREATIVITY; SELF; EMPOWERMENT; ORIENTATION; MODEL; DETERMINANTS</t>
  </si>
  <si>
    <t>The present research attempts to investigate an intermediating process that influences an association between transformational leadership and innovative behavior. Previous studies have mainly focused on the intrapsychic traits of individual employees (e.g., intrinsic motivation and psychological empowerment) as an important mediator to explain the enhancing effect of transformational leadership on employee's creativity. Yet, given that many interactions among employees in an organization tend to occur in the form of 'interpersons', the importance of interpersonal relationship-based traits has received relatively less attention from leadership scholars. Based on the context-attitude-behavior framework, we posit that transformational leadership enhances innovative behavior by boosting the level of employees' forgiveness which is an interpersonal relationship-based trait among employees. We conducted structural equation modeling analysis with a survey from 374 employees in South Korea. The result demonstrated that forgiveness partially mediates the influence of transformational leadership on innovative behavior. We believe that our finding may contribute to expanding transformational leadership and positive organizational scholarship literature by identifying a new path that transformational leadership increases innovative behavior. The theoretical and practical implications, limitations of this study, and suggestions for future research are discussed.</t>
  </si>
  <si>
    <t>[Kim, Byung-Jik] Sogang Univ, Sogang Business Sch, Seoul 04107, South Korea; [Kim, Tae-Hyun] Korea Adv Inst Sci &amp; Technol, Coll Business, Seoul 02455, South Korea; [Jung, Se-Youn] Korea Natl Open Univ, Prime Coll, Seoul 03087, South Korea</t>
  </si>
  <si>
    <t>Sogang University; Korea Advanced Institute of Science &amp; Technology (KAIST); Korea National Open University</t>
  </si>
  <si>
    <t>Jung, SY (corresponding author), Korea Natl Open Univ, Prime Coll, Seoul 03087, South Korea.</t>
  </si>
  <si>
    <t>kimbj82@business.kaist.edu; taehyun@kaist.ac.kr; jseyoun@knou.ac.kr</t>
  </si>
  <si>
    <t>Kim, Tae-Hyun/B-3392-2012; Kim, Byung-Jik/AAQ-8718-2021</t>
  </si>
  <si>
    <t>Kim, Byung-Jik/0000-0002-7256-5719; Jung, Se-Youn/0000-0002-8037-8964</t>
  </si>
  <si>
    <t>10.3390/su10082682</t>
  </si>
  <si>
    <t>GW3CI</t>
  </si>
  <si>
    <t>WOS:000446767700098</t>
  </si>
  <si>
    <t>Lin, YT; Han, XP; Chen, BK; Zhou, J; Wang, BH</t>
  </si>
  <si>
    <t>Lin, Ying-Ting; Han, Xiao-Pu; Chen, Bo-Kui; Zhou, Jun; Wang, Bing-Hong</t>
  </si>
  <si>
    <t>Evolution of innovative behaviors on scale-free networks</t>
  </si>
  <si>
    <t>FRONTIERS OF PHYSICS</t>
  </si>
  <si>
    <t>innovative behaviors; innovation diffusion; evolutionary game; coevolution dynamics; scale-free networks</t>
  </si>
  <si>
    <t>COMPETITIVE DIFFUSION; SOCIAL NETWORKS; PERCOLATION MODEL; COMPLEX NETWORKS; DYNAMICS; STRATEGY; GAMES</t>
  </si>
  <si>
    <t>Innovation, which involves technological transformation and management reorganization, brings about significant changes in modern society. In this paper, to investigate how innovations can be promoted, we propose a game-based model to study the co-evolutionary dynamics of human innovative behaviors. A simulation on scale-free networks is conducted, in which the innovative behavior of each node is determined and updated based on the feedback regarding its innovation, namely the diffusion of the innovation status. Numerical simulations of the model generate a series of patterns, which is consistent with people's daily experiences and perceptions as regards real-world innovative behaviors. Specifically, various scaling spatiotemporal properties and rich structural impacts on dynamics can be observed. This model provides a novel approach to understand the evolution of innovative behaviors and provides insight for strategy studies of innovation promotion.</t>
  </si>
  <si>
    <t>[Lin, Ying-Ting] Minjiang Univ, Dept Phys &amp; Elect Informat Engn, Fuzhou 350108, Fujian, Peoples R China; [Han, Xiao-Pu] Hangzhou Normal Univ, Alibaba Res Ctr Complex Sci, Hangzhou 311121, Zhejiang, Peoples R China; [Chen, Bo-Kui] Tsinghua Univ, Div Logist &amp; Transportat, Grad Sch Shenzhen, Shenzhen 518055, Peoples R China; [Chen, Bo-Kui; Zhou, Jun] Natl Univ Singapore, Sch Comp, Dept Comp Sci, Singapore 117417, Singapore; [Wang, Bing-Hong] Univ Sci &amp; Technol China, Dept Modern Phys, Hefei 230026, Anhui, Peoples R China; [Wang, Bing-Hong] Univ Sci &amp; Technol China, Ctr Nonlinear Sci, Hefei 230026, Anhui, Peoples R China</t>
  </si>
  <si>
    <t>Minjiang University; Hangzhou Normal University; Tsinghua University; University Town of Shenzhen; Tsinghua Shenzhen International Graduate School; National University of Singapore; Chinese Academy of Sciences; University of Science &amp; Technology of China, CAS; Chinese Academy of Sciences; University of Science &amp; Technology of China, CAS</t>
  </si>
  <si>
    <t>Chen, BK (corresponding author), Tsinghua Univ, Div Logist &amp; Transportat, Grad Sch Shenzhen, Shenzhen 518055, Peoples R China.;Chen, BK (corresponding author), Natl Univ Singapore, Sch Comp, Dept Comp Sci, Singapore 117417, Singapore.</t>
  </si>
  <si>
    <t>chenssx@qq.com</t>
  </si>
  <si>
    <t>Wang, Bing/IAP-6059-2023; Wang, Bing/IAQ-0291-2023; Han, Xiao-Pu/E-8401-2010</t>
  </si>
  <si>
    <t>National Natural Science Foundation of China [11547254, 11275186, 91024026, 11205040, FOM2014OF001]; Zhejiang Provincial Natural Science Foundation of China [LGF18F030007]; Singapore Ministry of Education Research Grant [MOE 2013-T2-2-033]; Singapore government's Research, Innovation and Enterprise plan (Advanced Manufacturing and Engineering domain) [A1687b0033]</t>
  </si>
  <si>
    <t>National Natural Science Foundation of China(National Natural Science Foundation of China (NSFC)); Zhejiang Provincial Natural Science Foundation of China(Natural Science Foundation of Zhejiang Province); Singapore Ministry of Education Research Grant(Ministry of Education, Singapore); Singapore government's Research, Innovation and Enterprise plan (Advanced Manufacturing and Engineering domain)</t>
  </si>
  <si>
    <t>This work was supported by the National Natural Science Foundation of China (Grant Nos. 11547254, 11275186, 91024026, 11205040 and FOM2014OF001), Zhejiang Provincial Natural Science Foundation of China (No. LGF18F030007), the Singapore Ministry of Education Research Grant (Grant No. MOE 2013-T2-2-033), and the Programmatic grant no. A1687b0033 from the Singapore government's Research, Innovation and Enterprise 2020 plan (Advanced Manufacturing and Engineering domain).</t>
  </si>
  <si>
    <t>HIGHER EDUCATION PRESS</t>
  </si>
  <si>
    <t>BEIJING</t>
  </si>
  <si>
    <t>NO 4 DEWAI DAJIE, BEIJING 100120, PEOPLES R CHINA</t>
  </si>
  <si>
    <t>2095-0462</t>
  </si>
  <si>
    <t>FRONT PHYS-BEIJING</t>
  </si>
  <si>
    <t>Front. Phys.</t>
  </si>
  <si>
    <t>10.1007/s11467-018-0767-1</t>
  </si>
  <si>
    <t>GA4MB</t>
  </si>
  <si>
    <t>WOS:000428302800003</t>
  </si>
  <si>
    <t>Volpicelli, K; Buttenheim, AM</t>
  </si>
  <si>
    <t>Volpicelli, Kathryn; Buttenheim, Alison M.</t>
  </si>
  <si>
    <t>Do Social Factors Predict Appropriate Treatment of Child Diarrheal Disease in Peru?</t>
  </si>
  <si>
    <t>MATERNAL AND CHILD HEALTH JOURNAL</t>
  </si>
  <si>
    <t>Diarrhea; Child health; Peru; Demographic Health Survey (DHS); Prevalence; Infectious disease; Malnutrition</t>
  </si>
  <si>
    <t>HEALTH-CARE</t>
  </si>
  <si>
    <t>Objectives Diarrheal disease is a significant cause of morbidity among children in Peru. Oral rehydration therapy (ORT) is a cost-effective evidence-based approach to treat diarrhea in young children, yet many Peruvian children in poorer households do not receive this life-saving treatment. This study investigates the social determinants of care-seeking behavior and utilization of appropriate home treatment for diarrheal episodes. Methods We used the nationally-representative 2008 Peru Demographic and Health Survey to: (1) describe the burden of non-bloody diarrheal disease among children &lt; 5 years old; and (2) identify socioeconomic correlates of care-seeking behavior and utilization/appropriateness of treatment among mothers of children with recent non-bloody diarrheal episodes (N = 1365). For the former, we reported descriptive statistics; for the latter, we utilized logistic regression to generate odds ratios. Results 2-week period prevalence of diarrheal disease was almost twice as high among poor (17 %) compared with wealthier (10 %) children, higher among children aged 12-23 months old (22 %), and higher among children from households that do not have an improved source of drinking water (16 %) compared with those that have an improved source (12 %). Interestingly, rural residence was a significant predictor of seeking care for diarrhea. Furthermore, although widely available, few mothers (15 %) used appropriate treatment for a recent diarrheal episode. Water source, mother's education, and wealth were significant predictors of appropriate home treatment. Conclusions Mothers in rural areas-typically with less access to care-were more likely to seek care for diarrheal disease in their children, even when adjusting for other variables. However, this increase in care seeking behavior did not extend to appropriate home treatment. Innovative behavior change strategies to reduce barriers to access and appropriate home treatment for diarrheal disease are important, especially given effective and affordable treatment strategies. Future studies should elucidate specific barriers to seeking and utilizing ORT and other appropriate home treatments.</t>
  </si>
  <si>
    <t>[Volpicelli, Kathryn] Univ Penn, Perelman Sch Med, Philadelphia, PA 19104 USA; [Buttenheim, Alison M.] Univ Penn, Sch Nursing, Philadelphia, PA 19104 USA</t>
  </si>
  <si>
    <t>University of Pennsylvania; Pennsylvania Medicine; University of Pennsylvania</t>
  </si>
  <si>
    <t>Volpicelli, K (corresponding author), Univ Penn, Perelman Sch Med, Philadelphia, PA 19104 USA.</t>
  </si>
  <si>
    <t>kate.volpicelli@gmail.com; abutt@nursing.upenn.edu</t>
  </si>
  <si>
    <t>Volpicelli Leonard, Kathryn/0000-0002-3146-1331</t>
  </si>
  <si>
    <t>1092-7875</t>
  </si>
  <si>
    <t>1573-6628</t>
  </si>
  <si>
    <t>MATERN CHILD HLTH J</t>
  </si>
  <si>
    <t>Matern. Child Health J.</t>
  </si>
  <si>
    <t>10.1007/s10995-016-2049-2</t>
  </si>
  <si>
    <t>EB8VV</t>
  </si>
  <si>
    <t>WOS:000387670300011</t>
  </si>
  <si>
    <t>Viana, ALD; da Silva, HP; Ibanez, N; Iozzi, FL</t>
  </si>
  <si>
    <t>d'Avila Viana, Ana Luiza; da Silva, Hudson Pacifico; Ibanez, Nelson; Iozzi, Fabiola Lana</t>
  </si>
  <si>
    <t>Development policy for the Brazilian health industry and qualification of national public laboratories</t>
  </si>
  <si>
    <t>CADERNOS DE SAUDE PUBLICA</t>
  </si>
  <si>
    <t>Innovation and Development Policy; Official Laboratory; Unified Health System; Sustainable Development; Innovation</t>
  </si>
  <si>
    <t>Technological innovations play a decisive role in societies' development by contributing to economic growth and the population's welfare. The state has a key role in this process by inducing innovative behavior, strategies, and decisions. This study addresses Brazil's current policy for development of the health industry and its effects on qualification of national public laboratories by contextualizing different cycles of interaction between health policy and the industrial base, discussing the government's development strategy and the transfer and absorption of health technology (through Industrial Development Partnerships), and presenting two current partnerships involving public laboratories in the production of medicines and vaccines.</t>
  </si>
  <si>
    <t>[d'Avila Viana, Ana Luiza] Univ Sao Paulo, Fac Med, Sao Paulo, Brazil; [da Silva, Hudson Pacifico] Univ Estadual Campinas, Fac Ciencias Aplicadas, Rua Pedro Zaccaria 1300, BR-13484350 Limeira, SP, Brazil; [Ibanez, Nelson] Fac Ciencias Med Santa Casa Sao Paulo, Sao Paulo, Brazil; [Iozzi, Fabiola Lana] Fundacao Oswaldo Cruz, Escola Nacl Saude Publ Sergio Arouca, Rio De Janeiro, Brazil</t>
  </si>
  <si>
    <t>Universidade de Sao Paulo; Universidade Estadual de Campinas; Faculdade de Ciencias Medicas Santa Casa de Sao Paulo; Fundacao Oswaldo Cruz</t>
  </si>
  <si>
    <t>da Silva, HP (corresponding author), Univ Estadual Campinas, Fac Ciencias Aplicadas, Rua Pedro Zaccaria 1300, BR-13484350 Limeira, SP, Brazil.</t>
  </si>
  <si>
    <t>hudson.silva@fca.unicamp.br</t>
  </si>
  <si>
    <t>Silva, Hudson P/C-3969-2012</t>
  </si>
  <si>
    <t>Silva, Hudson P/0000-0001-7507-0917</t>
  </si>
  <si>
    <t>CNPq</t>
  </si>
  <si>
    <t>CNPq(Conselho Nacional de Desenvolvimento Cientifico e Tecnologico (CNPQ))</t>
  </si>
  <si>
    <t>The authors wish to thank the interviewees for kindly collaborating with the study, the reviewers for their significant contributions and improvements to the article's final version, and CNPq for the research grant.</t>
  </si>
  <si>
    <t>CADERNOS SAUDE PUBLICA</t>
  </si>
  <si>
    <t>RIO DE JANIERO</t>
  </si>
  <si>
    <t>RUA LEOPOLDO BUHOES 1480, RIO DE JANIERO, RJ 210410210, BRAZIL</t>
  </si>
  <si>
    <t>0102-311X</t>
  </si>
  <si>
    <t>1678-4464</t>
  </si>
  <si>
    <t>CAD SAUDE PUBLICA</t>
  </si>
  <si>
    <t>Cad. Saude Publica</t>
  </si>
  <si>
    <t>e00188814</t>
  </si>
  <si>
    <t>10.1590/0102-311X00188814</t>
  </si>
  <si>
    <t>EC9MK</t>
  </si>
  <si>
    <t>WOS:000388468500016</t>
  </si>
  <si>
    <t>Segarra-Ona, M; Peiro-Signes, A; Cervello-Royo, R</t>
  </si>
  <si>
    <t>Segarra-Ona, M.; Peiro-Signes, A.; Cervello-Royo, R.</t>
  </si>
  <si>
    <t>ECO-Innovation determinants in the Spanish construction industry</t>
  </si>
  <si>
    <t>INFORMES DE LA CONSTRUCCION</t>
  </si>
  <si>
    <t>Eco-innovation; environmental orientation; construction industry; structural equation modelling</t>
  </si>
  <si>
    <t>MODELING APPROACH; ORIENTATION; FIRMS; SUSTAINABILITY; IMPACT; PATH</t>
  </si>
  <si>
    <t>Based on the authors' validated model that identifies processes and/or products orientation and obtaining information from market sources as variables that affect eco-innovation, we classify different groups according to their eco-innovative behavior of companies belonging to the construction industry. Using the REBUS-PLS algorithm applied to 222 companies with data retrieved from PITEC database, two groups are detected, highlighting one group more oriented towards the environment when innovating, with higher levels of R&amp;D investment and the absence of significant differences in the variables descriptive (size, turnover, investments, employees). Results indicate that eco-innovation orientation does not depend on these features but it is linked to the performance of the company. Results have important practical applications for both, public policy actions to promote eco-innovation and private actions to improve companies' eco-innovation behaviour.</t>
  </si>
  <si>
    <t>[Segarra-Ona, M.; Peiro-Signes, A.; Cervello-Royo, R.] Univ Politecn Valencia, E-46022 Valencia, Spain</t>
  </si>
  <si>
    <t>Universitat Politecnica de Valencia</t>
  </si>
  <si>
    <t>Segarra-Ona, M (corresponding author), Univ Politecn Valencia, E-46022 Valencia, Spain.</t>
  </si>
  <si>
    <t>maseo@omp.upv.es</t>
  </si>
  <si>
    <t>Cervelló-Royo, Roberto/AAB-4206-2019; Peiro-Signes, Angel/K-8328-2014; cervelló-royo, roberto/K-5032-2014; Segarra-Ona, Marival/K-8235-2014</t>
  </si>
  <si>
    <t>Cervelló-Royo, Roberto/0000-0002-8304-4177; Peiro-Signes, Angel/0000-0002-1549-6972; cervelló-royo, roberto/0000-0002-8304-4177; Segarra-Ona, Marival/0000-0001-9674-9056</t>
  </si>
  <si>
    <t>CONSEJO SUPERIOR INVESTIGACIONES CIENTIFICAS-CSIC</t>
  </si>
  <si>
    <t>VITRUVIO 8, 28006 MADRID, SPAIN</t>
  </si>
  <si>
    <t>0020-0883</t>
  </si>
  <si>
    <t>1988-3234</t>
  </si>
  <si>
    <t>INF CONSTR</t>
  </si>
  <si>
    <t>Inf. Constr.</t>
  </si>
  <si>
    <t>e068</t>
  </si>
  <si>
    <t>10.3989/ic.13.124</t>
  </si>
  <si>
    <t>Construction &amp; Building Technology</t>
  </si>
  <si>
    <t>CH3GW</t>
  </si>
  <si>
    <t>WOS:000353918500020</t>
  </si>
  <si>
    <t>Peiro-Signes, A; Segarra-Ona, MD; Alvarez, CM</t>
  </si>
  <si>
    <t>Peiro-Signes, Angel; Segarra-Ona, Maria-del-Val; Maroto Alvarez, Concepcion</t>
  </si>
  <si>
    <t>Why do Services and Manufacturing Firms Envision Environmental Innovation Differently? A Path-Model Comparison</t>
  </si>
  <si>
    <t>POLISH JOURNAL OF ENVIRONMENTAL STUDIES</t>
  </si>
  <si>
    <t>environmental innovation; manufacturing and service industry; product innovation; process innovation</t>
  </si>
  <si>
    <t>SUSTAINABLE DEVELOPMENT; DETERMINANTS; MANAGEMENT; POLICIES</t>
  </si>
  <si>
    <t>Innovation and environmental awareness are crucial issues that actually build a firm's competitive advantages. In terms of manufacturing industries, several studies have been carried out to disentangle the variables that help companies to orientate more effectively their innovations toward sustainability. In comparison, although the service industry is increasing its economic weight, little research has been carried out in this domain. In the present paper, we analyze the differences of eco-innovative behavior between Service and Manufacturing industries. We retrieved 6,253 firms' data from the Spanish panel of innovative activities (PITEC database) and deployed a structured equations model (EQS) for each group to compare what variables are influencing the willingness to be eco-innovative for each type of industry. Results show the differences in impact that product orientation has on eco-orientation. The relationship between product-orientation and eco-orientation in service firms is significantly different to that in manufacturing firms. In fact, product-orientation impact is lower in service firms. Thus, while manufacturing firms show a similar impact of product and process orientation on eco-orientation, process-orientation in service firms almost doubled the relative impact of product-orientation on eco-innovation. These results may allow both policy makers and managers to make the correct decisions regarding national, industrial and company strategy.</t>
  </si>
  <si>
    <t>[Peiro-Signes, Angel; Segarra-Ona, Maria-del-Val] Univ Politecn Valencia, Dept Management, Valencia 46022, Spain; [Maroto Alvarez, Concepcion] Univ Politecn Valencia, Dept Appl Stat, Valencia 46022, Spain; [Maroto Alvarez, Concepcion] Univ Politecn Valencia, Qual Dept, Valencia 46022, Spain</t>
  </si>
  <si>
    <t>Peiro-Signes, A (corresponding author), Univ Politecn Valencia, Dept Management, 7D Bldg,Cno Vera S-N, Valencia 46022, Spain.</t>
  </si>
  <si>
    <t>Peiro-Signes, Angel/K-8328-2014; Alvarez, Concepción Maroto/J-5362-2016</t>
  </si>
  <si>
    <t xml:space="preserve">Peiro-Signes, Angel/0000-0002-1549-6972; </t>
  </si>
  <si>
    <t>Spanish Science and Innovation Ministry [EC02011-27369]</t>
  </si>
  <si>
    <t>Spanish Science and Innovation Ministry(Ministry of Science and Innovation, Spain (MICINN)Spanish Government)</t>
  </si>
  <si>
    <t>The authors would like to thank the Spanish Science and Innovation Ministry for its financial support through the research project (EC02011-27369).</t>
  </si>
  <si>
    <t>HARD</t>
  </si>
  <si>
    <t>OLSZTYN 5</t>
  </si>
  <si>
    <t>POST-OFFICE BOX, 10-718 OLSZTYN 5, POLAND</t>
  </si>
  <si>
    <t>1230-1485</t>
  </si>
  <si>
    <t>2083-5906</t>
  </si>
  <si>
    <t>POL J ENVIRON STUD</t>
  </si>
  <si>
    <t>Pol. J. Environ. Stud.</t>
  </si>
  <si>
    <t>AT4JK</t>
  </si>
  <si>
    <t>WOS:000344905500026</t>
  </si>
  <si>
    <t>Garcia-Barriocanal, E; Sicilia, MA; Sanchez-Alonso, S</t>
  </si>
  <si>
    <t>Garcia-Barriocanal, Elena; Sicilia, Miguel-Angel; Sanchez-Alonso, Salvador</t>
  </si>
  <si>
    <t>Social Network-Aware Interfaces as Facilitators of Innovation</t>
  </si>
  <si>
    <t>JOURNAL OF COMPUTER SCIENCE AND TECHNOLOGY</t>
  </si>
  <si>
    <t>information system; innovation; learning; ontology-based information system; social network</t>
  </si>
  <si>
    <t>KNOWLEDGE; ONTOLOGY; MODELS; SYSTEM; SITES</t>
  </si>
  <si>
    <t>Achieving continuous innovation in organizations requires a balance between exploiting yet acquired knowledge and exploring new knowledge. In addition to having the adequate resources, change and innovation capabilities require specific management support and organizational structures. Recent research has pointed out the importance of social network structure and of the activity of agents that work across domains or disciplines in the innovation-oriented behaviour of organizations. As a consequence, information systems should ideally be able to support the analysis, development and management of such social structure for the benefit of organizational objectives. Current social network interfaces provide an established mental model to workers that can be hypothesized to be adequate for supporting activities that foster innovative behaviour. That behaviour is facilitated through exposing the activities of other workers across organizational structures. This paper reports on the design of a user interface specifically targeted to manage the social aspects of innovation based on some aspects of Hargadon's model of innovation and knowledge brokering. The emergent nature of interactions in social network sites is used as the metaphor to foster situated cognition. The interface design assessment is described and some metrics for innovative behaviour that could be derived for such an interface are sketched.</t>
  </si>
  <si>
    <t>[Garcia-Barriocanal, Elena; Sicilia, Miguel-Angel; Sanchez-Alonso, Salvador] Univ Alcala, Dept Comp Sci, Alcala De Henares 28871, Spain</t>
  </si>
  <si>
    <t>Universidad de Alcala</t>
  </si>
  <si>
    <t>Garcia-Barriocanal, E (corresponding author), Univ Alcala, Dept Comp Sci, Ctra Barcelona Km 33-600, Alcala De Henares 28871, Spain.</t>
  </si>
  <si>
    <t>elena.garciab@uah.es; msicilia@uah.es; salvador.sanchez@uah.es</t>
  </si>
  <si>
    <t>Sicilia, Miguel-Angel/F-5002-2012; Sanchez-Alonso, Salvador/M-2950-2014</t>
  </si>
  <si>
    <t>Sanchez-Alonso, Salvador/0000-0002-9949-4797</t>
  </si>
  <si>
    <t>SCIENCE PRESS</t>
  </si>
  <si>
    <t>16 DONGHUANGCHENGGEN NORTH ST, BEIJING 100717, PEOPLES R CHINA</t>
  </si>
  <si>
    <t>1000-9000</t>
  </si>
  <si>
    <t>1860-4749</t>
  </si>
  <si>
    <t>J COMPUT SCI TECH-CH</t>
  </si>
  <si>
    <t>J. Comput. Sci. Technol.</t>
  </si>
  <si>
    <t>10.1007/s11390-012-1297-x</t>
  </si>
  <si>
    <t>Computer Science, Hardware &amp; Architecture; Computer Science, Software Engineering</t>
  </si>
  <si>
    <t>039RR</t>
  </si>
  <si>
    <t>WOS:000311264700012</t>
  </si>
  <si>
    <t>Thomas, AJ; Barton, RA</t>
  </si>
  <si>
    <t>Thomas, A. J.; Barton, R. A.</t>
  </si>
  <si>
    <t>Characterizing SME migration towards advanced manufacturing technologies</t>
  </si>
  <si>
    <t>PROCEEDINGS OF THE INSTITUTION OF MECHANICAL ENGINEERS PART B-JOURNAL OF ENGINEERING MANUFACTURE</t>
  </si>
  <si>
    <t>SMEs; advanced manufacturing technology; management; survey</t>
  </si>
  <si>
    <t>SUCCESS FACTORS; IMPLEMENTATION</t>
  </si>
  <si>
    <t>This paper provides details of a survey conducted into 260 manufacturing SMEs operating in a range of industrial sectors. The survey is a follow-up to a survey performed 3-years earlier on the same companies and it is targeted in this case on investigating the migratory characteristics of advanced manufacturing technology (AMT) implementation in manufacturing SMEs. It provides an overview of the attitudes towards AMT and the benefits obtained by SMEs through its adoption. The paper provides information on the characterization, compatibility, and innovative behaviour of SMEs in AMT implementation. An improved AMT migration classification system is proposed on the basis of the analysis of the obtained data. This study is the first to in-depth compare the AMT implementation issues within SMEs based on large-scale survey data.</t>
  </si>
  <si>
    <t>[Thomas, A. J.] Coleg Sir Gar, Llanelli SA15 4DN, Wales; [Barton, R. A.] Ortho Clin Diagnost OCDGB, Bridgend, Wales</t>
  </si>
  <si>
    <t>Thomas, AJ (corresponding author), Coleg Sir Gar, Sandy Rd, Llanelli SA15 4DN, Wales.</t>
  </si>
  <si>
    <t>andrew.thomas@colegsirgar.ac.uk</t>
  </si>
  <si>
    <t>Thomas, Andrew/0000-0002-1942-7050</t>
  </si>
  <si>
    <t>0954-4054</t>
  </si>
  <si>
    <t>2041-1975</t>
  </si>
  <si>
    <t>P I MECH ENG B-J ENG</t>
  </si>
  <si>
    <t>Proc. Inst. Mech. Eng. Part B-J. Eng. Manuf.</t>
  </si>
  <si>
    <t>B4</t>
  </si>
  <si>
    <t>10.1177/0954405411424977</t>
  </si>
  <si>
    <t>Engineering, Manufacturing; Engineering, Mechanical</t>
  </si>
  <si>
    <t>Engineering</t>
  </si>
  <si>
    <t>961QJ</t>
  </si>
  <si>
    <t>WOS:000305481600016</t>
  </si>
  <si>
    <t>Chao, CY; Lin, YS; Cheng, YL; Tseng, YC</t>
  </si>
  <si>
    <t>Chao, Chih-Yang; Lin, Yong-Shun; Cheng, Yu-Lin; Tseng, Yi-Chiao</t>
  </si>
  <si>
    <t>Employee innovation, supervisory leadership, organizational justice, and organizational culture in Taiwan's manufacturing industry</t>
  </si>
  <si>
    <t>Supervisor leadership; innovative behavior; organizational justice; organizational culture</t>
  </si>
  <si>
    <t>JOB DISSATISFACTION; PROCEDURAL JUSTICE; BEHAVIOR; PERCEPTIONS; CREATIVITY; EXCHANGE</t>
  </si>
  <si>
    <t>The main purpose of this study was to investigate the influence of the supervisor leadership on employee innovative behavior in manufacturing industry, the interference of the organizational justice in the relation between supervisor leadership, employee innovative behavior, and the interference of organizational culture in the relation between supervisor leadership and employee innovative behavior. Finding of the research is that there is a positive influence of supervisor leadership on employee innovative behavior in manufacturing industry; in addition, the organizational justice of the manufacturing personnel can reinforce the part of influence of supervisor leadership on employee innovative behavior, and organizational culture could also reinforce part of the influence of supervisor leadership on employee innovative behavior as well. According to the results above, the industry should emphasize the system of supervisor leadership and the organizational justice, and construct good organizational culture to encourage innovative behavior of employees.</t>
  </si>
  <si>
    <t>[Chao, Chih-Yang; Lin, Yong-Shun; Cheng, Yu-Lin; Tseng, Yi-Chiao] Natl Chunghua Univ Educ, Dept Ind Educ &amp; Technol, Changhua, Taiwan</t>
  </si>
  <si>
    <t>Cheng, YL (corresponding author), Natl Chunghua Univ Educ, Dept Ind Educ &amp; Technol, Bao Shan Campus,2 Shi Da Rd, Changhua, Taiwan.</t>
  </si>
  <si>
    <t>yulin1101@gmail.com</t>
  </si>
  <si>
    <t>MAR 18</t>
  </si>
  <si>
    <t>766QM</t>
  </si>
  <si>
    <t>WOS:000290801500050</t>
  </si>
  <si>
    <t>Mosurovic, M; Kutlaca, D</t>
  </si>
  <si>
    <t>Mosurovic, Marija; Kutlaca, Djuro</t>
  </si>
  <si>
    <t>Organizational design as a driver for firm innovativeness in Serbia</t>
  </si>
  <si>
    <t>INNOVATION-THE EUROPEAN JOURNAL OF SOCIAL SCIENCE RESEARCH</t>
  </si>
  <si>
    <t>organizational design; components of organizational design; innovation; innovation activity; innovation behavior</t>
  </si>
  <si>
    <t>The area of innovation and innovation activities includes numerous aspects and changes needed to increase and improve the innovation potential of firms. Besides technological changes, organizational changes also play a very important role. Although these changes are considered within a wider innovation concept that is not limited merely to technological changes, they can significantly influence business improvement. Statistical data processing of an official pilot study - conducted by Statistical Office of the Republic of Serbia in cooperation with the Mihajlo Pupin Institute - illustrates the significance of organizational design regarding the innovative behavior of a company. It also points out that some elements of organizational design give a remarkable impetus to the innovative behavior of corporations, while others can be seen as a limiting factor. Detailed statistical analysis shows that one component of organizational design, namely the introduction of a new or significantly improved knowledge management system for a better use or exchange of information, knowledge and skills within companies, has the most influence on the innovation behavior of the company. Another component, a firm's completely new or significantly different relation with other firms or public institutions (such as alliances, partnerships, out-sourcing or sub-contracting), has the least influence. These analyses are of crucial importance for defining the innovation pattern related to corporation management.</t>
  </si>
  <si>
    <t>[Mosurovic, Marija; Kutlaca, Djuro] Mihailo Pupin Inst, Sci &amp; Technol Policy Res Ctr, Belgrade, Serbia</t>
  </si>
  <si>
    <t>University of Belgrade</t>
  </si>
  <si>
    <t>Mosurovic, M (corresponding author), Mihailo Pupin Inst, Sci &amp; Technol Policy Res Ctr, Belgrade, Serbia.</t>
  </si>
  <si>
    <t>marija.mosurovic@pupin.rs</t>
  </si>
  <si>
    <t>Mosurović Ružičić, Marija/ACI-5803-2022</t>
  </si>
  <si>
    <t>Mosurović Ružičić, Marija/0000-0002-7471-4933</t>
  </si>
  <si>
    <t>1351-1610</t>
  </si>
  <si>
    <t>1469-8412</t>
  </si>
  <si>
    <t>INNOVATION-ABINGDON</t>
  </si>
  <si>
    <t>Innovation-Eur. J. Soc. Sci. Res.</t>
  </si>
  <si>
    <t>10.1080/13511610.2011.633432</t>
  </si>
  <si>
    <t>878CT</t>
  </si>
  <si>
    <t>WOS:000299231000004</t>
  </si>
  <si>
    <t>Corsino, M; Passarelli, M</t>
  </si>
  <si>
    <t>Corsino, Marco; Passarelli, Mariacarmela</t>
  </si>
  <si>
    <t>The competitive advantage of business units: Evidence from the integrated circuit industry</t>
  </si>
  <si>
    <t>EUROPEAN MANAGEMENT REVIEW</t>
  </si>
  <si>
    <t>competitive advantage; business unit; diversification; product strategies</t>
  </si>
  <si>
    <t>PRODUCT-LINE; NICHE WIDTH; TECHNOLOGICAL-INNOVATION; FIRM PERFORMANCE; MARKET SHARE; DIVERSIFICATION; SCOPE; STRATEGIES; CORPORATE; DYNAMICS</t>
  </si>
  <si>
    <t>Within-business diversification, product strategies, and competitors' innovative behavior may affect the competitive advantage of business units that operate in the integrated circuit industry. This investigation employs original data about new product introductions and sales from a representative sample of companies. In addition, the study's empirical taxonomy can deal with significant product heterogeneity, which many previous contributions overlook. Econometric analysis shows that corporate diversification within a market segment affects the competitive advantage of constituting units positively. Increased product variety also enables business units to gain a competitive edge over rivals. However, new product introductions by sister units in other market niches impair the performance of a focal unit. A higher propensity to innovate among rival firms also erodes the advantage of a focal unit, whereas positive spillovers arise from other firms' innovations in neighboring market segments. European Management Review (2009) 6, 182-194. doi:10.1057/emr.2009.15</t>
  </si>
  <si>
    <t>[Corsino, Marco] Univ Trent, Dept Management &amp; Comp Sci, I-38100 Trento, Italy; [Passarelli, Mariacarmela] Univ Calabria, Dept Business Adm, I-87036 Cosenza, Italy</t>
  </si>
  <si>
    <t>University of Trento; University of Calabria</t>
  </si>
  <si>
    <t>Corsino, M (corresponding author), Univ Trent, DISA, Via Inama 5, I-38100 Trento, Italy.</t>
  </si>
  <si>
    <t>marco.corsino@unitn.it</t>
  </si>
  <si>
    <t>1740-4754</t>
  </si>
  <si>
    <t>1740-4762</t>
  </si>
  <si>
    <t>EUR MANAG REV</t>
  </si>
  <si>
    <t>Eur. Manag. Rev.</t>
  </si>
  <si>
    <t>10.1057/emr.2009.15</t>
  </si>
  <si>
    <t>V28JY</t>
  </si>
  <si>
    <t>WOS:000208678300006</t>
  </si>
  <si>
    <t>Liu, SZ</t>
  </si>
  <si>
    <t>Liu, Shunzhong</t>
  </si>
  <si>
    <t>Determinants of service innovative dimensions in Knowledge Intensive Business Services: evidence from PR China</t>
  </si>
  <si>
    <t>KIBS; knowledge intensive business services; determinants; innovative dimension; developing country; the People's Republic of China</t>
  </si>
  <si>
    <t>KEY CONCEPTS; BANKING; MODEL</t>
  </si>
  <si>
    <t>Based on the four-dimensional model of service innovation, this paper investigated the determinants of innovative dimensions in KIBS, which has been never studied against developing countries. Survey data were collected from 245 persons from 88 knowledge intensive business Service firms. Regression analysis shown that strategic attention, culture, differentiation market and variation in demand have made positive effects on innovative dimensions in KIBS of the People's Republic of China. Oil the other hand, innovative behaviour of individual workers did not affect the innovative dimensions in KIBS of the People's Republic of China in a direct manner.</t>
  </si>
  <si>
    <t>NE Normal Univ, Res Ctr Serv Management, Sch Business, Changchun 130117, Jilin Province, Peoples R China</t>
  </si>
  <si>
    <t>Northeast Normal University - China</t>
  </si>
  <si>
    <t>Liu, SZ (corresponding author), NE Normal Univ, Res Ctr Serv Management, Sch Business, 2555 Jingyue St, Changchun 130117, Jilin Province, Peoples R China.</t>
  </si>
  <si>
    <t>liushunzhong@serviceom.cn</t>
  </si>
  <si>
    <t>10.1504/IJTM.2009.024602</t>
  </si>
  <si>
    <t>444CR</t>
  </si>
  <si>
    <t>WOS:000265958400006</t>
  </si>
  <si>
    <t>Leading for innovation - An empirical investigation</t>
  </si>
  <si>
    <t>ZEITSCHRIFT FUR PSYCHOLOGIE</t>
  </si>
  <si>
    <t>leadership; innovation; influence; freedom; autonomy; expert knowledge; inclination to innovate; idea generation; implementation</t>
  </si>
  <si>
    <t>INTERPERSONAL INFLUENCE; SOCIAL POWER; FRENCH; LEADERSHIP; MODEL; BASES; WORK</t>
  </si>
  <si>
    <t>The Lazarus theory, which has been adapted to the context of innovation, is used as a basis for developing a model to explain how leadership affects cognitive processes of perceiving the work setting (need for and susceptibility to change), innovative behaviors (Generation and testing of ideas, implementation), and innovation-blocking behaviors (intrapsychic coping, flight). Leadership is described in terms of selected bases of influence (personal charisma, expert knowledge/information, granting freedom and autonomy, support for innovation, and absence of manipulation). The model's explanatory power is tested on a sample of middle managers from different organizations of various sizes and sectors. Hierarchical regression analyses show that granting freedom and autonomy and using expert knowledge and information have the most positive effect on the cognitive processes and innovative behaviors and the most negative effect on innovation-blocking behaviors.</t>
  </si>
  <si>
    <t>Colorado State Univ, Dept Psychol Ind &amp; Org Psychol, Ft Collins, CO 80523 USA</t>
  </si>
  <si>
    <t>Colorado State University</t>
  </si>
  <si>
    <t>Krause, DE (corresponding author), Colorado State Univ, Dept Psychol Ind &amp; Org Psychol, Ft Collins, CO 80523 USA.</t>
  </si>
  <si>
    <t>dkrause@lamar.colostate.edu</t>
  </si>
  <si>
    <t>ROHNSWEG 25, D-37085 GOTTINGEN, GERMANY</t>
  </si>
  <si>
    <t>0044-3409</t>
  </si>
  <si>
    <t>Z PSYCHOL</t>
  </si>
  <si>
    <t>Z. Psychol.</t>
  </si>
  <si>
    <t>10.1026/0044-3409.213.2.61</t>
  </si>
  <si>
    <t>916KS</t>
  </si>
  <si>
    <t>WOS:000228384400001</t>
  </si>
  <si>
    <t>Ankem, K</t>
  </si>
  <si>
    <t>Adoption of Internet resource-based value-added processes by faculty in LIS education</t>
  </si>
  <si>
    <t>LIBRARY &amp; INFORMATION SCIENCE RESEARCH</t>
  </si>
  <si>
    <t>METADATA</t>
  </si>
  <si>
    <t>In response to the proliferation of digital information accessible over networks, significant changes have taken place in library and information science (LIS) education during the last decade. To understand the changes, the study examined LIS faculty members' innovative behavior toward the end of the decade by applying a model of adoption that purports that material resources, experiential resources, value attributed to the innovation, and communication with adopters influence adoption of an innovation. The particular innovation examined was a complex, digital information-related innovation. It was termed collectively as Internet resource-based value-added processes and included the following set of processes that add value to Internet resources: (1) selection of Internet resources, (2) organization of Internet resources, (3) Internet reference services, (4) interface design in digital libraries, and (5) user analysis in digital libraries. Survey results indicated that the value LIS faculty attached to the innovation was the most influential variable in their decisions in favor of early adoption. However, communication between early adopters and late adopters in LIS education was found to be weak and not influential in the late adopters' decisions. (C) 2004 Elsevier Inc. All rights reserved.</t>
  </si>
  <si>
    <t>Wayne State Univ, Lib &amp; Informat Sci Program, Kresge Lib 106, Detroit, MI 48202 USA</t>
  </si>
  <si>
    <t>Wayne State University</t>
  </si>
  <si>
    <t>Ankem, K (corresponding author), Wayne State Univ, Lib &amp; Informat Sci Program, Kresge Lib 106, Detroit, MI 48202 USA.</t>
  </si>
  <si>
    <t>k.ankem@wtyne.edu</t>
  </si>
  <si>
    <t>0740-8188</t>
  </si>
  <si>
    <t>1873-1848</t>
  </si>
  <si>
    <t>LIBR INFORM SCI RES</t>
  </si>
  <si>
    <t>Libr. Infor. Sci. Res.</t>
  </si>
  <si>
    <t>10.1016/j.lisr.2004.04.008</t>
  </si>
  <si>
    <t>879FE</t>
  </si>
  <si>
    <t>WOS:000225701000006</t>
  </si>
  <si>
    <t>D'Costa, AP</t>
  </si>
  <si>
    <t>Coping with technology divergence policies and strategies for India's industrial development</t>
  </si>
  <si>
    <t>1st International Conference on Technology Policy and Innovation</t>
  </si>
  <si>
    <t>JUL 02-04, 1997</t>
  </si>
  <si>
    <t>MACAO, MACAO</t>
  </si>
  <si>
    <t>Recent studies on innovation have demonstrated the relationship between technology and growth. However, as most of them are centered on the experience of the highly industrialized nations, a different approach to technology policy must be taken. As late industrializers, developing countries lag in adopting foreign technologies. Institutional factors and economic policy also influence the diffusion process. With decentralized decision making, the coexistence of diverse technologies in a given industrial branch is inevitable. Consequently, social costs tend to be high because of duplication of efforts, reduced learning opportunities, and adoption of inefficient technologies. This article examines the coexistence of diverse technologies leading to technology fragmentation in India's steel industry. Recent innovative behavior in the Japanese and Korean steel industry indicates that the effects of fragmentation can be contained through a policy of system integration. This is an institutional process by which industry-specific applications of scientific knowledge are fused with basic research itself. This demands a forward-looking policy that rejuvenates older industries, such as steel, in socially acceptable ways and organically creates new knowledge for national development and social welfare. (C) 1998 Elsevier Science Inc.</t>
  </si>
  <si>
    <t>Univ Washington, Tacoma, WA 98402 USA</t>
  </si>
  <si>
    <t>University of Washington; University of Washington Tacoma</t>
  </si>
  <si>
    <t>D'Costa, AP (corresponding author), Univ Washington, 1900 Commerce St, Tacoma, WA 98402 USA.</t>
  </si>
  <si>
    <t>655 AVENUE OF THE AMERICAS, NEW YORK, NY 10010 USA</t>
  </si>
  <si>
    <t>10.1016/S0040-1625(98)00013-4</t>
  </si>
  <si>
    <t>Conference Proceedings Citation Index - Social Science &amp;amp; Humanities (CPCI-SSH); Social Science Citation Index (SSCI)</t>
  </si>
  <si>
    <t>ZZ571</t>
  </si>
  <si>
    <t>WOS:000074743500007</t>
  </si>
  <si>
    <t>BECKER, MH</t>
  </si>
  <si>
    <t>PREDICTORS OF INNOVATIVE BEHAVIOR AMONG LOCAL HEALTH OFFICERS</t>
  </si>
  <si>
    <t>PUBLIC HEALTH REPORTS</t>
  </si>
  <si>
    <t>US GOVERNMENT PRINTING OFFICE</t>
  </si>
  <si>
    <t>SUPERINTENDENT DOCUMENTS, WASHINGTON, DC 20402-9325</t>
  </si>
  <si>
    <t>0033-3549</t>
  </si>
  <si>
    <t>PUBLIC HEALTH REP</t>
  </si>
  <si>
    <t>Public Health Rep.</t>
  </si>
  <si>
    <t>10.2307/4593756</t>
  </si>
  <si>
    <t>E9108</t>
  </si>
  <si>
    <t>WOS:A1969E910800007</t>
  </si>
  <si>
    <t>Lu, J; Zhang, LR; Wu, MY; Imran, M; He, Q; Zhao, Y</t>
  </si>
  <si>
    <t>Lu, Jie; Zhang, Linrong; Wu, Mengyun; Imran, Muhammad; He, Qi; Zhao, Yun</t>
  </si>
  <si>
    <t>Influence of differential leadership behavior on employees' deviant innovation: Based on dual perspectives of insider and outsider subordinates</t>
  </si>
  <si>
    <t>differential leadership; deviant innovation behavior; insider subordinates; outsider subordinates; Game Theory</t>
  </si>
  <si>
    <t>EVOLUTION; CONFLICT</t>
  </si>
  <si>
    <t>Differential leadership as a localized leadership style gradually developed on the basis of the Pattern of Differential Sequence. It plays a dual role in stimulating insider subordinates and outsider subordinates through the dynamic transformation of the roles. Using the process of game reasoning, the study identifies the differing principles used by insider subordinates and outsider subordinates in implementing deviant innovative behaviors. The simulation graph presents the perceived benefits of employees performing or not performing deviant innovative behaviors as clues during the reasoning process, and implements deviant innovative behaviors for the high risk-taking trait of insider subordinates and the high internal control personality of outsider subordinates who implement deviant innovation. The theoretical derivation of behavior provides relevant references, and provides counter measures for effectively promoting employees' deviant innovative behavior in the context of differential leadership.</t>
  </si>
  <si>
    <t>[Lu, Jie] Jiangsu Univ, Sch Management, Zhenjiang, Peoples R China; [Zhang, Linrong; Wu, Mengyun; He, Qi] Jiangsu Univ, Sch Finance &amp; Econ, Zhenjiang, Peoples R China; [Imran, Muhammad] Qilu Univ Technol, Informat Res Inst, Shandong Acad Sci, Jinan, Peoples R China; [Zhao, Yun] Yuncheng Univ, Dept Econ &amp; Management, Yuncheng, Peoples R China</t>
  </si>
  <si>
    <t>Jiangsu University; Jiangsu University; Qilu University of Technology; Yuncheng University</t>
  </si>
  <si>
    <t>Wu, MY (corresponding author), Jiangsu Univ, Sch Finance &amp; Econ, Zhenjiang, Peoples R China.;Imran, M (corresponding author), Qilu Univ Technol, Informat Res Inst, Shandong Acad Sci, Jinan, Peoples R China.</t>
  </si>
  <si>
    <t>mewu@ujs.edu.cn; imran@sdas.org</t>
  </si>
  <si>
    <t>Imran, Muhammad/GLS-9070-2022; qi, he/HTR-2514-2023</t>
  </si>
  <si>
    <t>National Social Science Fund; National Natural Science Fund; Humanities and Social Sciences Fund of the Ministry of Education China;  [19BGL127];  [71572071];  [72072076];  [18YJA630074]</t>
  </si>
  <si>
    <t xml:space="preserve">National Social Science Fund; National Natural Science Fund(National Natural Science Foundation of China (NSFC)); Humanities and Social Sciences Fund of the Ministry of Education China; ; ; ; </t>
  </si>
  <si>
    <t>Funding This research was supported by the National Social Science Fund (19BGL127), the National Natural Science Fund (71572071 and 72072076), and the Humanities and Social Sciences Fund of the Ministry of Education China (18YJA630074).</t>
  </si>
  <si>
    <t>AUG 23</t>
  </si>
  <si>
    <t>10.3389/fpsyg.2022.945598</t>
  </si>
  <si>
    <t>4H9LR</t>
  </si>
  <si>
    <t>WOS:000850198800001</t>
  </si>
  <si>
    <t>Chen, WJ</t>
  </si>
  <si>
    <t>Chen, Wen-Jung</t>
  </si>
  <si>
    <t>How to motivate hotel employees' innovation service behaviours: The mediating role of job embeddedness</t>
  </si>
  <si>
    <t>hotel innovation service behaviour; innovative climate; innovative management; job embeddedness</t>
  </si>
  <si>
    <t>PERFORMANCE WORK PRACTICES; TURNOVER; CLIMATE; MODEL; DETERMINANTS; ORIENTATION; PARADIGM; EXCHANGE; STAY</t>
  </si>
  <si>
    <t>The hotel industry emphasizes customer service. The creation of unique and innovative service experiences by employees depends on the effective stimulation of employees to show innovation service behaviour that is beneficial to the organization. This study believed that although more and more scholars and organizations realize the importance of service innovation, there is still room for development in theory and practice. Therefore, this study explored the relationships among organizational climate for innovation, service orientation, job embeddedness and employees' innovative behaviour. A total of 291 valid questionnaires were collected through a questionnaire survey. A positive relationship was found among organizational climate for innovation, service orientation, job embeddedness and innovation service behaviour. Noteworthily, service orientation is not only related to employees' job embeddedness but also related to their innovative service behaviours conducive to the hotel. Therefore, this study suggested that the hotel industry creates an atmosphere and resources that help employees demonstrate innovation. Furthermore, support and encouragement from the organization can inspire employees to have a positive work attitude and show innovative service behaviour beneficial to the organization.</t>
  </si>
  <si>
    <t>[Chen, Wen-Jung] Hungkuo Delin Univ Technol, Hospitality Management Dept, 1,Lane 380,Qingyun Rd, New Taipei 236, Taiwan</t>
  </si>
  <si>
    <t>Hungkuo Delin University of Technology</t>
  </si>
  <si>
    <t>Chen, WJ (corresponding author), Hungkuo Delin Univ Technol, Hospitality Management Dept, 1,Lane 380,Qingyun Rd, New Taipei 236, Taiwan.</t>
  </si>
  <si>
    <t>wenjung515@gmail.com</t>
  </si>
  <si>
    <t>10.1111/caim.12516</t>
  </si>
  <si>
    <t>6L4VS</t>
  </si>
  <si>
    <t>WOS:000825902600001</t>
  </si>
  <si>
    <t>Munoz, RM; Andrade, SM; Pena, I; Donate, MJ</t>
  </si>
  <si>
    <t>Munoz, Rosa M.; Andrade, Silvia M.; Pena, Isidro; Donate, Mario J.</t>
  </si>
  <si>
    <t>Wellness programs in times of COVID-19, perceived organizational support and affective commitment: effects on employee innovative behavior</t>
  </si>
  <si>
    <t>Employee well-being; Wellness programs; Innovative behavior; Perceived organizational support; Affective commitment; COVID-19</t>
  </si>
  <si>
    <t>JOB DEMANDS; MANAGEMENT RESEARCH; PLS-SEM; PERFORMANCE; ENGAGEMENT; WORK; HEALTH; IMPACT; SAFETY; METAANALYSIS</t>
  </si>
  <si>
    <t>Purpose Innovation is one of the most important foundations on which to create and sustain competitive advantages in companies, but at the individual level, employee innovative behavior has recently been jeopardized by the situation caused by the COVID-19 pandemic (e.g. changes in workplaces, employee interaction, motivation). This study analyzes wellness programs and actions through which organizations have tried to adapt to the new situation caused by COVID-19 and their effect on employee innovation behavior. Design/methodology/approach Structural equation modeling by means of the partial least squares technique was used to test the study's hypotheses after collecting survey data from Spanish companies, providing evidence that wellness programs and measures to deal with COVID-19 through perceived organizational support and affective commitment encourage employee innovation behavior. Findings The results suggest that efforts developed by firms focused on employee well-being to overcome difficulties caused by the pandemic strengthen innovative behaviors by means of intrinsic motivation based essentially on personal commitment. Theoretical and practical implications of the findings are discussed by the paper's authors. Originality/value This paper corroborates and extends previous research regarding wellness programs, perceived organization support and affective commitment. It provides a comprehensive model of relationships that predicts employee innovative behavior. It analyzes the influence of enterprise wellness programs based on protective COVID-19 measures.</t>
  </si>
  <si>
    <t>[Munoz, Rosa M.; Andrade, Silvia M.; Pena, Isidro; Donate, Mario J.] Univ Castilla La Mancha, Fac Law &amp; Social Sci, Dept Business Adm, Ciudad Real, Spain</t>
  </si>
  <si>
    <t>Pena, I (corresponding author), Univ Castilla La Mancha, Fac Law &amp; Social Sci, Dept Business Adm, Ciudad Real, Spain.</t>
  </si>
  <si>
    <t>Isidro.Pena@uclm.es</t>
  </si>
  <si>
    <t>Donate, Mario J./L-5328-2014; Donate, Mario J./AAH-8885-2021; Muñoz, Rosa María/AAA-3737-2019; PEÑA, ISIDRO/Q-6467-2018</t>
  </si>
  <si>
    <t>Donate, Mario J./0000-0003-4087-2535; Donate, Mario J./0000-0003-4087-2535; Muñoz, Rosa María/0000-0002-9679-5738; PEÑA, ISIDRO/0000-0002-3742-1752</t>
  </si>
  <si>
    <t>Junta de Comunidades de Castilla-La Mancha [SBPLY/21/180501/000260]</t>
  </si>
  <si>
    <t>Junta de Comunidades de Castilla-La Mancha(Junta de Comunidades de Castilla-La Mancha)</t>
  </si>
  <si>
    <t>This study was funded by Junta de Comunidades de Castilla-La Mancha (Award number : SBPLY/21/180501/000260).</t>
  </si>
  <si>
    <t>JUN 13</t>
  </si>
  <si>
    <t>10.1108/EJIM-02-2022-0072</t>
  </si>
  <si>
    <t>7Z1RR</t>
  </si>
  <si>
    <t>WOS:000807987600001</t>
  </si>
  <si>
    <t>Nguyen, NTH; Nguyen, D; Vo, N; Tuan, LT</t>
  </si>
  <si>
    <t>Nhung Thi Hong Nguyen; Nguyen, Diep; Nguyen Vo; Tuan, Luu Trong</t>
  </si>
  <si>
    <t>Fostering Public Sector Employees' Innovative Behavior: The Roles of Servant Leadership, Public Service Motivation, and Learning Goal Orientation</t>
  </si>
  <si>
    <t>ADMINISTRATION &amp; SOCIETY</t>
  </si>
  <si>
    <t>innovative behavior; public sector employees; servant leadership; public service motivation; learning goal orientation</t>
  </si>
  <si>
    <t>PROCEDURAL JUSTICE; MEDIATING ROLE; ORGANIZATIONAL COMMITMENT; JOB-PERFORMANCE; MEMBER EXCHANGE; WORK; CLIMATE; MODEL; PREDICTORS; MANAGEMENT</t>
  </si>
  <si>
    <t>Although public employees' innovative behavior is essential for ongoing improvement of public services and thereby development of public organizations, limited research has examined this topic-especially in transition countries. Drawing on social cognitive theory, this study theorizes that servant leadership fosters public sector employees' innovative behavior through the sequential mediation roles of public service motivation and learning goal orientation. Results from structural equation modelling with multi-source data from Vietnam's public sector employee and manager surveys support the hypothesized model. Our study sheds light on the drivers of public employees' innovative behavior in a less researched context.</t>
  </si>
  <si>
    <t>[Nhung Thi Hong Nguyen; Nguyen Vo] Univ Econ Ho Chi Minh City, Sch Govt, 279 Nguyen Tri Phuong,Ward 5,Dist 10, Ho Chi Minh City 700000, Vietnam; [Nguyen, Diep] Northumbria Univ, Newcastle Business Sch, Newcastle Upon Tyne, Tyne &amp; Wear, England; [Tuan, Luu Trong] Swinburne Univ Technol, Swinburne Business Sch, Hawthorn, Vic, Australia</t>
  </si>
  <si>
    <t>N8 Research Partnership; RLUK- Research Libraries UK; Newcastle University - UK; Northumbria University; Swinburne University of Technology</t>
  </si>
  <si>
    <t>Nguyen, NTH (corresponding author), Univ Econ Ho Chi Minh City, Sch Govt, 279 Nguyen Tri Phuong,Ward 5,Dist 10, Ho Chi Minh City 700000, Vietnam.</t>
  </si>
  <si>
    <t>nhungnth@ueh.edu.vn</t>
  </si>
  <si>
    <t>Nguyen, Nhung/ACU-3995-2022; Nguyen, Diep/C-7327-2017</t>
  </si>
  <si>
    <t>Nguyen, Nhung/0000-0001-5223-6056; Nguyen, Diep/0000-0002-5454-8835</t>
  </si>
  <si>
    <t>University of Economics Ho Chi Minh City (UEH), Vietnam</t>
  </si>
  <si>
    <t>The author(s) disclosed receipt of the following financial support for the research, authorship, and/or publication of this article: This research is funded by University of Economics Ho Chi Minh City (UEH), Vietnam.</t>
  </si>
  <si>
    <t>0095-3997</t>
  </si>
  <si>
    <t>1552-3039</t>
  </si>
  <si>
    <t>ADMIN SOC</t>
  </si>
  <si>
    <t>Adm. Soc.</t>
  </si>
  <si>
    <t>10.1177/00953997221100623</t>
  </si>
  <si>
    <t>7W0VV</t>
  </si>
  <si>
    <t>WOS:000811813900001</t>
  </si>
  <si>
    <t>Lu, XF; Yu, HJ; Shan, BAA</t>
  </si>
  <si>
    <t>Lu, Xifeng; Yu, Haijing; Shan, Biaoan</t>
  </si>
  <si>
    <t>Relationship between Employee Mental Health and Job Performance: Mediation Role of Innovative Behavior and Work Engagement</t>
  </si>
  <si>
    <t>mental health; job performance; innovative behavior; work engagement; emerging economy</t>
  </si>
  <si>
    <t>MODERATING ROLE; SATISFACTION; MOOD; EMOTIONS; IMPACT; OPPORTUNITY; COMMITMENT; LEADERSHIP; DEMANDS; MEMBERS</t>
  </si>
  <si>
    <t>The relationship between employee mental health and job performance has been one of the key concerns in workplace. However, extant studies suffer from incomplete results due to their focus on developed economies' contexts and the unclear path of employee mental health's impact on performance. In this paper, we investigate the mechanism of employee mental health influencing job performance. We use the data of Chinese firms to test these hypotheses. Drawing on a sample of 239 firms from China, we find that employee mental health positively impacts job performance, and such relationship is mediated by innovative behavior and work engagement. The findings not only enrich the discipline's knowledge on mental health in an emerging economy setting but also extend the implications of mental health, innovative behavior, and work engagement to job performance.</t>
  </si>
  <si>
    <t>[Lu, Xifeng] Jilin Univ Finance &amp; Econ, Coll Accounting, Changchun 130117, Peoples R China; [Yu, Haijing; Shan, Biaoan] Jilin Univ, Sch Business &amp; Management, Changchun 130012, Peoples R China</t>
  </si>
  <si>
    <t>Jilin University of Finance &amp; Economics; Jilin University</t>
  </si>
  <si>
    <t>Yu, HJ (corresponding author), Jilin Univ, Sch Business &amp; Management, Changchun 130012, Peoples R China.</t>
  </si>
  <si>
    <t>luxifeng621@163.com; yuhj101@163.com; shanbiaoan@jlu.edu.cn</t>
  </si>
  <si>
    <t>yu, haijing/0000-0003-3791-0887</t>
  </si>
  <si>
    <t>10.3390/ijerph19116599</t>
  </si>
  <si>
    <t>1Z7IL</t>
  </si>
  <si>
    <t>WOS:000808993300001</t>
  </si>
  <si>
    <t>Maqsoom, A; Zahoor, I; Ashraf, H; Ullah, F; Alsulami, BT; Salman, A; Alqurashi, M</t>
  </si>
  <si>
    <t>Maqsoom, Ahsen; Zahoor, Ifra; Ashraf, Hassan; Ullah, Fahim; Alsulami, Badr T.; Salman, Alaa; Alqurashi, Muwaffaq</t>
  </si>
  <si>
    <t>Nexus between Leader-Member Exchange, Paternalistic Leadership, and Creative Behavior in the Construction Industry</t>
  </si>
  <si>
    <t>construction industry; developing countries; employee creativity; leader-member exchange; paternalistic leadership</t>
  </si>
  <si>
    <t>EMPLOYEE CREATIVITY; MEDIATING ROLE; AUTHORITARIAN LEADERSHIP; PSYCHOLOGICAL EMPOWERMENT; INNOVATIVE BEHAVIOR; ETHICAL LEADERSHIP; MORAL LEADERSHIP; LMX; JOB; GENERALIZABILITY</t>
  </si>
  <si>
    <t>Effective leadership and creative performance are the predominant factors for the success of modern projects in the global construction industry. However, rigorous research has not explored the nexus between such factors and the leader-member exchange (LMX). To address this gap, this study explores the relationship between dimensions of paternalistic leadership and employee creativity achieved through LMX in the context of the construction industry. Based on social exchange theory (SET), six relevant hypotheses were proposed in this study. The data were collected through a structured questionnaire. An online survey form was used for data collection, through which 288 responses were collected from the construction industry employees working in Pakistan. The collected data were analyzed using Smart PLS in two stages, i.e., measurement model evaluation (reliability analysis, convergent and discriminant validity) and structural model evaluation (R-2, F-2, and path coefficient). The findings of the current study reveal a positive association of authoritarian, benevolent, and moral leadership with employee creativity. In addition, LMX significantly mediates the relationship between the two dimensions of paternalistic leadership (benevolent and moral leadership) and creativity, except for authoritarian leadership. Based on the results, this study contributes to the body of knowledge related to the appropriate leadership style in the local construction industry that can be extended to other developing countries with similar dynamics. It also helps the managers target and develops relevant skills to acquire positive outcomes from their team members.</t>
  </si>
  <si>
    <t>[Maqsoom, Ahsen; Ashraf, Hassan] COMSATS Univ Islamabad, Dept Civil Engn, Wah Campus, Wah Cantt 47040, Pakistan; [Zahoor, Ifra] COMSATS Univ Islamabad, Dept Management Sci, Wah Campus, Wah Cantt 47040, Pakistan; [Ullah, Fahim] Univ Southern Queensland, Sch Surveying &amp; Built Environm, Springfield Cent, Qld 4300, Australia; [Alsulami, Badr T.] Umm Al Qura Univ, Coll Engn &amp; Islamic Architecture, Dept Civil Engn, Mecca 24382, Saudi Arabia; [Salman, Alaa] Imam Abdulrahman Bin Faisal Univ, Dept Civil &amp; Construct Engn, Dammam 34212, Saudi Arabia; [Alqurashi, Muwaffaq] Taif Univ, Coll Engn, Dept Civil Engn, POB 11099, Taif 21944, Saudi Arabia</t>
  </si>
  <si>
    <t>COMSATS University Islamabad (CUI); COMSATS University Islamabad (CUI); University of Southern Queensland; Umm Al Qura University; Imam Abdulrahman Bin Faisal University; Taif University</t>
  </si>
  <si>
    <t>Maqsoom, A (corresponding author), COMSATS Univ Islamabad, Dept Civil Engn, Wah Campus, Wah Cantt 47040, Pakistan.;Alsulami, BT (corresponding author), Umm Al Qura Univ, Coll Engn &amp; Islamic Architecture, Dept Civil Engn, Mecca 24382, Saudi Arabia.</t>
  </si>
  <si>
    <t>ahsen.maqsoom@ciitwah.edu.pk; zahoor_ifra@yahoo.com; drhassanashraf@ciitwah.edu.pk; fahim.ullah@usq.edu.au; btsulami@uqu.edu.sa; akalobaidi@iau.edu.sa; m.gourashi@tu.edu.sa</t>
  </si>
  <si>
    <t>Alqurashi, Muwaffaq/GLT-9016-2022; Ullah, Fahim/A-8076-2016; Alsulami, Badr/HHS-0980-2022; Salman, Alaa/ABH-2584-2021</t>
  </si>
  <si>
    <t>Ullah, Fahim/0000-0002-6221-1175; Salman, Alaa/0000-0002-0304-2295; Alsulami, Badr/0000-0001-8682-8447; Maqsoom, Ahsen/0000-0002-3745-516X</t>
  </si>
  <si>
    <t>Umm Al-Qura University [22UQU4390001DSR02]; Taif University [TURSP 2020/324]</t>
  </si>
  <si>
    <t>Umm Al-Qura University; Taif University</t>
  </si>
  <si>
    <t>This research received the funding from Deanship of Scientific Research at Umm Al-Qura University through Grant Code: (22UQU4390001DSR02) and Taif University Researchers Project TURSP 2020/324.</t>
  </si>
  <si>
    <t>10.3390/su14127211</t>
  </si>
  <si>
    <t>2L1ZI</t>
  </si>
  <si>
    <t>WOS:000816819700001</t>
  </si>
  <si>
    <t>Wang, Y; Chin, T; Caputo, F; Liu, HF</t>
  </si>
  <si>
    <t>Wang, Yan; Chin, Tachia; Caputo, Francesco; Liu, Hanfeng</t>
  </si>
  <si>
    <t>How Supportive Leadership Promotes Employee Innovation under Uncertainty: Evidence from Chinese E-Commerce Industry</t>
  </si>
  <si>
    <t>innovation behavior; supportive leadership; career sustainability; e-commerce industry</t>
  </si>
  <si>
    <t>TRANSFORMATIONAL LEADERSHIP; ORGANIZATIONAL COMMITMENT; JOB-PERFORMANCE; BEHAVIOR; CREATIVITY; SATISFACTION; PERSPECTIVE; DEMANDS; LESSONS; HARMONY</t>
  </si>
  <si>
    <t>Innovative behavior (IB) is an important issue in academic and other sectors. The increasing uncertainty caused by COVID-19 has resulted in rising job insecurity for employees in the e-commerce industry. This has jeopardized career sustainability (CS). Numerous studies have explored the influence of supportive leadership (SL) on IB, but so far there is still a dearth of research investigating the role of CS. In addition, CS must be considered because the perceived sustainability of a career has an impact on individual innovation. Therefore, based on job demands-resources (JDR) theory, we analyzed the effects of SL on IB as well as the roles of CS in IB. The mediating role of employee's perceived occupational sustainability was explored. This study investigates the associations between supportive leadership style (job resource) and employee innovative behavior (job demand). In total, 308 valid samples were collected from China. Structural equation modeling examines the construct validity and path relationships. The results show that in China's e-commerce industry, under the uncertainty brought about by the COVID-19 pandemic, only when employees perceive CS can SL promote the transformation of job resources into workplace IB. That is, CS completely mediates SL and IB. This provides new information for the management of employee behavior in the current special period. The result revealed that SL improves IB through CS. Theoretically, this study fills the gap and establishes a theoretical framework for SL and IB. Practically, we offer guidance for enterprises and managers in that they should provide their employees with work resources which are good for employee CS so as to promote employees' IB.</t>
  </si>
  <si>
    <t>[Wang, Yan; Chin, Tachia; Liu, Hanfeng] Honghe Univ, Sch Business, Mengzi 661199, Peoples R China; [Caputo, Francesco] Univ Naples Federico II, Dept Econ Management &amp; Inst, I-80138 Naples, Italy</t>
  </si>
  <si>
    <t>Honghe University; University of Naples Federico II</t>
  </si>
  <si>
    <t>Wang, Y; Chin, T (corresponding author), Honghe Univ, Sch Business, Mengzi 661199, Peoples R China.</t>
  </si>
  <si>
    <t>wangyan2@uoh.edu.cn; tachiachin@zjut.edu.cn; francesco.caputo2@unina.it; liuhanfenguse@hotmail.com</t>
  </si>
  <si>
    <t>Chin, Tachia/0000-0001-5793-7847; Caputo, Francesco/0000-0001-9583-7222; Wang, Yan/0000-0001-7415-6364</t>
  </si>
  <si>
    <t>Scientific Research Fund of Yunnan Provincial Education [2022J0865]</t>
  </si>
  <si>
    <t>Scientific Research Fund of Yunnan Provincial Education</t>
  </si>
  <si>
    <t>This research was supported by the Scientific Research Fund of Yunnan Provincial Education (Grant No. 2022J0865).</t>
  </si>
  <si>
    <t>10.3390/su14127491</t>
  </si>
  <si>
    <t>2L1AY</t>
  </si>
  <si>
    <t>WOS:000816756300001</t>
  </si>
  <si>
    <t>Zhang, ML; Hu, EH; Lin, YM</t>
  </si>
  <si>
    <t>Zhang, Maolong; Hu, Enhua; Lin, Yanmei</t>
  </si>
  <si>
    <t>The impact of flexibility-oriented HRM systems on innovative behaviour in China: a moderated mediation model of dualistic passion and inclusive leadership</t>
  </si>
  <si>
    <t>China; flexibility-oriented HRM systems; harmonious passion; inclusive leadership; innovative behaviour; obsessive passion</t>
  </si>
  <si>
    <t>HUMAN-RESOURCE MANAGEMENT; JOB DEMANDS; HOSPITALITY INDUSTRY; WORK PASSION; PERFORMANCE; FIT</t>
  </si>
  <si>
    <t>Drawing on the job demands-resources (JD-R) model, we developed a multilevel model that links flexibility-oriented HRM systems to employees' innovative behaviour. With a sample of 85 team leaders and 766 employees in China, we found that team-level flexibility-oriented HRM systems were associated with employee innovative behaviour in two ways. On the one hand, flexibility-oriented HRM systems were positively related to harmonious passion, which in turn positively related to employees' innovative behaviour; on the other hand, flexibility-oriented HRM systems were positively associated with obsessive passion, which subsequently had a negative association with innovative behaviour. Furthermore, the indirect effect of the extent of flexibility-oriented HRM systems on innovative behaviour via obsessive passion was weaker under high inclusive leadership. Implications for research and managerial practices are discussed.</t>
  </si>
  <si>
    <t>[Zhang, Maolong; Lin, Yanmei] Nanjing Normal Univ, Business Sch, Nanjing, Peoples R China; [Hu, Enhua] Nanjing Univ Aeronaut &amp; Astronaut, Coll Econ &amp; Management, Nanjing, Peoples R China</t>
  </si>
  <si>
    <t>Nanjing Normal University; Nanjing University of Aeronautics &amp; Astronautics</t>
  </si>
  <si>
    <t>Lin, YM (corresponding author), Nanjing Normal Univ, Business Sch, Nanjing, Peoples R China.</t>
  </si>
  <si>
    <t>mymy161@163.com</t>
  </si>
  <si>
    <t>National Natural Science Foundation of China [72032002, 71772087]; Innovation Team 'Research on Chinese Employment Relationship Management' of Philosophy and Social Science Research in Colleges and Universities in Jiangsu Province of China; MOE (Ministry of Education in China) Project of Humanities and Social Sciences [20YJC630078]; Major Scientific and Technological Achievements Cultivation Fund of Nanjing University of Aeronautics and Astronautics Research on Theoretical Construction of the Enterprise-Union Coupling Relationship with Chinese characteristics [2022007]</t>
  </si>
  <si>
    <t>National Natural Science Foundation of China(National Natural Science Foundation of China (NSFC)); Innovation Team 'Research on Chinese Employment Relationship Management' of Philosophy and Social Science Research in Colleges and Universities in Jiangsu Province of China; MOE (Ministry of Education in China) Project of Humanities and Social Sciences; Major Scientific and Technological Achievements Cultivation Fund of Nanjing University of Aeronautics and Astronautics Research on Theoretical Construction of the Enterprise-Union Coupling Relationship with Chinese characteristics</t>
  </si>
  <si>
    <t>This work was supported by the National Natural Science Foundation of China, under Grant 72032002 and 71772087; the Innovation Team 'Research on Chinese Employment Relationship Management' of Philosophy and Social Science Research in Colleges and Universities in Jiangsu Province of China; the MOE (Ministry of Education in China) Project of Humanities and Social Sciences, under Grant 20YJC630078; Major Scientific and Technological Achievements Cultivation Fund of Nanjing University of Aeronautics and Astronautics Research on Theoretical Construction of the Enterprise-Union Coupling Relationship with Chinese characteristics, under Grant 2022007.</t>
  </si>
  <si>
    <t>10.1080/13602381.2022.2076446</t>
  </si>
  <si>
    <t>6Q6XR</t>
  </si>
  <si>
    <t>WOS:000798131400001</t>
  </si>
  <si>
    <t>Huo, WW; Gong, JY; Xing, L; Tam, KL; Kuai, HJ</t>
  </si>
  <si>
    <t>Huo, Weiwei; Gong, Jingya; Xing, Lu; Tam, Kwok Leung; Kuai, Hejing</t>
  </si>
  <si>
    <t>Voluntary versus involuntary telecommuting and employee innovative behaviour: a daily diary study</t>
  </si>
  <si>
    <t>Voluntary telecommuting; involuntary telecommuting; employee innovative behaviour; co-worker emotional support; organisational identification</t>
  </si>
  <si>
    <t>JOB DEMANDS; ORGANIZATIONAL IDENTIFICATION; CITIZENSHIP BEHAVIOR; WORK; CREATIVITY; RESOURCES; MODEL; EXCHANGE; BURNOUT; CONSERVATION</t>
  </si>
  <si>
    <t>During the COVID-19 crisis, telecommuting has gradually attracted the public's attention. Past studies on the subject have produced inconsistent findings, suggesting that telecommuting can lead to simultaneous benefits and drawbacks. To discuss the deeper reasons for this finding, we divided telecommuting into two types-voluntary and involuntary telecommuting. Based on the job demands-resources model, we explored the impact of voluntary-involuntary telecommuting on employee innovative behaviour through co-worker emotional support, and we examined the cross-level moderating effect of organisational identification. Using the daily diary method, we collected 455 valid observations from 65 employees for eight consecutive days. The results show that compared with involuntary telecommuting, voluntary telecommuting leads to more co-worker emotional support, in a mediating role, and employee innovative behaviour. Furthermore, a high level of organisational identification enlarges the difference in co-worker emotional support for employees voluntarily or involuntarily telecommuting. Our results uncover those differences and fill the research gap on telecommuter motivation.</t>
  </si>
  <si>
    <t>[Huo, Weiwei; Gong, Jingya; Kuai, Hejing] Shanghai Univ, SHU UTS SILC Business Sch, Shanghai, Peoples R China; [Xing, Lu] Hunan Univ, Business Sch, Lushan South Rd, Changsha 410082, Peoples R China; [Tam, Kwok Leung] Univ Sydney, Business Sch, Sydney, NSW, Australia</t>
  </si>
  <si>
    <t>Shanghai University; Hunan University; University of Sydney</t>
  </si>
  <si>
    <t>Xing, L (corresponding author), Hunan Univ, Business Sch, Lushan South Rd, Changsha 410082, Peoples R China.</t>
  </si>
  <si>
    <t>xinglu1993@163.com</t>
  </si>
  <si>
    <t>National Natural Science Foundation of China [72072110, 72072128, 72102033]; Shanghai Philosophy and Social Science Planning Project [2019BGL001]</t>
  </si>
  <si>
    <t>National Natural Science Foundation of China(National Natural Science Foundation of China (NSFC)); Shanghai Philosophy and Social Science Planning Project</t>
  </si>
  <si>
    <t>This work was supported by the National Natural Science Foundation of China [grant number 72072110; 72072128; 72102033]; the Shanghai Philosophy and Social Science Planning Project [grant number 2019BGL001]</t>
  </si>
  <si>
    <t>10.1080/09585192.2022.2078992</t>
  </si>
  <si>
    <t>1M3CX</t>
  </si>
  <si>
    <t>WOS:000799851500001</t>
  </si>
  <si>
    <t>Wille, F; Lange, F</t>
  </si>
  <si>
    <t>Wille, Farina; Lange, Florian</t>
  </si>
  <si>
    <t>Potential Contributions of Behavior Analysis to Research on Pro-environmental Behavior</t>
  </si>
  <si>
    <t>pro-environmental behavior; behavior analysis; context; consequences; intervention; measuring behavior</t>
  </si>
  <si>
    <t>TRANSDISCIPLINARY-RESEARCH; PROENVIRONMENTAL BEHAVIOR; GASOLINE CONSERVATION; CONSUMER-BEHAVIOR; INTERVENTIONS; FEEDBACK; ATTITUDE; SUSTAINABILITY; METAANALYSIS; MISCONCEPTIONS</t>
  </si>
  <si>
    <t>Large parts of contemporary research on pro-environmental behavior focus on mechanistic explanations and mental constructs. Exclusive reliance on this approach may hinder the search for novel solutions to conceptual problems, more powerful methods, and innovative behavior change interventions. Theoretical diversity, on the other hand, can render a field adaptive in its responses to crises and impasses. Against this background, we describe the complementary approach of behavior analysis and its potential contributions to problems of contemporary research on pro-environmental behavior. Behavior analysis (1) provides a consistent account of phenomena that are difficult to reconcile with the mechanistic perspective, (2) redirects the spotlight to context, (3) provides a framework and methodology for assessing behavior with actual environmental impact, and (4) could inspire the development of new intervention techniques. Based on these contributions, we conclude that behavior analysis could substantially enrich research on pro-environmental behavior.</t>
  </si>
  <si>
    <t>[Wille, Farina] Tech Univ Carolo Wilhelmina Braunschweig, Inst Psychol, Div Res Methods &amp; Biopsychol, Braunschweig, Germany; [Lange, Florian] Behav Econ &amp; Engn Grp, KU Leuven, Leuven, Belgium</t>
  </si>
  <si>
    <t>Braunschweig University of Technology; KU Leuven</t>
  </si>
  <si>
    <t>Wille, F (corresponding author), Tech Univ Carolo Wilhelmina Braunschweig, Inst Psychol, Div Res Methods &amp; Biopsychol, Braunschweig, Germany.</t>
  </si>
  <si>
    <t>farina.wille@tu-braunschweig.de</t>
  </si>
  <si>
    <t>Lange, Florian/AFK-0186-2022</t>
  </si>
  <si>
    <t>Lange, Florian/0000-0002-8336-5608</t>
  </si>
  <si>
    <t>MAY 17</t>
  </si>
  <si>
    <t>10.3389/fpsyg.2022.685621</t>
  </si>
  <si>
    <t>1T6CS</t>
  </si>
  <si>
    <t>WOS:000804815200001</t>
  </si>
  <si>
    <t>de Paula, D; Marx, C; Wolf, E; Dremel, C; Cormican, K; Uebernickel, F</t>
  </si>
  <si>
    <t>de Paula, Danielly; Marx, Carolin; Wolf, Ella; Dremel, Christian; Cormican, Kathryn; Uebernickel, Falk</t>
  </si>
  <si>
    <t>A managerial mental model to drive innovation in the context of digital transformation</t>
  </si>
  <si>
    <t>INDUSTRY AND INNOVATION</t>
  </si>
  <si>
    <t>Strategic cognition; mental models; industry 4; 0; digital transformation; design thinking</t>
  </si>
  <si>
    <t>DESIGN THINKING; COGNITIVE FRAMES; CAPABILITIES; INDUSTRY; TECHNOLOGIES; IMPACT; SMART</t>
  </si>
  <si>
    <t>Industry 4.0 is transforming how businesses innovate and, as a result, companies are spearheading the movement towards 'Digital Transformation'. While some scholars advocate the use of design thinking to identify new innovative behaviours, cognition experts emphasise the importance of top managers in supporting employees to develop these behaviours. However, there is a dearth of research in this domain and companies are struggling to implement the required behaviours. To address this gap, this study aims to identify and prioritise behavioural strategies conducive to design thinking to inform the creation of a managerial mental model. We identify 20 behavioural strategies from 45 interviewees with practitioners and educators and combine them with the concepts of 'paradigm-mindset-mental model' from cognition theory. The paper contributes to the body of knowledge by identifying and prioritising specific behavioural strategies to form a novel set of survival conditions aligned to the new industrial paradigm of Industry 4.0.</t>
  </si>
  <si>
    <t>[de Paula, Danielly; Marx, Carolin; Uebernickel, Falk] Hasso Plattner Inst, Chair Design Thinking &amp; Innovat Res, Potsdam, Germany; [Dremel, Christian] Norwegian Univ Sci &amp; Technol, Dept Comp Sci, Trondheim, Norway; [Cormican, Kathryn] Natl Univ Ireland, Coll Engn &amp; Informat, Galway, Ireland</t>
  </si>
  <si>
    <t>University of Potsdam; Norwegian University of Science &amp; Technology (NTNU); Ollscoil na Gaillimhe-University of Galway</t>
  </si>
  <si>
    <t>de Paula, D (corresponding author), Hasso Plattner Inst Digital Engn gGmbH, August Bebel Str 88, D-14482 Potsdam, Germany.</t>
  </si>
  <si>
    <t>danielly.depaula@hpi.de</t>
  </si>
  <si>
    <t>Cormican, Kathryn/0000-0003-1688-1087; Marx, Carolin/0000-0003-3770-5429; Uebernickel, Falk/0000-0002-7078-8513</t>
  </si>
  <si>
    <t>Hasso Plattner Design Thinking Research Program (HPDTRP); ERCIM 'Alain Bensoussan' Fellowship</t>
  </si>
  <si>
    <t>The research for this project was supported by the Hasso Plattner Design Thinking Research Program (HPDTRP) and by the ERCIM 'Alain Bensoussan' Fellowship. We also would like to thank Vanessa Ladino for her contribution to the design of the graphic.</t>
  </si>
  <si>
    <t>1366-2716</t>
  </si>
  <si>
    <t>1469-8390</t>
  </si>
  <si>
    <t>IND INNOV</t>
  </si>
  <si>
    <t>Ind. Innov.</t>
  </si>
  <si>
    <t>10.1080/13662716.2022.2072711</t>
  </si>
  <si>
    <t>8G3NP</t>
  </si>
  <si>
    <t>WOS:000791894500001</t>
  </si>
  <si>
    <t>Hunsaker, WD; Ding, WJ</t>
  </si>
  <si>
    <t>Hunsaker, William D.; Ding, Wenjing</t>
  </si>
  <si>
    <t>Workplace spirituality and innovative work behavior: the role of employee flourishing and workplace satisfaction</t>
  </si>
  <si>
    <t>Innovative work behaviour; Workplace spirituality; Employee well-being; Workplace satisfaction; Employee flourishing</t>
  </si>
  <si>
    <t>JOB DEMANDS; RESOURCES; CREATIVITY; LEADERSHIP; OUTCOMES; MODEL; ORGANIZATIONS; ENGAGEMENT; SCIENCE; CULTURE</t>
  </si>
  <si>
    <t>Purpose The purpose of this study is to explore the role of employee flourishing as a mechanism to explain the relationship between workplace spirituality and employees' innovative work behavior (IWB). Furthermore, this study investigates how the relationship between workplace spirituality and innovative behavior is moderated by employees' perceived workplace satisfaction. Design/methodology/approach Based on structural equation modeling and hierarchical regression analysis, we conducted a cross-sectional survey of 236 millennial workers in China's service and manufacturing industries. Findings The research findings confirmed that workplace spirituality positively predicted the innovative behavior of employees; furthermore, employee flourishing and workplace satisfaction mediated and moderated the relationship between workplace spirituality and employee innovation, respectively. Practical implications This study's findings suggest that workplace spirituality unlocks employees' innovative behavior through a heightened sense of flourishing and enhanced sense of workplace satisfaction. Organizations are advised to foster a climate conducive of workplace spirituality by developing mutually aligned values. Moreover, organizations are advised to train leaders on workplace spirituality dimensions and foster workplace practices that facilitate self-reflection, job crafting and team building, as a means of broadening employees' emotional states and workplace satisfaction. Originality/value Few studies have examined the mechanisms that shape employees' innovative behavior through workplace spirituality. This study fills several research gaps by extending the theoretical implications of workplace spirituality and employee flourishing, as demonstrated by the multi-faceted role these variables play in motivating employees' innovative behavior among Chinese millennials. Additionally, this study demonstrates that higher levels of workplace satisfaction contribute to higher levels of innovative behavior.</t>
  </si>
  <si>
    <t>[Hunsaker, William D.] Kyungpook Natl Univ, Coll Business, Daegu, South Korea; [Ding, Wenjing] Kyungpook Natl Univ, Daegu, South Korea</t>
  </si>
  <si>
    <t>Kyungpook National University; Kyungpook National University</t>
  </si>
  <si>
    <t>Hunsaker, WD (corresponding author), Kyungpook Natl Univ, Coll Business, Daegu, South Korea.</t>
  </si>
  <si>
    <t>Hunsaker, William/0000-0002-6744-1770</t>
  </si>
  <si>
    <t>SEP 23</t>
  </si>
  <si>
    <t>10.1108/ER-01-2021-0032</t>
  </si>
  <si>
    <t>4Q3SI</t>
  </si>
  <si>
    <t>WOS:000791138800001</t>
  </si>
  <si>
    <t>Hoang, G; Luu, TT; Du, T; Nguyen, TT</t>
  </si>
  <si>
    <t>Hoang, Giang; Luu, Tuan Trong; Tuan Du; Thuy Thu Nguyen</t>
  </si>
  <si>
    <t>Can both entrepreneurial and ethical leadership shape employees' service innovative behavior?</t>
  </si>
  <si>
    <t>JOURNAL OF SERVICES MARKETING</t>
  </si>
  <si>
    <t>Service innovation; SMEs; Employee; Hospitality; Entrepreneurial leadership; Ethical leadership; Service innovative behavior; Intrinsic motivation; Trust in leader</t>
  </si>
  <si>
    <t>WORK BEHAVIOR; TRANSFORMATIONAL LEADERSHIP; EMPOWERING LEADERSHIP; INTRINSIC MOTIVATION; MODERATING ROLE; MEDIATING ROLE; CREATIVITY; TRUST; PERFORMANCE; IMPACT</t>
  </si>
  <si>
    <t>Purpose Employee's service innovative behavior lays the groundwork for bottom-up innovation and ongoing service improvement in service firms. Therefore, it is vital for service organizations to understand the antecedents of employees service innovative behavior. Drawing upon the social cognitive theory, this study aims to develop a research model that examines the effects of ethical and entrepreneurial leadership on service innovative behavior. Design/methodology/approach Data were collected from 178 managers and 415 employees working in 178 small- and medium-sized (SME) hotels in Vietnam. Findings The findings showed that ethical leadership has direct and indirect effects on service innovative behavior, while entrepreneurial leadership only influences service innovative behavior via intrinsic motivation. In addition, trust in leader moderates the effect of intrinsic motivation on service innovative behavior Research limitations/implications The study advances current scholarly research on leadership by combining the two areas of entrepreneurial and ethical leadership into one theoretical model and examines how these leadership styles generate hospitality employees' service innovative behavior through the mediating effect of intrinsic motivation and the moderating effect of trust in leader. Practical implications The findings of this research offer significant implications for SME hotels and their managers. In their recruitment processes, hotels should search for particular personality traits, which have been found to predict ethical and entrepreneurial leadership. Hospitality firms also need to encourage communication between leaders and co-workers to enhance employees' intrinsic motivation. Originality/value There are calls for research to examine whether both entrepreneurial and ethical leadership styles can be integrated to enhance employees' positive outcomes. Evidence about the mechanism linking entrepreneurial and ethical leadership to service innovative behavior is limited. With this stated, the current study makes significant contribution to leadership and innovation literature by filling in these voids.</t>
  </si>
  <si>
    <t>[Hoang, Giang] RMIT Univ, Sch Business &amp; Management, Hochiminh City, Vietnam; [Hoang, Giang] Victoria Univ, Victoria Univ Business Sch, Melbourne, Vic, Australia; [Luu, Tuan Trong] Swinburne Univ Technol, Swinbume Business Sch, Melbourne, Vic, Australia; [Tuan Du] KPMG Vietnam, Global Strategy Grp, Hochiminh City, Vietnam; [Thuy Thu Nguyen] Foreign Trade Univ, Fac Business Adm, Hanoi, Vietnam; [Thuy Thu Nguyen] Vietnam Minist Educ &amp; Training, Dept Higher Educ, Hanoi, Vietnam</t>
  </si>
  <si>
    <t>Royal Melbourne Institute of Technology (RMIT); Victoria University; Swinburne University of Technology; Foreign Trade University FTU</t>
  </si>
  <si>
    <t>Hoang, G (corresponding author), RMIT Univ, Sch Business &amp; Management, Hochiminh City, Vietnam.;Hoang, G (corresponding author), Victoria Univ, Victoria Univ Business Sch, Melbourne, Vic, Australia.;Nguyen, TT (corresponding author), Foreign Trade Univ, Fac Business Adm, Hanoi, Vietnam.;Nguyen, TT (corresponding author), Vietnam Minist Educ &amp; Training, Dept Higher Educ, Hanoi, Vietnam.</t>
  </si>
  <si>
    <t>giang.hoang@vu.edu.au; ntthuy@moet.gov.vn</t>
  </si>
  <si>
    <t>Hoang, Giang/0000-0003-4830-1569</t>
  </si>
  <si>
    <t>This research is funded by Vietnam National Foundation for Science and Technology Development (NAFOSTED) under grant number 502.02-2020.328. The authors would like to thank the editors and the anonymous reviewers for their valuable and constructive comments. The authors also thank Dr Lan Le and Mr Lam Hoang for their assistance during data collection. Funding: This research is funded by Vietnam National Foundation for Science and Technology Development (NAFOSTED) under grant number 502.02-2020.328.</t>
  </si>
  <si>
    <t>0887-6045</t>
  </si>
  <si>
    <t>J SERV MARK</t>
  </si>
  <si>
    <t>J. Serv. Mark.</t>
  </si>
  <si>
    <t>10.1108/JSM-07-2021-0276</t>
  </si>
  <si>
    <t>D4DF4</t>
  </si>
  <si>
    <t>WOS:000782616300001</t>
  </si>
  <si>
    <t>Jiatong, W; Wang, Z; Alam, M; Murad, M; Gul, F; Gill, SA</t>
  </si>
  <si>
    <t>Jiatong, Wang; Wang, Zheng; Alam, Mehboob; Murad, Majid; Gul, Fozia; Gill, Shabeeb Ahmad</t>
  </si>
  <si>
    <t>The Impact of Transformational Leadership on Affective Organizational Commitment and Job Performance: The Mediating Role of Employee Engagement</t>
  </si>
  <si>
    <t>transformational leadership; employee engagement; affective organizational commitment; job performance; hospitality sector; China</t>
  </si>
  <si>
    <t>MODELING PLS-SEM; TRANSACTIONAL LEADERSHIP; INNOVATIVE BEHAVIOR; ETHICAL LEADERSHIP; TURNOVER INTENTION; MODERATING ROLE; SATISFACTION; SUPPORT; TRUST; WORK</t>
  </si>
  <si>
    <t>This study investigated the impact of transformational leadership on affective organizational commitment and job performance with the mediating role of employee engagement. This study gathered data from 845 hotel employees in China and the structural equation modeling technique was used to verify the results. The findings indicated that transformational leadership has a positive effect on affective organizational commitment and job performance. Meanwhile, results showed that employee engagement partially mediates in the relationship between transformational leadership, affective organizational commitment, and job performance. This study contributes to the research on transformational leadership in the Chinese hospitality sector and analyzes its effects on work performance metrics. Furthermore, theoretical and practical implications were also discussed in this article.</t>
  </si>
  <si>
    <t>[Jiatong, Wang] Zhejiang Normal Univ, Coll Teacher Educ, Jinhua, Peoples R China; [Wang, Zheng] China Univ Polit Sci &amp; Law, Beijing, Peoples R China; [Alam, Mehboob] Women Univ, Treasurer Off, Lahore Coll, Lahore, Pakistan; [Murad, Majid] Jiangsu Univ, Sch Management, Zhenjiang, Peoples R China; [Gul, Fozia] Inst Management Sci, PAK AIMS, Lahore, Pakistan; [Gill, Shabeeb Ahmad] Govt Coll Univ, Lyallpur Business Sch, Faisalabad, Pakistan</t>
  </si>
  <si>
    <t>Zhejiang Normal University; China University of Political Science &amp; Law; Jiangsu University; Government College University Faisalabad</t>
  </si>
  <si>
    <t>Wang, Z (corresponding author), China Univ Polit Sci &amp; Law, Beijing, Peoples R China.</t>
  </si>
  <si>
    <t>zhengwang@cupl.edu.cn</t>
  </si>
  <si>
    <t>Wang, Zheng/GXF-1283-2022; Alam, Mehboob/HHM-8104-2022; Murad, Dr-Majid/V-5842-2017</t>
  </si>
  <si>
    <t>Wang, Zheng/0000-0002-1285-9803; Alam, Mehboob/0000-0003-0014-930X; Murad, Dr-Majid/0000-0003-1465-6724</t>
  </si>
  <si>
    <t>Major Planning Program of the National Social Science Foundation [21ZDA019]; Beijing Universities Collaborative Innovation Centre of Socialist Theory with Chinese Characteristics Research (The China University of Political Science and Law)</t>
  </si>
  <si>
    <t>Major Planning Program of the National Social Science Foundation; Beijing Universities Collaborative Innovation Centre of Socialist Theory with Chinese Characteristics Research (The China University of Political Science and Law)</t>
  </si>
  <si>
    <t>This study was supported by the Major Planning Program of the National Social Science Foundation (Grant No. 21ZDA019) and the Beijing Universities Collaborative Innovation Centre of Socialist Theory with Chinese Characteristics Research (The China University of Political Science and Law).</t>
  </si>
  <si>
    <t>10.3389/fpsyg.2022.831060</t>
  </si>
  <si>
    <t>1A8OG</t>
  </si>
  <si>
    <t>WOS:000792008300001</t>
  </si>
  <si>
    <t>Wang, PC; Qin, CY; Liu, SS</t>
  </si>
  <si>
    <t>Wang, Pengcheng; Qin, Chuanyan; Liu, Shanshi</t>
  </si>
  <si>
    <t>Relative deprivation, perceived status conflict and innovative behavior of outsourced employees: multiple moderating effects of dual organizational support</t>
  </si>
  <si>
    <t>Outsourced employees; Relative deprivation; Perceived status conflict; Innovative behavior; Dual organizational support</t>
  </si>
  <si>
    <t>CONTRACT WORKERS; EMOTIONAL INTELLIGENCE; COMMITMENT; OVERQUALIFICATION; IDENTIFICATION; PERFORMANCE; OUTCOMES; TRUST</t>
  </si>
  <si>
    <t>Purpose How to manage outsourced employees in interorganizational teams with triangular relationships has not yet attracted enough attention. Based on relative deprivation theory, this study explores how relative deprivation affects outsourced employees' innovative behavior and investigates the complex moderating effects of dual organizational support. Design/methodology/approach The authors tested their hypothesis by conducting a two-wave survey; responses to a questionnaire were collected from 283 outsourced employees and their managers among 52 client organizations. Findings Results found that relative deprivation negatively influences the outsourced employees' innovative behavior by eliciting their perceptions of status conflict. Support from client (supplier) organization attenuates (aggravates) the positive impact of relative deprivation on innovative behavior throughout status conflict. The moderating effect of client organizational support was moderated by support from supplier organization. Research limitations/implications The authors selected the outsourced employees in a Chinese context to conduct this study, and the results need to be generalized in future research. Practical implications Client organizational support can alleviate the negative effect of relative deprivation on outsourced employees, whereas supplier organization support aggravates the negative effect; managers should pay attention to the different effects of the two organizations' support and provide reasonable support for outsourced employees. Originality/value This study identified the mechanism of relative deprivation's effect on outsourced employees' innovative behavior from the perspective of interpersonal interaction and compared the effect of support from dual organizations. This study expands the research on triangular relationships, relative deprivation, status conflict and other field.</t>
  </si>
  <si>
    <t>[Wang, Pengcheng; Qin, Chuanyan; Liu, Shanshi] South China Univ Technol, Sch Business Adm, Guangzhou, Peoples R China</t>
  </si>
  <si>
    <t>South China University of Technology</t>
  </si>
  <si>
    <t>Qin, CY (corresponding author), South China Univ Technol, Sch Business Adm, Guangzhou, Peoples R China.</t>
  </si>
  <si>
    <t>qin_1994@126.com</t>
  </si>
  <si>
    <t>Pengcheng, WANG/0000-0002-4704-2465</t>
  </si>
  <si>
    <t>National Natural Science Foundation of China [71832003]; National Natural Science Foundation of Youth [71902037, 72002072]; Humanities and Social Sciences Youth Project of the Ministry of Education [19YJC630106]</t>
  </si>
  <si>
    <t>National Natural Science Foundation of China(National Natural Science Foundation of China (NSFC)); National Natural Science Foundation of Youth; Humanities and Social Sciences Youth Project of the Ministry of Education</t>
  </si>
  <si>
    <t>This research project is supported by National Natural Science Foundation of China [71832003]; National Natural Science Foundation of Youth [71902037, 72002072]; the Humanities and Social Sciences Youth Project of the Ministry of Education [19YJC630106].The authors thank the editor, Professor Eddy Ng and anonymous reviewers for their valuable and helpful comments and suggestions on the revision of the manuscript.</t>
  </si>
  <si>
    <t>10.1108/PR-04-2021-0280</t>
  </si>
  <si>
    <t>0E1KJ</t>
  </si>
  <si>
    <t>WOS:000776442500001</t>
  </si>
  <si>
    <t>Wang, Y; Zhang, Y; Xu, FZ</t>
  </si>
  <si>
    <t>Wang, Ying; Zhang, Yun; Xu, Feng Zeng</t>
  </si>
  <si>
    <t>How does customer cooperation affect employees' prosocial service behavior in upscale Chinese hotels? An affective social exchange perspective</t>
  </si>
  <si>
    <t>Customer cooperation; Positive affect; Employees' prosocial service behavior; Job autonomy; Upscale hotels; China</t>
  </si>
  <si>
    <t>INNOVATIVE BEHAVIOR; POSITIVE AFFECT; MODERATING ROLE; WORK; PARTICIPATION; PERFORMANCE; IMPACT; SATISFACTION; ENGAGEMENT; MOTIVATION</t>
  </si>
  <si>
    <t>Purpose Guided by the affect theory of social exchange, this study aims to examine the affective process underlying the impact of customer cooperation on hotel frontline employees' prosocial service behavior. Job autonomy was tested as a boundary condition. Design/methodology/approach A mix-mode quantitative survey collected data from 818 frontline employees in 14 upscale hotels across China. Data were analyzed using structural equation modeling to test the research hypotheses. Findings Results suggest that customer cooperation influences employees' prosocial service behavior directly and indirectly via employees' positive affect. Contrary to expectations, job autonomy weakened the relationships among customer cooperation, positive affect and employees' extra-role customer service but did not moderate the impacts of customer cooperation and positive affect on employees' role-prescribed customer service. Originality/value As an initial attempt to investigate the effects of customer cooperation on two types of frontline employees' prosocial behavior, this study broadens the application of the affect theory of social exchange and contributes to an understanding of the theory's boundary conditions by testing a framework under the contextual condition of job autonomy.</t>
  </si>
  <si>
    <t>[Wang, Ying] Griffith Univ, Dept Tourism Sport &amp; Hotel Management, Brisbane, Qld, Australia; [Zhang, Yun; Xu, Feng Zeng] Shandong Univ, Sch Management, Jinan, Peoples R China; [Zhang, Yun; Xu, Feng Zeng] Shandong Univ, Ctr Serv Strategy &amp; Serv Management, Jinan, Peoples R China</t>
  </si>
  <si>
    <t>Griffith University; Shandong University; Shandong University</t>
  </si>
  <si>
    <t>Xu, FZ (corresponding author), Shandong Univ, Sch Management, Jinan, Peoples R China.;Xu, FZ (corresponding author), Shandong Univ, Ctr Serv Strategy &amp; Serv Management, Jinan, Peoples R China.</t>
  </si>
  <si>
    <t>ying.wang@griffith.edu.au; zhangyun8696@163.com; xfz@sdu.edu.cn</t>
  </si>
  <si>
    <t>Wang, Ying/0000-0003-3020-5317; Zhang, Yun/0000-0003-1686-2812</t>
  </si>
  <si>
    <t>The authors would like to acknowledge the financial support of the Shandong Natural Science Foundation of China (ZR2019MG014).</t>
  </si>
  <si>
    <t>MAY 19</t>
  </si>
  <si>
    <t>10.1108/IJCHM-09-2021-1123</t>
  </si>
  <si>
    <t>1J0CN</t>
  </si>
  <si>
    <t>WOS:000776652600001</t>
  </si>
  <si>
    <t>Bracht, EM; Monzani, L; Boer, D; Haslam, SA; Kerschreiter, R; Lemoine, JE; Steffens, NK; Akfirat, SA; Avanzi, L; Barghi, B; Dumont, K; Edelmann, CM; Epitropaki, O; Fransen, K; Giessner, S; Gleibs, IH; Gonzalez, R; Gonzalez, AL; Lipponen, J; Markovits, Y; Molero, F; Moriano, JA; Neves, P; Orosz, G; Roland-Levy, C; Schuh, SC; Sekiguchi, T; Song, LJ; Story, JSP; Stouten, J; Tatachari, S; Valdenegro, D; van Bunderen, L; Voros, V; Wong, SI; Youssef, F; Zhang, XA; van Dick, R</t>
  </si>
  <si>
    <t>Bracht, Eva M.; Monzani, Lucas; Boer, Diana; Haslam, S. Alexander; Kerschreiter, Rudolf; Lemoine, Jeremy E.; Steffens, Niklas K.; Akfirat, Serap Arslan; Avanzi, Lorenzo; Barghi, Bita; Dumont, Kitty; Edelmann, Charlotte M.; Epitropaki, Olga; Fransen, Katrien; Giessner, Steffen; Gleibs, Ilka H.; Gonzalez, Roberto; Gonzalez, Ana Laguia; Lipponen, Jukka; Markovits, Yannis; Molero, Fernando; Moriano, Juan A.; Neves, Pedro; Orosz, Gabor; Roland-Levy, Christine; Schuh, Sebastian C.; Sekiguchi, Tomoki; Song, Lynda Jiwen; Story, Joana S. P.; Stouten, Jeroen; Tatachari, Srinivasan; Valdenegro, Daniel; van Bunderen, Lisanne; Voros, Viktor; Wong, Sut, I; Youssef, Farida; Zhang, Xin-an; van Dick, Rolf</t>
  </si>
  <si>
    <t>Innovation across cultures: Connecting leadership, identification, and creative behavior in organizations</t>
  </si>
  <si>
    <t>APPLIED PSYCHOLOGY-AN INTERNATIONAL REVIEW-PSYCHOLOGIE APPLIQUEE-REVUE INTERNATIONALE</t>
  </si>
  <si>
    <t>cross-cultural leadership; innovative behavior; multilevel modeling; positive leadership; social identification</t>
  </si>
  <si>
    <t>TRANSFORMATIONAL LEADERSHIP; MEMBER EXCHANGE; AUTHENTIC LEADERSHIP; SOCIAL IDENTIFICATION; EMPLOYEE CREATIVITY; MEDIATING ROLE; IDENTITY; WORK; MULTILEVEL; ORIENTATION</t>
  </si>
  <si>
    <t>Innovation is considered essential for today's organizations to survive and thrive. Researchers have also stressed the importance of leadership as a driver of followers' innovative work behavior (FIB). Yet, despite a large amount of research, three areas remain understudied: (a) The relative importance of different forms of leadership for FIB; (b) the mechanisms through which leadership impacts FIB; and (c) the degree to which relationships between leadership and FIB are generalizable across cultures. To address these lacunae, we propose an integrated model connecting four types of positive leadership behaviors, two types of identification (as mediating variables), and FIB. We tested our model in a global data set comprising responses of N = 7,225 participants from 23 countries, grouped into nine cultural clusters. Our results indicate that perceived LMX quality was the strongest relative predictor of FIB. Furthermore, the relationships between both perceived LMX quality and identity leadership with FIB were mediated by social identification. The indirect effect of LMX on FIB via social identification was stable across clusters, whereas the indirect effects of the other forms of leadership on FIB via social identification were stronger in countries high versus low on collectivism. Power distance did not influence the relations.</t>
  </si>
  <si>
    <t>[Bracht, Eva M.; van Dick, Rolf] Goethe Univ Frankfurt, Dept Social Psychol, Theodor W Adorno Pl 6, D-60323 Frankfurt, Germany; [Monzani, Lucas] Ivey Business Sch, London, ON, Canada; [Boer, Diana] Univ Koblenz Landau, Landau, Germany; [Haslam, S. Alexander; Steffens, Niklas K.] Univ Queensland, Brisbane, Qld, Australia; [Kerschreiter, Rudolf] Free Univ Berlin, Berlin, Germany; [Lemoine, Jeremy E.] Univ East London, London, England; [Lemoine, Jeremy E.] ESCP Business Sch, London, England; [Akfirat, Serap Arslan] Dokuz Eylul Univ, Izmir, Turkey; [Avanzi, Lorenzo] Trento Univ, Trento, Italy; [Barghi, Bita; Gleibs, Ilka H.] Univ Exeter, Exeter, Devon, England; [Dumont, Kitty] Univ South Africa, Johannesburg, South Africa; [Edelmann, Charlotte M.; Fransen, Katrien; Stouten, Jeroen] Katholieke Univ Leuven, Leuven, Belgium; [Epitropaki, Olga] Univ Durham, Durham, England; [Giessner, Steffen] Erasmus Univ, Rotterdam, Netherlands; [Gonzalez, Roberto; Valdenegro, Daniel] Pontificia Univ Catolica Chile, Santiago, Chile; [Gonzalez, Ana Laguia; Molero, Fernando; Moriano, Juan A.] Univ Nacl Educ Distancia, Madrid, Spain; [Lipponen, Jukka] Univ Helsinki, Helsinki, Finland; [Markovits, Yannis] Independent Author Publ Revenue, Thessaloniki, Greece; [Neves, Pedro] Nova Sch Business &amp; Econ, Lisbon, Portugal; [Orosz, Gabor] Univ Artois, Lievin, France; [Roland-Levy, Christine] Univ Reims, Reims, France; [Schuh, Sebastian C.] China Europe Int Business Sch CEIBS, Shanghai, Peoples R China; [Sekiguchi, Tomoki] Kyoto Univ, Kyoto, Japan; [Song, Lynda Jiwen] Univ Leeds, Leeds Univ Business Sch, Leeds, W Yorkshire, England; [Story, Joana S. P.] Sao Paulo Sch Business Adm, Sao Paulo, Brazil; [Tatachari, Srinivasan] Manipal Acad Higher Educ, TA Pai Management Inst, Manipal, Karnataka, India; [van Bunderen, Lisanne] Univ Amsterdam, Amsterdam, Netherlands; [Voros, Viktor] Eotvos Lorand Univ, Budapest, Hungary; [Wong, Sut, I] BI Norwegian Business Sch, Oslo, Norway; [Youssef, Farida] Amer Univ Cairo, Cairo, Egypt; [Zhang, Xin-an] Jiao Tong Univ, Shanghai, Peoples R China</t>
  </si>
  <si>
    <t>Goethe University Frankfurt; Western University (University of Western Ontario); University of Koblenz &amp; Landau; University of Queensland; Free University of Berlin; University of East London; heSam Universite; ESCP Business School; Dokuz Eylul University; University of Trento; RLUK- Research Libraries UK; University of Exeter; University of South Africa; KU Leuven; N8 Research Partnership; RLUK- Research Libraries UK; Durham University; Erasmus University Rotterdam; Erasmus University Rotterdam - Excl Erasmus MC; Pontificia Universidad Catolica de Chile; Universidad Nacional de Educacion a Distancia (UNED); University of Helsinki; Universidade Nova de Lisboa; Universite d'Artois; Universite de Reims Champagne-Ardenne; China Europe International Business School; Kyoto University; N8 Research Partnership; RLUK- Research Libraries UK; White Rose University Consortium; University of Leeds; Manipal Academy of Higher Education (MAHE); University of Amsterdam; Eotvos Lorand University; BI Norwegian Business School; Egyptian Knowledge Bank (EKB); American University Cairo; Shanghai Jiao Tong University</t>
  </si>
  <si>
    <t>van Dick, R (corresponding author), Goethe Univ Frankfurt, Dept Social Psychol, Theodor W Adorno Pl 6, D-60323 Frankfurt, Germany.</t>
  </si>
  <si>
    <t>van.dick@psych.uni-frankfurt.de</t>
  </si>
  <si>
    <t>Tatachari, Srinivasan/G-9206-2016; Lipponen, Jukka MT/G-2714-2012; Akfirat, Serap/A-5048-2019; Zhang, Xin-an/HHS-9237-2022; Steffens, Niklas K/D-3609-2016; Story, Joana/M-8626-2013; Giessner, Steffen/B-3694-2008</t>
  </si>
  <si>
    <t>Tatachari, Srinivasan/0000-0003-1838-2361; Steffens, Niklas K/0000-0002-3990-2592; Story, Joana/0000-0003-1529-8172; Giessner, Steffen/0000-0002-8035-5092; Song, Lynda Jiwen/0000-0002-0969-4091; Monzani, Lucas/0000-0002-3375-068X; Avanzi, Lorenzo/0000-0002-3892-1142</t>
  </si>
  <si>
    <t>Interdisciplinary Center for Social Conflict and Cohesion Studies (COES) (ANID/FONDAP) [15130009]; Center for Intercultural and Indigenous Research (CIIR) (ANID/FONDAP) [15110006]; Fondecyt [1161371]; Projekt DEAL</t>
  </si>
  <si>
    <t>Interdisciplinary Center for Social Conflict and Cohesion Studies (COES) (ANID/FONDAP); Center for Intercultural and Indigenous Research (CIIR) (ANID/FONDAP); Fondecyt(Comision Nacional de Investigacion Cientifica y Tecnologica (CONICYT)CONICYT FONDECYT); Projekt DEAL</t>
  </si>
  <si>
    <t>We are grateful to Kim von der Wehl, Christopher Lark, Charlotte Rabener, Leon Hoche, and Berrit Cordes for their help in setting up and monitoring the online surveys and Julia Heimrich for her support with data checks. Roberto Gonz~alez was supported by the Interdisciplinary Center for Social Conflict and Cohesion Studies (COES) (ANID/FONDAP #15130009) and the Center for Intercultural and Indigenous Research (CIIR) (ANID/FONDAP #15110006) and Fondecyt (1161371). Open Access funding enabled and organized by Projekt DEAL.</t>
  </si>
  <si>
    <t>0269-994X</t>
  </si>
  <si>
    <t>1464-0597</t>
  </si>
  <si>
    <t>APPL PSYCHOL-INT REV</t>
  </si>
  <si>
    <t>Appl. Psychol.-Int. Rev.-Psychol. Appl.-Rev. Int.</t>
  </si>
  <si>
    <t>10.1111/apps.12381</t>
  </si>
  <si>
    <t>8R4UZ</t>
  </si>
  <si>
    <t>Green Published, hybrid, Green Accepted, Green Submitted</t>
  </si>
  <si>
    <t>WOS:000772204600001</t>
  </si>
  <si>
    <t>Lei, F; Lei, L</t>
  </si>
  <si>
    <t>Lei, Fei; Lei, Lin</t>
  </si>
  <si>
    <t>How Does the Optimism of Students Learning a Foreign Language Affect Their Creative Self-Efficacy? The Mediating Effects of Hope and Empathy</t>
  </si>
  <si>
    <t>optimism; hope; empathy; creative self-efficacy; creativity; foreign-language learners; positive psychology</t>
  </si>
  <si>
    <t>POSITIVE PSYCHOLOGY; POTENTIAL ANTECEDENTS; INNOVATIVE BEHAVIOR; SOCIAL SUPPORT; EMOTIONS; PERSONALITY; VALIDATION; ENJOYMENT; IMPACT; ACHIEVEMENT</t>
  </si>
  <si>
    <t>Creative self-efficacy (CSE) is a core influencer of creative behavior and has a positive impact on well-being and development. However, the positive psychological processes that help to promote CSE in foreign-language learning (FLL) remain under-studied. Focusing specifically on FLL students, the present study examined the associations among optimism, hope, empathy, and CSE and investigated the possible mediating roles of hope and empathy in the relationship between optimism and CSE. A sample of 330 FLL students from two Chinese universities participated in this study. The results showed that (i) optimism, hope, and empathy were all positively related to CSE and that (ii) optimism did not directly predict CSE but indirectly and positively predicted CSE through hope and empathy. These findings suggest that optimism, empathy, and hope potentially play positive roles in facilitating CSE in FLL students. Based on the present results, some practical approaches are discussed that could help improve the CSE of FLL students, paying particular attention to the effects that potentially motivate their positivity.</t>
  </si>
  <si>
    <t>[Lei, Fei] South China Normal Univ, Sch Foreign Studies, Guangzhou, Peoples R China; [Lei, Fei] South China Normal Univ, Ctr Language Cognit &amp; Assessment, Guangzhou, Peoples R China; [Lei, Lin] Guangdong Univ Technol, Sch Management, Guangzhou, Peoples R China</t>
  </si>
  <si>
    <t>South China Normal University; South China Normal University; Guangdong University of Technology</t>
  </si>
  <si>
    <t>Lei, L (corresponding author), Guangdong Univ Technol, Sch Management, Guangzhou, Peoples R China.</t>
  </si>
  <si>
    <t>leilin@gdut.edu.cn</t>
  </si>
  <si>
    <t>lei, lei/HLG-2913-2023</t>
  </si>
  <si>
    <t>10.3389/fpsyg.2022.831593</t>
  </si>
  <si>
    <t>0G0OD</t>
  </si>
  <si>
    <t>WOS:000777753000001</t>
  </si>
  <si>
    <t>Ruan, RB; Chen, W; Zhu, ZP</t>
  </si>
  <si>
    <t>Ruan Rongbin; Chen Wan; Zhu Zuping</t>
  </si>
  <si>
    <t>Research on the relationship between environmental corporate social responsibility and green innovative behavior: the moderating effect of moral identity</t>
  </si>
  <si>
    <t>ENVIRONMENTAL SCIENCE AND POLLUTION RESEARCH</t>
  </si>
  <si>
    <t>Environmental corporate social responsibility; Perceived meaningfulness at work; Green innovative behavior; Moral identity; Sustainable development; Sustainability</t>
  </si>
  <si>
    <t>ORGANIZATIONAL CITIZENSHIP BEHAVIOR; TRANSFORMATIONAL LEADERSHIP; FINANCIAL PERFORMANCE; JOB-PERFORMANCE; MEANINGFUL WORK; PERCEPTIONS; ENGAGEMENT; SATISFACTION; MEDIATION; CLIMATE</t>
  </si>
  <si>
    <t>There are extensive studies of environmental corporate social responsibility at the macro level. However, the study of the impact of environmental corporate social responsibility on employees' work-related outcomes is inchoate. Drawing on social identity theory and signaling theory, this paper investigates the impact of environmental corporate social responsibility on employees' green innovative behaviors. The mediating role of perceived meaningfulness at work and the moderating role of moral identity are also investigated. Data were collected via a time-lagged and multisource survey. The study analyzed the responses of 271 employees of Chinese enterprises. Hypotheses were examined using hierarchical regression analysis and bootstrapping. The results indicated environmental corporate social responsibility to be positively related to employees' green innovative behaviors. Perceived meaningfulness at work mediates the link between environmental corporate social responsibility and employees' green innovative behaviors. Moreover, moral identity moderates the relationship between environmental corporate social responsibility and perceived meaningfulness at work. The indirect effect of environmental corporate social responsibility on employees' green innovative behaviors via perceived meaningfulness at work is also moderated by moral identity. Theoretical contributions and practical implications of the study are discussed.</t>
  </si>
  <si>
    <t>[Ruan Rongbin; Chen Wan; Zhu Zuping] Fuzhou Univ, Sch Econ &amp; Management, Fuzhou, Fujian, Peoples R China</t>
  </si>
  <si>
    <t>Ruan, RB (corresponding author), Fuzhou Univ, Sch Econ &amp; Management, Fuzhou, Fujian, Peoples R China.</t>
  </si>
  <si>
    <t>957639312@qq.com; chenwan@fzu.edu.cn; 843516904@qq.com</t>
  </si>
  <si>
    <t>National Social Science Foundation [19AGL017]</t>
  </si>
  <si>
    <t>National Social Science Foundation</t>
  </si>
  <si>
    <t>Funding from National Social Science Foundation (19AGL017).</t>
  </si>
  <si>
    <t>0944-1344</t>
  </si>
  <si>
    <t>1614-7499</t>
  </si>
  <si>
    <t>ENVIRON SCI POLLUT R</t>
  </si>
  <si>
    <t>Environ. Sci. Pollut. Res.</t>
  </si>
  <si>
    <t>10.1007/s11356-022-19541-z</t>
  </si>
  <si>
    <t>2Y8VB</t>
  </si>
  <si>
    <t>WOS:000766064400021</t>
  </si>
  <si>
    <t>Junglas, I; Goel, L; Rehm, SV; Ives, B</t>
  </si>
  <si>
    <t>Junglas, Iris; Goel, Lakshmi; Rehm, Sven -V.; Ives, Blake</t>
  </si>
  <si>
    <t>On the benefits of consumer IT in the workplace-An IT empowerment perspective</t>
  </si>
  <si>
    <t>INTERNATIONAL JOURNAL OF INFORMATION MANAGEMENT</t>
  </si>
  <si>
    <t>IT consumerization; Consumer IT; IT empowerment; Perceived productivity; Perceived innovative work behaviors</t>
  </si>
  <si>
    <t>INFORMATION-TECHNOLOGY; PSYCHOLOGICAL EMPOWERMENT; CURVILINEAR RELATIONSHIPS; EMPLOYEE CREATIVITY; INNOVATIVE BEHAVIOR; SELF-DETERMINATION; CONTEXTUAL FACTORS; USER ACCEPTANCE; JOB DEMANDS; ROLE STRESS</t>
  </si>
  <si>
    <t>Technology driven organizational transformation-heightened during the COVID-19 pandemic-is gaining momentum, as employees increasingly invest in technology for work. Referred to as IT consumerization, em-ployees use their smartphones, notebooks and tablets in the workplace, accompanied by a growing toolbox of applications. Google Apps and Dropbox are just a few consumer tools that employees use to get their work done, and in doing so, often bypass the authority of the IT department and the organization. While some organizations discourage, or even prohibit, employees from using their personal IT, others embrace the phenomenon. Em-ployees' investment in consumer IT and its accompanying applications has been suggested as related to inno-vation and productivity gains, but there has been no empirical validation of such a beneficial relationship. With this paper we propose a theoretical root cause for the perceived positive outcomes of employees using their personal technologies in the workplace. Specifically, we explore the role of IT empowerment-a concept that captures the level of authority an employee assumes in utilizing IT in order to control or improve aspects of their job. Surveying 147 employees, we find support for increased levels of IT empowerment and higher levels of perceived performance among those that actively use consumer IT versus those that do not; we also find a close relationship between IT empowerment and perceived innovative work behaviors.</t>
  </si>
  <si>
    <t>[Junglas, Iris; Ives, Blake] Coll Charleston, Sch Business, Dept Supply Chain &amp; Informat Management, Charleston, SC 29424 USA; [Goel, Lakshmi] Univ North Florida, Coggin Coll Business, Dept Management, Jacksonville, FL 32224 USA; [Rehm, Sven -V.] Univ Strasbourg, EM Strasbourg Business Sch, Strasbourg, France</t>
  </si>
  <si>
    <t>College of Charleston; State University System of Florida; University of North Florida; UDICE-French Research Universities; Universites de Strasbourg Etablissements Associes; Universite de Strasbourg</t>
  </si>
  <si>
    <t>Junglas, I (corresponding author), Coll Charleston, Sch Business, Dept Supply Chain &amp; Informat Management, Charleston, SC 29424 USA.</t>
  </si>
  <si>
    <t>junglasia@cofc.edu; l.goel@unf.edu; sven.rehm@em-strasbourg.eu; ivesb@cofc.edu</t>
  </si>
  <si>
    <t>Rehm, Sven-Volker/AAG-5954-2021</t>
  </si>
  <si>
    <t>Rehm, Sven-Volker/0000-0002-9785-6707</t>
  </si>
  <si>
    <t>0268-4012</t>
  </si>
  <si>
    <t>1873-4707</t>
  </si>
  <si>
    <t>INT J INFORM MANAGE</t>
  </si>
  <si>
    <t>Int. J. Inf. Manage.</t>
  </si>
  <si>
    <t>10.1016/j.ijinfomgt.2022.102478</t>
  </si>
  <si>
    <t>0Z8FW</t>
  </si>
  <si>
    <t>WOS:000791308400009</t>
  </si>
  <si>
    <t>Chen, LY; Ruan, RB; He, PX</t>
  </si>
  <si>
    <t>Chen, Liangyong; Ruan, Rongbin; He, Peixu</t>
  </si>
  <si>
    <t>The double-edged sword: A work regulatory focus perspective on the relationship between organizational identification and innovative behaviour</t>
  </si>
  <si>
    <t>innovative behaviour; learning goal orientation; organizational identification; work prevention focus; work promotion focus</t>
  </si>
  <si>
    <t>GOAL ORIENTATION; PSYCHOLOGICAL ATTACHMENT; INDIVIDUAL INNOVATION; EMPLOYEE CREATIVITY; SOCIAL IDENTITY; SELF-REGULATION; MEDIATING ROLE; PERFORMANCE; MOTIVATION; LEADERSHIP</t>
  </si>
  <si>
    <t>Prior research on the organizational identification-innovative behaviour link has produced contradictory findings. Based on regulatory focus theory, we propose that work promotion focus and work prevention focus are two parallel mechanisms that motivate or demotivate employees to innovate and which of the processes will be activated depends on the level of learning goal orientation. Data were collected through a time-lagged and multisource survey. The final sample included 268 employees, whose innovative behaviour was assessed by their line managers. Hypotheses were tested using hierarchical regression analyses. Results indicated that organizational identification was associated with more innovative behaviour via work promotion focus, but less innovative behaviour via work prevention focus. Meanwhile, employees high on both organizational identification and learning goal orientation were more likely to be work promotion focused and behave more innovatively, whereas those high on organizational identification and low on learning goal orientation were more likely to be work prevention focused and behave less innovatively. Theoretical and practical contributions of this study were discussed.</t>
  </si>
  <si>
    <t>[Chen, Liangyong; He, Peixu] Huaqiao Univ, Sch Business Adm, Quanzhou, Peoples R China; [Ruan, Rongbin] Fuzhou Univ, Sch Econ &amp; Management, Fuzhou, Peoples R China</t>
  </si>
  <si>
    <t>Huaqiao University; Fuzhou University</t>
  </si>
  <si>
    <t>Chen, LY (corresponding author), Huaqiao Univ, Sch Business Adm, Dept Human Resource Management, 269 Chenghua North Rd, Quanzhou 362021, Fujian, Peoples R China.</t>
  </si>
  <si>
    <t>clyong@hqu.edu.cn</t>
  </si>
  <si>
    <t>National Natural Science Foundation of China [71701072, 71802087, 72172048]</t>
  </si>
  <si>
    <t>National Natural Science Foundation of China, Grant/Award Numbers: 71701072, 71802087, 72172048</t>
  </si>
  <si>
    <t>10.1111/caim.12482</t>
  </si>
  <si>
    <t>ZO3FK</t>
  </si>
  <si>
    <t>WOS:000746129800001</t>
  </si>
  <si>
    <t>Xia, ZC; Yu, H; Yang, F</t>
  </si>
  <si>
    <t>Xia, Zhichen; Yu, Hong; Yang, Fan</t>
  </si>
  <si>
    <t>Benevolent Leadership and Team Creative Performance: Creative Self-Efficacy and Openness to Experience</t>
  </si>
  <si>
    <t>benevolent leadership; creative self-efficacy; openness to experience; creative team performance; scientific research team</t>
  </si>
  <si>
    <t>PATERNALISTIC LEADERSHIP; INNOVATIVE BEHAVIOR; MODERATING ROLE; PERSONALITY COMPOSITION; COGNITIVE-ABILITY; MEDIATING ROLE; MULTILEVEL; LEVEL; TASK; COMPLEMENTARY</t>
  </si>
  <si>
    <t>We examine the association between benevolent leadership and team creative performance in scientific research teams. Moreover, the mediating effects of creative self-efficacy and the moderating effects of openness to experience on the relationship were also analyzed. The study sample comprised 251 postgraduates from 58 scientific research teams in Chinese universities. Results revealed that benevolent leadership was positively related to team creative performance, and creative self-efficacy partially mediated this positive relationship. When team personality composition had a high average team level of or a low level of variance on openness to experience, the relationship between creative self-efficacy and team creative performance was stronger. The same situation also occurred as an indirect effect of benevolent leadership on team creative performance through creative self-efficacy. This study suggests that while people may pay focus on benevolent leadership and creative self-efficacy, team personality composition should also be considered in scientific research team practices.</t>
  </si>
  <si>
    <t>[Xia, Zhichen] Normal Coll, Changshu Inst Technol, Changshu, Jiangsu, Peoples R China; [Yu, Hong; Yang, Fan] Soochow Univ, Sch Educ, Suzhou, Peoples R China</t>
  </si>
  <si>
    <t>Changshu Institute of Technology; Soochow University - China</t>
  </si>
  <si>
    <t>Yang, F (corresponding author), Soochow Univ, Sch Educ, Suzhou, Peoples R China.</t>
  </si>
  <si>
    <t>yangfan8313826@163.com</t>
  </si>
  <si>
    <t>Yang, Fan/AAU-2348-2021</t>
  </si>
  <si>
    <t>Project of Philosophy and Social Science Research in Colleges and Universities in Jiangsu Province [2019SJA1221]; Humanity and Social Science Youth foundation of Ministry of Education [20YJC880112]</t>
  </si>
  <si>
    <t>Project of Philosophy and Social Science Research in Colleges and Universities in Jiangsu Province; Humanity and Social Science Youth foundation of Ministry of Education</t>
  </si>
  <si>
    <t>Funding This work was funded by the Project of Philosophy and Social Science Research in Colleges and Universities in Jiangsu Province (2019SJA1221) and the Humanity and Social Science Youth foundation of Ministry of Education (20YJC880112).</t>
  </si>
  <si>
    <t>10.3389/fpsyg.2021.745991</t>
  </si>
  <si>
    <t>YT3MW</t>
  </si>
  <si>
    <t>WOS:000751268900001</t>
  </si>
  <si>
    <t>Jin, S; Li, Y; Xiao, S</t>
  </si>
  <si>
    <t>Jin, Shanyue; Li, Yannan; Xiao, Shufeng</t>
  </si>
  <si>
    <t>What Drives Employees' Innovative Behaviors in Emerging-Market Multinationals? An Integrated Approach</t>
  </si>
  <si>
    <t>Chinese MNCs; innovative behavior; organizational climate; psychological stability; servant leadership; work-life balance</t>
  </si>
  <si>
    <t>WORK-LIFE BALANCE; SERVANT LEADERSHIP; PSYCHOLOGICAL SAFETY; TRANSFORMATIONAL LEADERSHIP; ORGANIZATIONAL IDENTIFICATION; AUTHENTIC LEADERSHIP; MEDIATING ROLE; CREATIVITY; CLIMATE; WORKPLACE</t>
  </si>
  <si>
    <t>The coronavirus disease 2019 (COVID-19) pandemic has severely damaged the global industrial supply chain and accelerated the digital transformation of the global economy. In such rapidly changing environments, multinational corporations (MNCs) should encourage employees to be more innovative in various fields than ever before. With the onset of the COVID-19 pandemic, employees have become psychologically anxious, their working conditions have deteriorated, and they are in danger of losing their jobs. In this study, we aim to address the question of whether servant leadership facilitates the innovative behavior of employees working in emerging-market MNCs when servant leadership is adopted within the firms. In addition, we explore the mediating roles of work-life balance and psychological stability perceived by employees, and the moderating role of organizational climate in the relationship between servant leadership and MNC employees' innovative behavior. In doing so, we collected data from a sample of 307 Chinese employees who are employed by five different Chinese MNCs from the Internet, information technology, electronics, and e-commerce industries. Based on a sample of survey data collected from employees of Chinese MNCs, we empirically test these ideas by specifically examining how servant leadership may shape the innovation behavior of employees in these MNCs. The results suggest that servant leadership positively influences employees' innovative behavior, and that the contribution of servant leadership to employees' innovative behavior is mediated by work-life balance and psychological stability as well as moderated by the degree of organizational climate. Moreover, the different organizational climates of these MNC employees are also expected to significantly shape the relationship between servant leadership and employees' innovative behavior. This study enriches our understanding of the importance of servant leadership in driving the innovative behaviors of employees in emerging-market MNCs and provides new insights into the mechanisms through which emerging-market MNCs can motivate their employees to be more innovative in their jobs. Thus, this study contributes to the research on human resource management by offering important implications vis-a-vis how MNCs manage their employees more effectively in addressing and responding to the dramatically changing global landscape in the post COVID-19 era.</t>
  </si>
  <si>
    <t>[Jin, Shanyue] Gachon Univ, Coll Business, Seongnam, South Korea; [Li, Yannan] Kyung Hee Univ, Grad Sch Technol Management, Yongin, South Korea; [Xiao, Shufeng] Sookmyung Womens Univ, Div Business Adm, Seoul, South Korea</t>
  </si>
  <si>
    <t>Gachon University; Kyung Hee University; Sookmyung Women's University</t>
  </si>
  <si>
    <t>Xiao, S (corresponding author), Sookmyung Womens Univ, Div Business Adm, Seoul, South Korea.</t>
  </si>
  <si>
    <t>bizsxiao@sookmyung.ac.kr</t>
  </si>
  <si>
    <t>Gachon University Research Fund of 2021 [GCU-202103510001]</t>
  </si>
  <si>
    <t>Gachon University Research Fund of 2021</t>
  </si>
  <si>
    <t>Funding This work was supported by the Gachon University Research Fund of 2021 (GCU-202103510001).</t>
  </si>
  <si>
    <t>JAN 20</t>
  </si>
  <si>
    <t>10.3389/fpsyg.2021.803681</t>
  </si>
  <si>
    <t>YT5YD</t>
  </si>
  <si>
    <t>WOS:000751434200001</t>
  </si>
  <si>
    <t>Yuan, YJ; Humphrey, SE; van Knippenberg, D</t>
  </si>
  <si>
    <t>Yuan, Yingjie; Humphrey, Stephen E.; van Knippenberg, Daan</t>
  </si>
  <si>
    <t>From individual creativity to team creativity: A meta-analytic test of task moderators</t>
  </si>
  <si>
    <t>team creativity; individual creativity; team innovation; meta-analysis; task interdependence; creativity requirement; ideation; implementation</t>
  </si>
  <si>
    <t>EMPLOYEE CREATIVITY; TRANSFORMATIONAL LEADERSHIP; PSYCHOLOGICAL SAFETY; PERSONALITY COMPOSITION; COLLECTIVE CREATIVITY; INNOVATIVE BEHAVIOR; WORKERS CREATIVITY; SUPERVISOR SUPPORT; FOSTER CREATIVITY; LEVEL CREATIVITY</t>
  </si>
  <si>
    <t>Research has advanced two perspectives on the fundamental issue of the relationship between member creativity and team creativity: the additive model (predicting with average member creativity) and the disjunctive model (predicting with highest member creativity). Inconsistent evidence raises the question of possible moderators. We address this question by developing moderating roles of task characteristics - task interdependence and task creativity requirement. In a meta-analytic review of team creativity (and innovation) research, we hypothesized and supported that the additive model is more predictive in tasks with high interdependence and with low creativity requirements, and that the disjunctive model is more predictive for less interdependent tasks. The effectiveness of the disjunctive model, however, did not differ as a function of task creativity requirements. Further, our supplementary analysis showed that the additive model is more effective in tasks requiring only generating creative ideas than in tasks involving both generation and implementation of creative ideas. Practitioner points Because creative employees are in high demand, it is important to effectively select and assign creative individuals to teams for managing creativity. Managing team creativity by selecting creative individuals for the team can be done following two strategies: an additive strategy prioritizing high levels of average member creativity or a disjunctive strategy prioritizing one particularly creative member. Whether the additive or the disjunctive strategy is more effective is contingent on task characteristics: with high task interdependence, it is better to prioritize mean member creativity; with low task interdependence and with higher creativity requirements, it is better to prioritize one particularly creative team member.</t>
  </si>
  <si>
    <t>[Yuan, Yingjie] Univ Groningen, Fac Econ &amp; Business, Nettelbosje 2, NL-9747 AE Groningen, Netherlands; [Humphrey, Stephen E.] Penn State Univ, Smeal Coll Business, State Coll, PA USA; [van Knippenberg, Daan] Drexel Univ, LeBow Coll Business, Philadelphia, PA 19104 USA</t>
  </si>
  <si>
    <t>University of Groningen; Pennsylvania Commonwealth System of Higher Education (PCSHE); Pennsylvania State University; Drexel University</t>
  </si>
  <si>
    <t>Yuan, YJ (corresponding author), Univ Groningen, Fac Econ &amp; Business, Nettelbosje 2, NL-9747 AE Groningen, Netherlands.</t>
  </si>
  <si>
    <t>yingjie.yuan@rug.nl</t>
  </si>
  <si>
    <t>Humphrey, Stephen/D-3470-2012</t>
  </si>
  <si>
    <t>Humphrey, Stephen/0000-0002-7649-441X; Yuan, Yingjie/0000-0002-9438-2526</t>
  </si>
  <si>
    <t>10.1111/joop.12380</t>
  </si>
  <si>
    <t>1A1RI</t>
  </si>
  <si>
    <t>WOS:000743836400001</t>
  </si>
  <si>
    <t>Park, M; Kim, S</t>
  </si>
  <si>
    <t>Park, Mihye; Kim, Seongsu</t>
  </si>
  <si>
    <t>Effects of Personality Traits and Team Context on Individual Innovative Behavior (Exploitation and Exploration)</t>
  </si>
  <si>
    <t>ambidexterity; big five personality traits; exploitation; exploration; individual exploitation; individual exploration</t>
  </si>
  <si>
    <t>ORGANIZATIONAL AMBIDEXTERITY; ANTECEDENTS; WORK; PERFORMANCE; DIMENSIONS; EXPERIENCE; PLACE; MODEL</t>
  </si>
  <si>
    <t>This study analyzed how personality traits, team context, and the interaction between the two affect individual exploitation and exploration. Analyses of data from two Korean firms revealed that personality traits have an effect on individual exploitation and exploration activities. Specifically, the authors found that those with high-level openness to experiences engaged in high-level exploration activities. By contrast, those with high-level conscientiousness pursued high-level exploitation activities. For individual exploitation and exploration activities, the team context perceived by individuals was also important. Furthermore, this study confirmed the effect of the interaction between personality traits and team context on individual exploitation and exploration activities.</t>
  </si>
  <si>
    <t>[Park, Mihye] Seoul Natl Univ, Inst Ind Relat, Grad Sch Business, Seoul 08826, South Korea; [Kim, Seongsu] Seoul Natl Univ, Grad Sch Business, Seoul 08826, South Korea</t>
  </si>
  <si>
    <t>Seoul National University (SNU); Seoul National University (SNU)</t>
  </si>
  <si>
    <t>Kim, S (corresponding author), Seoul Natl Univ, Grad Sch Business, Seoul 08826, South Korea.</t>
  </si>
  <si>
    <t>aroma428@snu.ac.kr; sk2@snu.ac.kr</t>
  </si>
  <si>
    <t>KIM, SEONGSU/0000-0001-8235-327X</t>
  </si>
  <si>
    <t>10.3390/su14010306</t>
  </si>
  <si>
    <t>YE9OU</t>
  </si>
  <si>
    <t>WOS:000741448500001</t>
  </si>
  <si>
    <t>Shim, DC; Park, HH; Chung, KH</t>
  </si>
  <si>
    <t>Shim, Dong Chul; Park, Hyun Hee; Chung, Kee Hoon</t>
  </si>
  <si>
    <t>Workgroup innovative behaviours in the public sector workplace: the influence of servant leadership and workgroup climates</t>
  </si>
  <si>
    <t>Servant leadership; innovative behaviours; ethical climate; performance-oriented climate; workgroup climate</t>
  </si>
  <si>
    <t>ETHICAL CLIMATE; ORGANIZATIONAL-CLIMATE; INTERRATER RELIABILITY; SERVICE MOTIVATION; REGULATORY FOCUS; METHOD VARIANCE; LEVEL ANALYSIS; WORK; TEAM; PERFORMANCE</t>
  </si>
  <si>
    <t>Despite much research on how to foster innovation in public organizations, little research has been conducted at a workgroup level. Against this backdrop, this study examines how servant leadership, ethical climate, and performance-oriented climate jointly influence workgroup innovative behaviours in public organizations. The results of this study suggest that servant leadership and ethical climate have positive relationships with workgroup innovative behaviour in general. In addition, a performance-oriented climate was found to moderate the relationship between servant leadership and workgroup innovative behaviour.</t>
  </si>
  <si>
    <t>[Shim, Dong Chul] Korea Univ, Dept Publ Adm, Seoul, South Korea; [Park, Hyun Hee] Kookmin Univ, Dept Publ Adm, Seoul, South Korea; [Chung, Kee Hoon] KDI Sch Publ Policy &amp; Management, Sejong Si, South Korea</t>
  </si>
  <si>
    <t>Korea University; Kookmin University; KDI School of Public Policy &amp; Management</t>
  </si>
  <si>
    <t>Park, HH (corresponding author), Kookmin Univ, Dept Publ Adm, Seoul, South Korea.;Chung, KH (corresponding author), KDI Sch Publ Policy &amp; Management, Sejong Si, South Korea.</t>
  </si>
  <si>
    <t>hhpark@kookmin.ac.kr; keehoonchung@gmail.com</t>
  </si>
  <si>
    <t>National Research Foundation of Korea [NRF-2018S1A3A2075609]</t>
  </si>
  <si>
    <t>This work was supported by the National Research Foundation of Korea [NRF-2018S1A3A2075609].</t>
  </si>
  <si>
    <t>10.1080/14719037.2021.1999668</t>
  </si>
  <si>
    <t>WV6SQ</t>
  </si>
  <si>
    <t>WOS:000717364800001</t>
  </si>
  <si>
    <t>Wang, G; Locatelli, G; Zhang, HJ; Wan, JY; Chen, YF</t>
  </si>
  <si>
    <t>Wang, Ge; Locatelli, Giorgio; Zhang, Huijin; Wan, Jingyuan; Chen, Yufan</t>
  </si>
  <si>
    <t>Playing the cards right: exploring the way leadership influences organizational citizenship behavior for the environment in megaprojects</t>
  </si>
  <si>
    <t>ENGINEERING CONSTRUCTION AND ARCHITECTURAL MANAGEMENT</t>
  </si>
  <si>
    <t>Megaproject; Leadership; Organizational citizenship behaviors for the environment; Environmental commitment; Power distance; Collectivism</t>
  </si>
  <si>
    <t>TRANSFORMATIONAL LEADERSHIP; TRANSACTIONAL LEADERSHIP; MODERATING ROLE; POWER-DISTANCE; CONSTRUCTION PROJECTS; INDIVIDUALISM-COLLECTIVISM; SOCIAL-RESPONSIBILITY; MANAGEMENT PRACTICES; INNOVATIVE BEHAVIOR; COMMITMENT</t>
  </si>
  <si>
    <t>Purpose Organizational citizenship behaviors for the environment (OCBEs) represent a crucial element of environmental sustainability for a wide range of organizations. However, the leadership mechanisms underlying OCBEs are as yet unexplored, particularly regarding the delivering megaprojects. The paper aims to investigate how transformational leadership (TFL) and transactional leadership (TSL) styles shape the environmental commitment (EC) of subordinates, motivating OCBEs in megaprojects. Design/methodology/approach Partial least squares modeling and hierarchical regression were performed on data obtained from 140 experts who have been involved in megaprojects. Findings Both TFL and TSL styles are effective in motivating OCBEs, although the EC of subordinates partially mediates these relationships. The power distance (PD) orientation significantly moderates the relationship between TFL and OCBEs, with the relationship being more positive when the PD of subordinates is lower. Unexpectedly, a collectivist orientation (CO) was found to elevate the effect of TSL but weaken the effect of TFL. Originality/value The mixed and contradictory findings regarding TFL and TSL styles are reconciled in the current study by integrating the contextual factors of PD and CO. The findings of the study shed new light on playing the cards right when using the leadership practices, i.e. how leadership can be better leveraged to cultivate subordinates' OCBEs. They also provide targeted guidance for shaping contextual factors to increase the environmental sustainability of megaprojects.</t>
  </si>
  <si>
    <t>[Wang, Ge] Huazhong Agr Univ, Coll Publ Adm, Wuhan, Peoples R China; [Locatelli, Giorgio] Politecn Milan, Sch Management, Milan, Italy; [Zhang, Huijin] Tongji Univ, Sch Econ &amp; Management, Shanghai, Peoples R China; [Wan, Jingyuan] Seazen Holdings Co Ltd, Shanghai, Peoples R China; [Chen, Yufan] Fuzhou Univ, Sch Econ &amp; Management, Fuzhou, Peoples R China</t>
  </si>
  <si>
    <t>Huazhong Agricultural University; Polytechnic University of Milan; Tongji University; Fuzhou University</t>
  </si>
  <si>
    <t>Zhang, HJ (corresponding author), Tongji Univ, Sch Econ &amp; Management, Shanghai, Peoples R China.</t>
  </si>
  <si>
    <t>huijinzhang@tongji.edu.cn</t>
  </si>
  <si>
    <t>Chen, Yufan/0000-0001-7989-3283; Locatelli, Giorgio/0000-0001-9986-2249</t>
  </si>
  <si>
    <t>National Natural Science Foundation of China [71901101, 71571137]; Fellowship of China Postdoctoral Science Foundation [2020M671134]; Fundamental Research Funds for the Central Universities, China [2662021JC002]</t>
  </si>
  <si>
    <t>National Natural Science Foundation of China(National Natural Science Foundation of China (NSFC)); Fellowship of China Postdoctoral Science Foundation(China Postdoctoral Science Foundation); Fundamental Research Funds for the Central Universities, China(Fundamental Research Funds for the Central Universities)</t>
  </si>
  <si>
    <t>This research was supported by the National Natural Science Foundation of China (Project Numbers: 71901101 and 71571137), the Fellowship of China Postdoctoral Science Foundation (Project Number: 2020M671134), and the Fundamental Research Funds for the Central Universities, China (Program Number: 2662021JC002).</t>
  </si>
  <si>
    <t>0969-9988</t>
  </si>
  <si>
    <t>1365-232X</t>
  </si>
  <si>
    <t>ENG CONSTR ARCHIT MA</t>
  </si>
  <si>
    <t>Eng. Constr. Archit. Manag.</t>
  </si>
  <si>
    <t>MAR 14</t>
  </si>
  <si>
    <t>10.1108/ECAM-01-2021-0093</t>
  </si>
  <si>
    <t>Engineering, Industrial; Engineering, Civil; Management</t>
  </si>
  <si>
    <t>9U9NJ</t>
  </si>
  <si>
    <t>WOS:000718361300001</t>
  </si>
  <si>
    <t>Yang, SF; Wu, HN</t>
  </si>
  <si>
    <t>Yang, Shufang; Wu, Hainan</t>
  </si>
  <si>
    <t>The Performance Impact of New Ventures in Working Environment and Innovation Behavior From the Perspective of Personality Psychology</t>
  </si>
  <si>
    <t>personality psychology; new venture; work environment; innovation behavior; corporate performance; teamwork; organizational encouragement; work pressure</t>
  </si>
  <si>
    <t>LEADERSHIP; CREATIVITY</t>
  </si>
  <si>
    <t>A new venture barely makes a profit in its initial stage, and its success depends on innovation. Innovation is related to the work environment, and the innovation behavior of employees is of great significance to the performance improvement of new venture. Based on the previous research, in this study, hypotheses on the correlation between work environment, employee innovation behavior, and corporate performance are put forward first. Then, with team cooperation, organizational incentive, leadership support, sufficient resources, and work pressure as the factors of the work environment, the bosses, middle and senior managers involved in entrepreneurship, and the main members of the entrepreneurial team of 202 newly established enterprises in developed regions are surveyed online or in scene. Multivariate hierarchical regression analysis is performed to analyze the data collected from the questionnaire. The results show that the effective recovery rate of the questionnaire is 86.4%; the number of traditional enterprises is 108 (53.47%), and that of R&amp;D enterprises is 68 (33.66%); teamwork, leadership support, and work pressure are all correlated with employees' innovative behavior (P &lt; 0.05), while organizational motivation and sufficient resources are not correlated with employees' innovative behavior (P &gt; 0.05); employee innovation behavior is positively correlated with enterprise performance (beta = 0.375, P &lt;= 0.01); the working environment and employee innovation behavior promote enterprise performance (beta = 0.433, P &lt;= 0.01); and the working environment affects the relationship between employee innovation behavior and enterprise performance (beta = 0.399, P &lt;= 0.05). The study theoretically enriches the research on the relationship between innovation behavior, work environment, and enterprise performance of new ventures. In practice, it is suggested that start-up enterprises provide good working environment for employees and attach importance to innovation activities at the individual level of employees, which provides useful guidance and reference for the development of Chinese start-up enterprises.</t>
  </si>
  <si>
    <t>[Yang, Shufang] Changshu Inst Technol, Sch Business, Suzhou, Peoples R China; [Wu, Hainan] Anhui Univ Finance &amp; Econ, Sch Finance &amp; Publ Adm, Bengbu, Peoples R China</t>
  </si>
  <si>
    <t>Changshu Institute of Technology; Anhui University of Finance &amp; Economics</t>
  </si>
  <si>
    <t>Wu, HN (corresponding author), Anhui Univ Finance &amp; Econ, Sch Finance &amp; Publ Adm, Bengbu, Peoples R China.</t>
  </si>
  <si>
    <t>wuhainan9721@126.com</t>
  </si>
  <si>
    <t>NOV 3</t>
  </si>
  <si>
    <t>10.3389/fpsyg.2021.734014</t>
  </si>
  <si>
    <t>WZ2UB</t>
  </si>
  <si>
    <t>WOS:000719826600001</t>
  </si>
  <si>
    <t>Cangialosi, N; Battistelli, A; Odoardi, C</t>
  </si>
  <si>
    <t>Cangialosi, Nicola; Battistelli, Adalgisa; Odoardi, Carlo</t>
  </si>
  <si>
    <t>Designing innovative jobs: a fuzzy-set configurational analysis of job characteristics</t>
  </si>
  <si>
    <t>Innovative work behavior; Job design; Job characteristics model</t>
  </si>
  <si>
    <t>QUALITATIVE COMPARATIVE-ANALYSIS; COMPARATIVE-ANALYSIS QCA; WORK DESIGN; TRANSFORMATIONAL LEADERSHIP; EMPLOYEE CREATIVITY; COMPLEXITY THEORY; MEDIATING ROLE; BEHAVIOR; MOTIVATION; MODEL</t>
  </si>
  <si>
    <t>Purpose How to design jobs to support innovation is an issue that has received plenty of consideration over the past years. Building on the job characteristics model, the present study is set up to identify configurations of perceived job characteristics for innovation. Design/methodology/approach By adopting a fuzzy-set configurational approach (fsQCA), the research question is addressed through a two-wave self-report survey of 199 employees of an Italian manufacturing company. Findings Results reveal four compatible configurations of job characteristics leading to high levels of innovative work behavior and two for low levels. Practical implications The results offer guidance for managers and organizations that aim to strengthen employee-driven innovation by offering different recipes of job design to maximize the chance of boosting innovative behaviors among their workers. Originality/value This research is one of the first to empirically test the relation of job characteristics for innovative behavior using a configurational approach. By doing so it contributes to the literature by advancing the notion that innovative endeavors are determined by the holistic effects of different interdependent configurations of job characteristics.</t>
  </si>
  <si>
    <t>[Cangialosi, Nicola; Odoardi, Carlo] Univ Firenze, FORLILPSI, Florence, Italy; [Battistelli, Adalgisa] Univ Bordeaux, EA4139 Lab Psychol, Bordeaux, France</t>
  </si>
  <si>
    <t>Cangialosi, N (corresponding author), Univ Firenze, FORLILPSI, Florence, Italy.</t>
  </si>
  <si>
    <t>FEB 20</t>
  </si>
  <si>
    <t>10.1108/PR-02-2021-0105</t>
  </si>
  <si>
    <t>9C1IZ</t>
  </si>
  <si>
    <t>WOS:000712438900001</t>
  </si>
  <si>
    <t>No news, no excitement, no creativity: Moderating roles of adaptive humour and proactivity</t>
  </si>
  <si>
    <t>adaptive humour; conservation of resources theory; creative behaviour; job dissatisfaction; proactivity; unfair organizational information provision</t>
  </si>
  <si>
    <t>EMPLOYEE CREATIVITY; MEDIATING ROLE; ORGANIZATIONAL JUSTICE; JOB-PERFORMANCE; BUFFERING ROLES; TRANSFORMATIONAL LEADERSHIP; INNOVATIVE BEHAVIOR; CONTEXTUAL FACTORS; METHOD VARIANCE; TASK CONFLICT</t>
  </si>
  <si>
    <t>When employees believe that organizational authorities are engaged in unfair information provision, it might evoke some negative behavioural responses, like diminished creativity. But when and why are such responses more likely? To answer these questions, the current study investigates the mediating role of job dissatisfaction in the relationship between unfair organizational information provision and creative behaviour, as well as the moderating roles of employees' own adaptive humour and proactivity. Survey data, collected from employees who operate in the oil and gas sector, reveal that employees' convictions that organizational leaders are not open in their communication can prompt them to avoid creative work activities, because these employees become unhappy with their jobs. This mediating role of job dissatisfaction is less salient if they have a good sense of humour and like to take initiative though. Organizations therefore should take these findings as a relevant caution: Lack of excitement about their jobs, as informed by organizational information deficiencies, can make employees complacent. To address this potentially negative outcome, organizations might help employees leverage their own valuable personal resources.</t>
  </si>
  <si>
    <t>[De Clercq, Dirk] Brock Univ, Goodman Sch Business, St Catharines, ON L2S 3A1, Canada; [Pereira, Renato] Inst Univ Lisboa, ISCTE Business Sch, Lisbon, Portugal; [Pereira, Renato] ISCTEM, Management Res Ctr, Maputo, Mozambique</t>
  </si>
  <si>
    <t>10.1111/caim.12467</t>
  </si>
  <si>
    <t>WOS:000709599300001</t>
  </si>
  <si>
    <t>Jung, KB; Ullah, SME; Choi, SB</t>
  </si>
  <si>
    <t>Jung, Ki Baek; Ullah, S. M. Ebrahim; Choi, Suk Bong</t>
  </si>
  <si>
    <t>The Mediated Moderating Role of Organizational Learning Culture in the Relationships among Authentic Leadership, Leader-Member Exchange, and Employees' Innovative Behavior</t>
  </si>
  <si>
    <t>authentic leadership; innovative behavior; organizational learning culture; mediated moderation</t>
  </si>
  <si>
    <t>JOB-PERFORMANCE; CREATIVITY; MODEL; WORK</t>
  </si>
  <si>
    <t>Previous studies have shown that enhancing employees' innovative behavior can facilitate organizations' sustainable competitiveness. This study investigated the relationship between authentic leadership and employees' innovative behavior in Korean manufacturing and service companies. Moreover, the study examined the complex processes and conditions underlying this relationship. The results indicated that authentic leadership was significantly related to employees' innovative behavior and that leader-member exchange mediated the relationship between authentic leadership and employees' innovative behavior. Additionally, organizational learning culture moderated the relationship between leader-member exchange and employees' innovative behavior. Finally, organizational learning culture moderated the mediating effect of authentic leadership on innovative behavior via leader-member exchange. We discuss the theoretical and practical implications of these findings as well as the study's limitations for future research directions.</t>
  </si>
  <si>
    <t>[Jung, Ki Baek; Choi, Suk Bong] Korea Univ, Coll Global Business, 2511 Sejong Ro, Sejong City 30019, South Korea; [Ullah, S. M. Ebrahim] ACI Godrej Agrovet Pvt Ltd, HR Team, Dhaka 1212, Bangladesh</t>
  </si>
  <si>
    <t>Choi, SB (corresponding author), Korea Univ, Coll Global Business, 2511 Sejong Ro, Sejong City 30019, South Korea.</t>
  </si>
  <si>
    <t>jkb7528@korea.ac.kr; ebrahim.ullah@acigodrej.com; sukchoi@korea.ac.kr</t>
  </si>
  <si>
    <t>Jung, Ki Baek/0000-0003-4947-9262; , Suk Bong/0000-0001-8927-3985</t>
  </si>
  <si>
    <t>10.3390/su131910802</t>
  </si>
  <si>
    <t>WK2DG</t>
  </si>
  <si>
    <t>WOS:000709540900001</t>
  </si>
  <si>
    <t>Zhang, YW; Wu, JJ; Fan, YW</t>
  </si>
  <si>
    <t>Zhang, Yawei; Wu, JunJie; Fan, Yuwei</t>
  </si>
  <si>
    <t>The Effect of Perceived Organizational Support toward the Environment on Team Green Innovative Behavior: Evidence from Chinese Green Factories</t>
  </si>
  <si>
    <t>EMERGING MARKETS FINANCE AND TRADE</t>
  </si>
  <si>
    <t>Perceived organizational support toward the environment; team environmental knowledge learning; team green self-efficacy; team green innovative behavior; green factories in China</t>
  </si>
  <si>
    <t>TRANSFORMATIONAL LEADERSHIP; CITIZENSHIP BEHAVIOR; MEDIATING ROLE; PERFORMANCE; ANTECEDENTS; CREATIVITY; MODEL</t>
  </si>
  <si>
    <t>This study contributes to our understanding regarding how to increase manufacturing enterprises'team green innovative behavior based on the social cognition theory. Based on structural equation models and 408 questionnaires from green factories located in China, we revealed that perceived organizational support toward the environment (POS-E)has a positive influence on team environmental knowledge learning and team green innovative behavior. Team environmental knowledge learning positively affects team green self-efficacy, which, in turn, positively affects team green innovative behavior. The intermediary connection between team environmental knowledge learning and team green self-efficacy plays a significant role in mediating the relationship between POS-E and team green innovative behavior.</t>
  </si>
  <si>
    <t>[Zhang, Yawei; Wu, JunJie] Zhejiang Shuren Univ, Sch Management, 8 Shuren St, Hangzhou 310015, Peoples R China; [Fan, Yuwei] Qingdao Univ Technol, Business Sch, Qingdao, Peoples R China</t>
  </si>
  <si>
    <t>Zhejiang Shuren University; Qingdao University of Technology</t>
  </si>
  <si>
    <t>Zhang, YW (corresponding author), Zhejiang Shuren Univ, Sch Management, 8 Shuren St, Hangzhou 310015, Peoples R China.</t>
  </si>
  <si>
    <t>zyw13216162100@163.com</t>
  </si>
  <si>
    <t>National Natural Science Foundation of China [72074195]</t>
  </si>
  <si>
    <t>This work was supported by the National Natural Science Foundation of China [grant numbers 72074195].</t>
  </si>
  <si>
    <t>1540-496X</t>
  </si>
  <si>
    <t>1558-0938</t>
  </si>
  <si>
    <t>EMERG MARK FINANC TR</t>
  </si>
  <si>
    <t>Emerg. Mark. Financ. Trade</t>
  </si>
  <si>
    <t>10.1080/1540496X.2021.1977121</t>
  </si>
  <si>
    <t>Business; Economics; International Relations</t>
  </si>
  <si>
    <t>Business &amp; Economics; International Relations</t>
  </si>
  <si>
    <t>0X9TO</t>
  </si>
  <si>
    <t>WOS:000704252700001</t>
  </si>
  <si>
    <t>Jiang, YG; Asante, D; Zhang, J; Ampaw, EM</t>
  </si>
  <si>
    <t>Jiang, Yuguo; Asante, Dennis; Zhang, Jie; Ampaw, Enock Mintah</t>
  </si>
  <si>
    <t>The influence of ambidextrous leadership on the employee innovative behavior: an empirical study based on Chinese manufacturing enterprises</t>
  </si>
  <si>
    <t>Ambidextrous leadership; Cognitive flexibility; Creative self-efficacy; Employee incremental innovation; Employee radical innovation; Employee innovative behavior</t>
  </si>
  <si>
    <t>TRANSFORMATIONAL LEADERSHIP; MEDIATING ROLE; CREATIVITY; IMPACT; EMPOWERMENT; PERFORMANCE; MOTIVATE; POLICY</t>
  </si>
  <si>
    <t>Employees are the core asset of every company. Employees' innovative behavior (EIB) helps to improve the performance of enterprises. High-quality leadership is one of the key factors to promote employee innovation. As companies pay more attention to innovation, the attention to EIB continues to increase. In the process of employee innovation, the leadership style of the company's senior managers plays an important role. This is mostly so in ambidextrous leadership (AL) enveronment where paradox and contradictory thinking needs to be explored on EIB. Based on the theories of innovation and leadership, this paper explored the impact of AL on EIB and its mechanisms. We analyzed data on 478 staff working in industrial enterprises in China.The empirical results revealed a positive correlation between AL and EIB and the role of creative self-efficacy (CS) and cognitive flexibility (CF). The analysis of the mediating effect of multi-level regulation shows that: firstly, CS acts as an intermediary between AL and employee's incremental innovation (EII) and employee's radical innovation (ERI); secondly, CF positively adjusts the relationship between AL an d CS. Lastly, AL indirectly affects EII and ERI through CS, and this positive indirect relationship is more pronounced when CF is higher. The observations of the study provide a new perspective for leaders to break the traditional single behavior path and adopt dynamic complementary AL behavior to improve the level of employee innovation. Again, these insightful revelations have important practical significance for enterprise innovation management to adopt the appropriate remedial measures that will strengthen and deepen employee's innovative behavior for optimal gains. This study helps to deepen the understanding of the influence mechanism of EIB, improves innovation efficiency literature and promotes the healthy development of enterprises.</t>
  </si>
  <si>
    <t>[Jiang, Yuguo] Sichuan Normal Univ, Sch Business, Chengdu 610101, Sichuan, Peoples R China; [Asante, Dennis] Univ Elect Sci &amp; Technol China, Sch Management &amp; Econ, Chengdu 611731, Sichuan, Peoples R China; [Zhang, Jie] Chengdu Univ Technol, Coll Management Sci, Chengdu 610059, Sichuan, Peoples R China; [Ampaw, Enock Mintah] Koforidua Tech Univ, Appl Math Dept, KF 981, Koforidua, Ghana</t>
  </si>
  <si>
    <t>Sichuan Normal University; University of Electronic Science &amp; Technology of China; Chengdu University of Technology</t>
  </si>
  <si>
    <t>Jiang, YG (corresponding author), Sichuan Normal Univ, Sch Business, Chengdu 610101, Sichuan, Peoples R China.</t>
  </si>
  <si>
    <t>daocaoren2007@126.com; denniyoung94@yahoo.com; wcby2015@163.com; sendtoampaw@yahoo.com</t>
  </si>
  <si>
    <t>Asante, Dennis/GVU-8611-2022; Mintah Ampaw, Enock/ABA-6482-2021</t>
  </si>
  <si>
    <t>Jie, Zhang/0000-0001-5868-0043; Asante, Dennis/0000-0001-6966-7354</t>
  </si>
  <si>
    <t>National Natural Foundation of China [71271177]; Mineral Resources Research Center of Sichuan Province Foundation, China [SCKCZY2020-YB009]; Philosophy and Social Science Planning Project of Chengdu, China [YY2320200701]; County Economy Research Center of Sichuan Province Foundation, China [xy2019014]; Planning Project of Sichuan Province Social Science Fund, China [SC19TJ018]</t>
  </si>
  <si>
    <t>National Natural Foundation of China(National Natural Science Foundation of China (NSFC)); Mineral Resources Research Center of Sichuan Province Foundation, China; Philosophy and Social Science Planning Project of Chengdu, China; County Economy Research Center of Sichuan Province Foundation, China; Planning Project of Sichuan Province Social Science Fund, China</t>
  </si>
  <si>
    <t>This research was financially supported by National Natural Foundation of China (Grant No. 71271177), Mineral Resources Research Center of Sichuan Province Foundation, China(Grant No. SCKCZY2020-YB009), Philosophy and Social Science Planning Project of Chengdu, China(Grant No. YY2320200701),County Economy Research Center of Sichuan Province Foundation, China(Grant No. xy2019014),and Planning Project of Sichuan Province Social Science Fund, China (Grant No. SC19TJ018). The authors would like to express their gratitude to the usable answers of survey respondents and valuable comments of the anonymous reviewers.</t>
  </si>
  <si>
    <t>10.1007/s12144-021-02233-1</t>
  </si>
  <si>
    <t>UI6EB</t>
  </si>
  <si>
    <t>WOS:000690696700001</t>
  </si>
  <si>
    <t>Pufal, NA; Zawislak, PA</t>
  </si>
  <si>
    <t>Pufal, Nathalia Amarante; Zawislak, Paulo Antonio</t>
  </si>
  <si>
    <t>Innovation capabilities and the organization of the firm: evidence from Brazil</t>
  </si>
  <si>
    <t>JOURNAL OF MANUFACTURING TECHNOLOGY MANAGEMENT</t>
  </si>
  <si>
    <t>Innovation; Organizational change; Capabilities; Competitive strategy</t>
  </si>
  <si>
    <t>DYNAMIC CAPABILITIES; EMERGING ECONOMIES; PRODUCT INNOVATION; TECHNOLOGY FIRMS; CATCH-UP; EXPLOITATION; EXPLORATION; PERFORMANCE; INDUSTRY; AMBIDEXTERITY</t>
  </si>
  <si>
    <t>Purpose The purpose of this paper is to examine different types of organization of the firm considering the innovation capabilities of manufacturing firms. Design/methodology/approach The authors carried out an innovation survey with Brazilian manufacturing firms. A sample of 1,156 firms was analyzed in this paper. Collected data were analyzed using multivariate data analysis techniques. From an innovation capabilities approach, it was possible to identify different types of organization of the firm. Findings Results show four different types of organization of the firm: advanced, intermediate and basic stability-oriented and change-oriented. Each type presents a different innovation capabilities arrangement. The successful strategies toward innovation are related to change-oriented organization of the firm and advanced stability-oriented organization of the firm. Research limitations/implications This study contributes to the literature by presenting a different view on the organization of the firm, encompassing the capabilities approach and thus a higher level on the perception of firms' heterogeneity. This study contributes to narrow the literature gap on how firms internally coordinate its different capabilities into a coherent organization to sustain an innovative behavior. Practical implications These straightforward findings can serve as a guideline so that managers can conduct changes within their companies toward more innovation. Managers can reconsider its organization as a way to foment innovation, once it is identified as a key strategy for competitiveness. Social implications This study may help managers understand that focusing on stability-driven capabilities is riskier if change-driven capabilities are not present in an adequate and aligned level of development. The outcome may be the growth of the cost structure greater than the potential return. Conversely, managers should also understand that once change-driven capabilities are in a glance, they need do follow up with stability-driven capabilities. Here, the risk is not having an adequate structure to sustain the upcoming growth, arising from innovation. In short, not only cost and value should be taken together, but they must be arranged following the specific situation of the company. Every company should manage costs either to sustain new added value or to allow the addition of new value. Originality/value The study is based on a unique dataset that traces a large set of companies, being able to check different types of firm organization and associate it with innovation capabilities. The study relates to an emerging economy, which has not received adequate attention until now, largely because of the lack of micro-level data. The study is based on a robust theoretical model of innovation capabilities, which is being tested through such data. Finally, results elucidate ways to improve innovation performance of firms.</t>
  </si>
  <si>
    <t>[Pufal, Nathalia Amarante; Zawislak, Paulo Antonio] Univ Fed Rio Grande do Sul, Business Sch NITEC, Porto Alegre, RS, Brazil</t>
  </si>
  <si>
    <t>Pufal, NA (corresponding author), Univ Fed Rio Grande do Sul, Business Sch NITEC, Porto Alegre, RS, Brazil.</t>
  </si>
  <si>
    <t>nathaliapufal@gmail.com</t>
  </si>
  <si>
    <t>Zawislak, Paulo/M-5297-2014</t>
  </si>
  <si>
    <t>Zawislak, Paulo/0000-0002-0487-9177</t>
  </si>
  <si>
    <t>Brazilian National Council for Scientific and Technological Development (CNPq); Coordination for the Improvement of Higher Education Personnel (CAPES); State of Rio Grande do Sul Research Foundation (FAPERGS) [10/0032-4]</t>
  </si>
  <si>
    <t>Brazilian National Council for Scientific and Technological Development (CNPq)(Conselho Nacional de Desenvolvimento Cientifico e Tecnologico (CNPQ)); Coordination for the Improvement of Higher Education Personnel (CAPES)(Coordenacao de Aperfeicoamento de Pessoal de Nivel Superior (CAPES)); State of Rio Grande do Sul Research Foundation (FAPERGS)</t>
  </si>
  <si>
    <t>This work was supported by the Brazilian National Council for Scientific and Technological Development (CNPq); the Coordination for the Improvement of Higher Education Personnel (CAPES); and the State of Rio Grande do Sul Research Foundation (FAPERGS) under Grant 10/0032-4.</t>
  </si>
  <si>
    <t>1741-038X</t>
  </si>
  <si>
    <t>1758-7786</t>
  </si>
  <si>
    <t>J MANUF TECHNOL MANA</t>
  </si>
  <si>
    <t>J. Manuf. Technol. Manag.</t>
  </si>
  <si>
    <t>FEB 23</t>
  </si>
  <si>
    <t>10.1108/JMTM-02-2021-0054</t>
  </si>
  <si>
    <t>Engineering, Industrial; Engineering, Manufacturing; Management</t>
  </si>
  <si>
    <t>ZK1NL</t>
  </si>
  <si>
    <t>WOS:000688118000001</t>
  </si>
  <si>
    <t>Kul, S; Sonmez, B</t>
  </si>
  <si>
    <t>Kul, Seval; Sonmez, Betul</t>
  </si>
  <si>
    <t>The effect of nurse managers' servant leadership on nurses' innovative behaviors and job performances</t>
  </si>
  <si>
    <t>Servant leadership; Innovative behavior; Job performance; Nurse; Nurse manager; Moderator role</t>
  </si>
  <si>
    <t>PSYCHOLOGICAL EMPOWERMENT; STRUCTURAL EMPOWERMENT; WORK BEHAVIOR; CONTEXTUAL PERFORMANCE; SUPERVISOR; HOSPITALS; OUTCOMES; QUALITY; VALUES; MODEL</t>
  </si>
  <si>
    <t>Purpose This study aims to determine the effect of servant leadership on nurses' innovative behavior and job performance and to examine the moderator role of servant leadership in the relationship between nurses' innovative behavior and job performance based on the self-determination theory and social exchange theory. Design/methodology/approach This correlational study included 885 nurses selected from three public hospitals in Istanbul using the convenience sampling method. Data were analyzed using descriptive tests, correlation analysis and linear and hierarchical regression analyses. Findings The nurse managers' servant leadership behaviors were statistically significantly related with the nurses' innovative behaviors and job performances: servant leadership behaviors of the nurse managers increased the nurses' innovative behaviors and job performances and found to partially play a role of a moderator in the effect of nurses' innovative behaviors on job performance. Practical implications This study shows that positive nurse outcomes will be achieved when nurse managers show an ethical, humanistic, empathic, mutual benefit and service-oriented approach and adopt a servant leadership approach as appropriate to the nature of nursing. Originality/value This study contributes to the literature by revealing the effect of nurse managers' servant leadership on nurses' innovative behavior and job performance, as well as the partial moderator role of servant leadership, which has not been studied before as a part of the relationship between innovative behavior and job performance.</t>
  </si>
  <si>
    <t>[Kul, Seval] Sultangazi Haseki Training &amp; Res Hosp, Istanbul, Turkey; [Sonmez, Betul] Istanbul Univ Cerrahpasa, Florence Nightingale Fac Nursing, Dept Nursing Management, Istanbul, Turkey</t>
  </si>
  <si>
    <t>Sonmez, B (corresponding author), Istanbul Univ Cerrahpasa, Florence Nightingale Fac Nursing, Dept Nursing Management, Istanbul, Turkey.</t>
  </si>
  <si>
    <t>betul.sonmez@iuc.edu.tr</t>
  </si>
  <si>
    <t>SÖNMEZ, BETÜL/GQP-2799-2022</t>
  </si>
  <si>
    <t>Kul, Seval/0000-0002-1259-7436</t>
  </si>
  <si>
    <t>OCT 26</t>
  </si>
  <si>
    <t>10.1108/LODJ-07-2020-0318</t>
  </si>
  <si>
    <t>WM3HP</t>
  </si>
  <si>
    <t>WOS:000685030100001</t>
  </si>
  <si>
    <t>Simanauskiene, V; Giedraityte, V; Navickiene, O</t>
  </si>
  <si>
    <t>Simanauskiene, Viktorija; Giedraityte, Vidmante; Navickiene, Olga</t>
  </si>
  <si>
    <t>The Role of Military Leadership in Shaping Innovative Personnel Behaviour: The Case of the Lithuanian Armed Forces</t>
  </si>
  <si>
    <t>innovative institutions; defence; security; innovation; leadership; support for innovation; delegating; intellectual stimulation; rewards</t>
  </si>
  <si>
    <t>TRANSFORMATIONAL LEADERSHIP; ORGANIZATIONAL INNOVATION; TRANSACTIONAL LEADERSHIP; DYNAMIC CAPABILITIES; MODERATING ROLE; WORK BEHAVIOR; EMPLOYEES; IMPLEMENTATION; CREATIVITY; MANAGEMENT</t>
  </si>
  <si>
    <t>Innovation is important for the achievement of the UN Sustainable Development Goals, including those related to peace and justice, as well as strengthening defence and security institutions. In view of innovation and the creation of an innovative environment, the influence of leaders not only on the innovativeness of employees, but also of the organization as a whole, is considered one of the most prospective areas of future research. This article explores the influence of leadership behaviour (support for innovation, delegating, intellectual stimulation, and rewards) of top (sample size N = 275) and middle (sample size N = 891) management on the innovative behaviour of military officers. The empirical validation of the selected four leadership behaviours is based on the methodology of quantitative sociological research-a questionnaire. Research results show that strong and statistically significant correlation relationships were established at the level of top managers (commanders) between such factors as Intellectual Stimulation and Delegating, Rewards and Delegating, Delegating and Support for Innovation, as well as Support for Innovation and Rewards. Meanwhile, for middle-level managers (military officers) two strong relationships were found between such factors as Rewards and Delegating, and Delegating and Support for Innovation. Analysis of the compatibility of opinions showed that although commanders and military officers both appreciate the leadership behaviours of the top and middle management of the Lithuanian Armed Forces, it was also found that commanders are more positive about the opportunity to offer new ideas at their military unit. Furthermore, they are more positive about the statement that leadership grants them the right to take decisions and implement them, and they are also more positive about taking the initiative, when they feel support for innovation. The identified difference in the leadership behaviours of top and middle management leads to the conclusion that, at different hierarchical levels of leadership, innovative behaviour of subordinates is influenced differently in the innovation promotion process in the Lithuanian Armed Forces.</t>
  </si>
  <si>
    <t>[Simanauskiene, Viktorija; Giedraityte, Vidmante; Navickiene, Olga] Gen Jonas Zemaitis Mil Acad Lithuania, LT-10322 Vilnius, Lithuania</t>
  </si>
  <si>
    <t>General Jonas Zemaitis Military Academy of Lithuania</t>
  </si>
  <si>
    <t>Simanauskiene, V (corresponding author), Gen Jonas Zemaitis Mil Acad Lithuania, LT-10322 Vilnius, Lithuania.</t>
  </si>
  <si>
    <t>viktorija.simanauskiene@lka.lt; vidmante.giedraityte@lka.lt; olga.navickiene@lka.lt</t>
  </si>
  <si>
    <t>Simanauskiene, PhD Viktorija/0009-0002-3596-3141; Navickiene, Olga/0000-0002-2111-5865; Giedraityte, Vidmante/0000-0002-2331-6687</t>
  </si>
  <si>
    <t>Ministry of National Defence of the Republic of Lithuania; General Jonas Zemaitis, Military Academy of Lithuania Study Support Projects (2021-2024), General Jonas Zemaitis, Military Academy of Lithuania, Vilnius, Lithuania</t>
  </si>
  <si>
    <t>Data were collected within the framework of the project Leadership Research in the Lithuanian Armed Forces 2019-2020 funded by the Ministry of National Defence of the Republic of Lithuania. The current work was funded by General Jonas Zemaitis, Military Academy of Lithuania Study Support Projects (2021-2024), General Jonas Zemaitis, Military Academy of Lithuania, Vilnius, Lithuania.</t>
  </si>
  <si>
    <t>10.3390/su13169283</t>
  </si>
  <si>
    <t>UH8GL</t>
  </si>
  <si>
    <t>WOS:000690161900001</t>
  </si>
  <si>
    <t>Zhou, HP; Yang, YX</t>
  </si>
  <si>
    <t>Zhou, Huiping; Yang, Yuxin</t>
  </si>
  <si>
    <t>How does employees' Zhong-Yong thinking improve their innovative behaviours? The moderating role of person-organisation fit</t>
  </si>
  <si>
    <t>Employees&amp;#8217; Zhong-Yong thinking; person&amp;#8211; organisation fit; needs&amp;#8211; supplies fit and demands&amp;#8211; abilities fit; innovative behaviours</t>
  </si>
  <si>
    <t>CONFUCIAN CULTURE; MEDIATING ROLE; PERFORMANCE; SUPPORT; NEED</t>
  </si>
  <si>
    <t>This paper aims to investigate the impact of employees' Zhong-Yong (Doctrine of the Mean) thinking in Chinese traditional culture on their innovative behaviours, and also explore how person-organisation fit, including needs-supplies fit and demands-abilities fit, affects the influencing mechanism. To test the proposed model, we collect data from 351 Chinese employees in different industries through a questionnaire survey. Our empirical findings reveal that employees' Zhong-Yong thinking is positively associated with their innovative behaviours. By providing empirical evidence of the moderating roles of needs-supplies fit and demands-abilities fit, our analysis results are remarkable for the person-organisation fit to the Zhong-Yong thinking on employees' innovative behaviours. This research solves the controversial views brought up by prior literature with findings of a positive influence of employees' Zhong-Yong thinking on their innovative behaviours. By exploring the moderating effect of person-organisation fit, we provide insights into how organisation matches with individuals can affect the efficacy of Zhong-Yong thinking on employees' innovative behaviours.</t>
  </si>
  <si>
    <t>[Zhou, Huiping; Yang, Yuxin] Guangdong Univ Finance &amp; Econ, Sch Business Adm, Guangzhou 510032, Peoples R China</t>
  </si>
  <si>
    <t>Guangdong University of Finance &amp; Economics</t>
  </si>
  <si>
    <t>Zhou, HP (corresponding author), Guangdong Univ Finance &amp; Econ, Sch Business Adm, Guangzhou 510032, Peoples R China.</t>
  </si>
  <si>
    <t>zhouhuiping0807@163.com</t>
  </si>
  <si>
    <t>yang, yx/GZM-0464-2022</t>
  </si>
  <si>
    <t>2020 Youth project of Guangdong Provincial Basic and Applied Basic Research Fund of Regional Joint Project [20201910240000974]; 2020 Youth Project for Philosophy and Social Science Planning of Guangdong Province [GD20YGL06]</t>
  </si>
  <si>
    <t>2020 Youth project of Guangdong Provincial Basic and Applied Basic Research Fund of Regional Joint Project; 2020 Youth Project for Philosophy and Social Science Planning of Guangdong Province</t>
  </si>
  <si>
    <t>This work was supported by 2020 Youth project of Guangdong Provincial Basic and Applied Basic Research Fund of Regional Joint Project: [Grant Number 20201910240000974]; 2020 Youth Project for Philosophy and Social Science Planning of Guangdong Province: [Grant Number GD20YGL06].</t>
  </si>
  <si>
    <t>10.1080/09537325.2021.1925103</t>
  </si>
  <si>
    <t>1Y7FH</t>
  </si>
  <si>
    <t>WOS:000648151500001</t>
  </si>
  <si>
    <t>Ding, K; Xu, HL; Yang, RM</t>
  </si>
  <si>
    <t>Ding, Ke; Xu, Helian; Yang, Rongming</t>
  </si>
  <si>
    <t>Taxation and Enterprise Innovation: Evidence from China's Value-Added Tax Reform</t>
  </si>
  <si>
    <t>VAT; reform; enterprise innovation; China; difference-in-differences</t>
  </si>
  <si>
    <t>RESEARCH-AND-DEVELOPMENT; FINANCIAL CONSTRAINTS; DEVELOPMENT SPILLOVERS; DEVELOPMENT INVESTMENT; TRADE LIBERALIZATION; COMPETITION; SELECTION</t>
  </si>
  <si>
    <t>This article used China as an example to study how tax reform affects the innovative behavior of companies. Our research showed that value-added tax (VAT) reform can affect corporate innovation behavior. On the basis of patent-application data of Chinese enterprises, we used the difference-in-differences framework to study the differences in the performance of Chinese industrial enterprises in patent applications before and after China's 2009 VAT reform. We demonstrated that China's VAT reform had a positive impact on corporate innovation; this conclusion is robust. In subsequent research, we demonstrated that the VAT reform promoted corporate innovation by expanding corporate investment in fixed assets and reducing corporate debt ratios; however, due to the Chinese government's subsidies to corporations and financing constraints, the pecking-order effect of corporate innovation was increased. In addition, the VAT reform had a greater impact on the innovation of export enterprises and non-state-owned enterprises. This research provided insights for emerging countries into formulating innovation-driven sustainable development tax reduction policies.</t>
  </si>
  <si>
    <t>[Ding, Ke; Xu, Helian] Hunan Univ, Sch Econ &amp; Trade, Changsha 410006, Peoples R China; [Yang, Rongming] Yunnan Univ Finance &amp; Econ, Int Student Educ &amp; Adm Off, Kunming 650221, Yunnan, Peoples R China</t>
  </si>
  <si>
    <t>Hunan University; Yunnan University of Finance &amp; Economics</t>
  </si>
  <si>
    <t>Xu, HL (corresponding author), Hunan Univ, Sch Econ &amp; Trade, Changsha 410006, Peoples R China.</t>
  </si>
  <si>
    <t>b12250020@hnu.edu.cn; xuhelian@hnu.edu.cn; zz1726@ynufe.edu.cn</t>
  </si>
  <si>
    <t>Ding, Ke/0000-0002-3309-2234</t>
  </si>
  <si>
    <t>National Social Science Foundation Project of China [16ZDA038]</t>
  </si>
  <si>
    <t>National Social Science Foundation Project of China</t>
  </si>
  <si>
    <t>This research was funded by the National Social Science Foundation Project of China, grant number 16ZDA038.</t>
  </si>
  <si>
    <t>10.3390/su13105700</t>
  </si>
  <si>
    <t>ST6YB</t>
  </si>
  <si>
    <t>WOS:000662586100001</t>
  </si>
  <si>
    <t>Oosterbroek, T; Dirk, B</t>
  </si>
  <si>
    <t>Oosterbroek, Tracy; Dirk, Brittany</t>
  </si>
  <si>
    <t>The experience of Trauma Center-Trauma Sensitive Yoga training on professional practice of mental health professionals and yoga instructors</t>
  </si>
  <si>
    <t>COMPLEMENTARY THERAPIES IN CLINICAL PRACTICE</t>
  </si>
  <si>
    <t>Trauma informed yoga; Trauma sensitive yoga; Trauma yoga</t>
  </si>
  <si>
    <t>POSTTRAUMATIC-STRESS-DISORDER</t>
  </si>
  <si>
    <t>Background and purpose: Traumatic psychological events are thought to alter brain physiology, notably regions such as the thalamus and the limbic system, affecting personal choice, autonomy, and behavior. Innovative therapies are needed to address the diverse, mental and physical consequences of these changes. Trauma Center?Trauma Sensitive Yoga (TC-TSY) has shown promising results in clinical trials among individuals experiencing posttraumatic symptomatology. Materials and methods: Using a qualitative, descriptive design, we examined the impact of TC-TSY training on the professional practice of seven practitioners who were certified yoga instructors and/or registered psychologists. Results: The findings suggest TC-TSY training enriched their practices, chiefly through its choice-based, widely applicable approach; invitation- and mindfulness-based language; and building of therapeutic trust and attunement. Some participants questioned the accessibility and suitability of the training, as well as the rigidity of TC-TSY terminology. Conclusion: More research is needed to examine potential outcomes of TC-TSY practice related to self-efficacy, coping, quality of life, and stress reduction among traumatized individuals.</t>
  </si>
  <si>
    <t>[Oosterbroek, Tracy; Dirk, Brittany] Univ Lethbridge, Nursing, Fac Hlth Sci, Lethbridge, AB, Canada</t>
  </si>
  <si>
    <t>University of Lethbridge</t>
  </si>
  <si>
    <t>Oosterbroek, T (corresponding author), Univ Lethbridge, Nursing, Fac Hlth Sci, Lethbridge, AB, Canada.</t>
  </si>
  <si>
    <t>tracy.oosterbroek@uleth.ca</t>
  </si>
  <si>
    <t>1744-3881</t>
  </si>
  <si>
    <t>1873-6947</t>
  </si>
  <si>
    <t>COMPLEMENT THER CLIN</t>
  </si>
  <si>
    <t>Complement. Ther. Clin. Pract.</t>
  </si>
  <si>
    <t>10.1016/j.ctcp.2021.101365</t>
  </si>
  <si>
    <t>Integrative &amp; Complementary Medicine</t>
  </si>
  <si>
    <t>RV7JY</t>
  </si>
  <si>
    <t>WOS:000646005500016</t>
  </si>
  <si>
    <t>Zheng, JW; Zhang, ZD; Wu, GD; Yang, Y; Xia, NN; Liu, BS</t>
  </si>
  <si>
    <t>Zheng, Junwei; Zhang, Zhenduo; Wu, Guangdong; Yang, Yang; Xia, Nini; Liu, Bingsheng</t>
  </si>
  <si>
    <t>Daily Self-Efficacy, Work Engagement, and Deviance Behavior among Construction Professionals and Workers: Cross-Level Moderating Role of Job Control</t>
  </si>
  <si>
    <t>JOURNAL OF CONSTRUCTION ENGINEERING AND MANAGEMENT</t>
  </si>
  <si>
    <t>Work engagement; Deviance behavior; Experience-sampling method; Conservation of resources; Job demands-resources model; Construction projects</t>
  </si>
  <si>
    <t>DEMANDS-RESOURCES MODEL; EMOTIONAL INTELLIGENCE; ORGANIZATIONAL-BEHAVIOR; INNOVATIVE BEHAVIOR; SUPERVISOR SUPPORT; POSITIVE EMOTIONS; FAMILY CONFLICT; PERFORMANCE; CONSERVATION; DIARY</t>
  </si>
  <si>
    <t>This study is based on the conservation of resources (COR) theory and the job demands-resources (JD-R) model and aimed to investigate the potential within-person relationships between self-efficacy, work engagement, and workplace deviance behavior on a daily level and the potential cross-level effect of job control among construction workers. Data were collected from 128 construction professionals and workers over five consecutive working days using the experience-sampling method. The hierarchical linear modeling results indicated that in construction professionals and workers, the daily experience of self-efficacy was positively associated with daily work engagement, which in turn negatively influenced daily deviance behavior at work. The results also revealed the cross-level moderating effect; job control strengthened the within-person suppressing impact of work engagement on deviance behavior. This study provides episodic evidence for the impact of self-efficacy on work engagement and deviance behavior in the workplace. These findings contribute to the positive psychology knowledge in construction projects by unveiling the psychosocial mechanism of construction professionals and workers through the daily diary survey method to capture the daily fluctuation of beliefs, engagement, and deviance behavior and by revealing the resource accumulation corollary of the COR theory and the motivation process of the JD-R model to highlight the facilitating function of personal and job resources.</t>
  </si>
  <si>
    <t>[Zheng, Junwei] Kunming Univ Sci &amp; Technol, Dept Construct Management, Kunming 650500, Yunnan, Peoples R China; [Zhang, Zhenduo] Harbin Inst Technol, Sch Management, Harbin 150001, Peoples R China; [Wu, Guangdong; Liu, Bingsheng] Chongqing Univ, Sch Publ Affairs, Chongqing 400044, Peoples R China; [Yang, Yang] Hong Kong Polytech Univ, Dept Bldg &amp; Real Estate, Hung Hom, Hong Kong, Peoples R China; [Xia, Nini] Southeast Univ, Sch Civil Engn, Nanjing 210096, Peoples R China</t>
  </si>
  <si>
    <t>Kunming University of Science &amp; Technology; Harbin Institute of Technology; Chongqing University; Hong Kong Polytechnic University; Southeast University - China</t>
  </si>
  <si>
    <t>Xia, NN (corresponding author), Southeast Univ, Sch Civil Engn, Nanjing 210096, Peoples R China.</t>
  </si>
  <si>
    <t>zjwkmust@163.com; 17b910059@stu.hit.edu.cn; gd198410@163.com; yyang@polyu.edu.hk; ninixia@seu.edu.cn; bluesea_boy_1979@163.com</t>
  </si>
  <si>
    <t>Zheng, Junwei/R-7647-2017; Guang-dong, Wu/J-6979-2017</t>
  </si>
  <si>
    <t>Zheng, Junwei/0000-0002-1621-8210; Guang-dong, Wu/0000-0002-2600-0493</t>
  </si>
  <si>
    <t>National Natural Science Foundation of China [71701083, 71761021, 71972018, 71722004]; Yunnan Province Basic Research Planning Project [2019FB084]</t>
  </si>
  <si>
    <t>National Natural Science Foundation of China(National Natural Science Foundation of China (NSFC)); Yunnan Province Basic Research Planning Project</t>
  </si>
  <si>
    <t>This work is supported by the National Natural Science Foundation of China (Grant Nos. 71701083, 71761021, 71972018, and 71722004) and Yunnan Province Basic Research Planning Project (Grant No. 2019FB084). The authors are grateful to all participants of the empirical surveys.</t>
  </si>
  <si>
    <t>ASCE-AMER SOC CIVIL ENGINEERS</t>
  </si>
  <si>
    <t>RESTON</t>
  </si>
  <si>
    <t>1801 ALEXANDER BELL DR, RESTON, VA 20191-4400 USA</t>
  </si>
  <si>
    <t>0733-9364</t>
  </si>
  <si>
    <t>1943-7862</t>
  </si>
  <si>
    <t>J CONSTR ENG M</t>
  </si>
  <si>
    <t>J. Constr. Eng. Manage.</t>
  </si>
  <si>
    <t>10.1061/(ASCE)CO.1943-7862.0002022</t>
  </si>
  <si>
    <t>Construction &amp; Building Technology; Engineering, Industrial; Engineering, Civil</t>
  </si>
  <si>
    <t>Construction &amp; Building Technology; Engineering</t>
  </si>
  <si>
    <t>SK8DR</t>
  </si>
  <si>
    <t>WOS:000656446400022</t>
  </si>
  <si>
    <t>Avsec, S; Savec, VF</t>
  </si>
  <si>
    <t>Avsec, Stanislav; Savec, Vesna Ferk</t>
  </si>
  <si>
    <t>PREDICTIVE MODELLING OF PRE-SERVICE SCIENCE AND TECHNOLOGY TEACHERS' INNOVATIVE BEHAVIOUR</t>
  </si>
  <si>
    <t>JOURNAL OF BALTIC SCIENCE EDUCATION</t>
  </si>
  <si>
    <t>innovative behaviour; predictive modelling; pre-service teachers; science and technology</t>
  </si>
  <si>
    <t>Science and technology (S&amp;T) plays a central role in today's knowledge and technology-based society. The transfer of S&amp;T from the education system to the economy should be promoted by teachers using innovative behaviour as an important aspect of providing high-quality education. Several studies have found that a mismatch exists between the economy and the education sector, and that this can be gradually reduced by innovation in the education system. This research aimed to examine the innovative behaviour of pre-service S&amp;T teachers. A sample of 140 pre-service teachers from the University of Ljubljana, Slovenia was selected, and a set of instruments was used to measure their innovative behaviour in classrooms during the 2019-2020 academic year. A model was created and evaluated using multiple regression analysis. The results showed that self-efficacy and attitudes towards S&amp;T strongly predict innovative behaviour, while situational interest may vary depending on the cognitive demands of tasks. A proactive personality was found to be a key factor determining innovative behaviour, while self-efficacy has direct and indirect influences on innovative behaviour, with its indirect influence mediated by creativity and situational interest. These findings have implications for the redefinition of educational design to enhance innovation in the classroom.</t>
  </si>
  <si>
    <t>[Avsec, Stanislav; Savec, Vesna Ferk] Univ Ljubljana, Fac Educ, Kardeljeva Ploscad 16, SI-1000 Ljubljana, Slovenia</t>
  </si>
  <si>
    <t>Stanislay.Avsec@pef.uni-lj.si; Vesna.Ferk@pef.uni-lj.si</t>
  </si>
  <si>
    <t>Avsec, Stanislav/0000-0002-0487-8115</t>
  </si>
  <si>
    <t>SCI METHODICAL CTR-SCI EDUCOLOGICA</t>
  </si>
  <si>
    <t>SIAULIAI</t>
  </si>
  <si>
    <t>DONELAICIO ST 29, SIAULIAI, LT-78115, LITHUANIA</t>
  </si>
  <si>
    <t>1648-3898</t>
  </si>
  <si>
    <t>J BALT SCI EDUC</t>
  </si>
  <si>
    <t>J. Balt. Sci. Educ.</t>
  </si>
  <si>
    <t>10.33225/jbse/21.20.171</t>
  </si>
  <si>
    <t>RJ3WK</t>
  </si>
  <si>
    <t>WOS:000637528500002</t>
  </si>
  <si>
    <t>Karakowsky, L; Kotlyar, I; Good, J</t>
  </si>
  <si>
    <t>Karakowsky, Len; Kotlyar, Igor; Good, Jessica</t>
  </si>
  <si>
    <t>Identifying the Double-Edged Sword of Stardom: High-Status and Creativity in the Context of Status Instability</t>
  </si>
  <si>
    <t>creativity; status; visibility; autonomy; high potential; goal orientation</t>
  </si>
  <si>
    <t>SELF-EFFICACY; EMPLOYEE CREATIVITY; INNOVATIVE BEHAVIOR; GOAL ORIENTATION; MEDIATING ROLE; SOCIAL-STATUS; PSYCHOLOGICAL EMPOWERMENT; LEARNING ORIENTATION; PERFORMANCE; POWER</t>
  </si>
  <si>
    <t>According to much of the extant research, the conferral of high-status serves as an invaluable muse for creativity. That is, the research has suggested that high-status affords individuals the confidence, freedom, and leeway necessary to bolster creative performance. However, this assertion is premised on the view that status hierarchies are stable and thereby the conferral of high-status is irrevocable. In reality, ample research evidence has asserted that status hierarchies are often unstable, and hence, high-status is not immutable. Consequently, there is a need to revisit the capacity of high-status to bolster creativity under conditions of status instability. Our theoretical paper draws upon the socio-cultural perspective of creativity, in order to develop a conceptual framework that identifies how status instability can, in fact, impede creative behavior of high-status individuals. The liability of high-status can arise via its impact on risk tolerance, perceived autonomy, and intrinsic/extrinsic reward orientation. Our framework also acknowledges how the individual trait of creative self-efficacy can mitigate the negative impact of status instability. The research propositions we present alongside our framework are intended to guide future research in exploring the role of status in the generation of radical, creative behavior.</t>
  </si>
  <si>
    <t>[Karakowsky, Len; Good, Jessica] York Univ, Toronto, ON, Canada; [Kotlyar, Igor] Univ Ontario Inst Technol, Oshawa, ON, Canada</t>
  </si>
  <si>
    <t>York University - Canada; Ontario Tech University</t>
  </si>
  <si>
    <t>Karakowsky, L (corresponding author), York Univ, Sch Adm Studies, 4700 Keele St, Toronto, ON M3J 1P3, Canada.</t>
  </si>
  <si>
    <t>lkarakow@yorku.ca</t>
  </si>
  <si>
    <t>Kotlyar, Igor/0000-0002-3514-0586; Karakowsky, Len/0000-0002-0598-5625</t>
  </si>
  <si>
    <t>10.1002/jocb.486</t>
  </si>
  <si>
    <t>WOS:000596083000001</t>
  </si>
  <si>
    <t>Menter, M</t>
  </si>
  <si>
    <t>Menter, Matthias</t>
  </si>
  <si>
    <t>Entrepreneurial universities and innovative behavior: the impact of gender diversity</t>
  </si>
  <si>
    <t>Entrepreneurial university; university mission; innovative behavior; gender; gender diversity; female scientists</t>
  </si>
  <si>
    <t>TECHNOLOGY-TRANSFER OFFICES; FIRM PERFORMANCE; ECONOMIC-IMPACT; MANAGEMENT; TEAMS; COMMERCIALIZATION; DETERMINANTS; ORIENTATION; PATTERNS; SCIENCE</t>
  </si>
  <si>
    <t>Whereas the impact of entrepreneurial universities is rather well understood, the underlying mechanisms that foster and accelerate university innovation outcomes are much less clear. Besides institutional factors, especially individual characteristics of scientists may decisively influence the quality of university outcomes. The purpose of this paper is to investigate the impact of gender diversity on university innovation outcomes across all three university missions, i.e. teaching, research and the commercialization of knowledge. The results of this study suggest that gender diversity positively affects university innovation outcomes in the context of universities' mission implementation, yet follows an inverted U-shape. Whereas a higher share of female scientists seems to be particularly conducive for innovative behavior with regard to teaching and research activities, male scientists seem to be better able to produce radical innovations, i.e. transfer new knowledge from academia towards the market. The findings further suggest that there seems to be a certain threshold in that a minimum level of gender diversity is necessary to drive augmented innovative behavior within universities. Based on these findings, recommendations for university managers and policy makers are derived as well as future avenues of research are outlined.</t>
  </si>
  <si>
    <t>[Menter, Matthias] Friedrich Schiller Univ Jena, Fac Econ &amp; Business Adm, Jena, Germany</t>
  </si>
  <si>
    <t>Friedrich Schiller University of Jena</t>
  </si>
  <si>
    <t>Menter, M (corresponding author), Carl Zeiss Str 3, D-07743 Jena, Germany.</t>
  </si>
  <si>
    <t>matthias.menter@uni-jena.de</t>
  </si>
  <si>
    <t>10.1080/10438599.2020.1843988</t>
  </si>
  <si>
    <t>ZS6RJ</t>
  </si>
  <si>
    <t>WOS:000593225700001</t>
  </si>
  <si>
    <t>Shih, HA; Nguyen, TV; Chiang, YH</t>
  </si>
  <si>
    <t>Shih, Hsi-An; Tuong-Vy Nguyen; Chiang, Yun-Hwa</t>
  </si>
  <si>
    <t>Perceived HPWP, presence of creative coworkers and employee innovative performance</t>
  </si>
  <si>
    <t>High-performance work practices (HPWP); Innovation; Creative coworker; Information exchange</t>
  </si>
  <si>
    <t>HUMAN-RESOURCE PRACTICES; WORK SYSTEMS; IDEA GENERATION; INFORMATION EXCHANGE; PROACTIVE BEHAVIOR; FIRM PERFORMANCE; MANAGEMENT; KNOWLEDGE; SUPPORT; IMPLEMENTATION</t>
  </si>
  <si>
    <t>Purpose - Drawing on both social exchange theory (SET) and social cognitive theory, this paper aims to theorize and empirically examine a moderated serial mediation model that investigates the underlying mechanism through which high-performance work practices (HPWPs) influence employee innovative behaviors. Design/methodology/approach - The hypotheses are tested on data collected from 182 Taiwanese subordinate-supervisor pairs. Hierarchical regression analyzes and bootstrapping were used to analyze the data. Findings - Findings indicate that employee's individually perceived HPWP is indirectly related to the implementation of workers' creative ideas via information exchange and creative idea generation sequentially. Additionally, the presence of creative coworkers will amplify this serial indirect effect. Originality/value - This study explicates the underlying theoretical logic linking employee perceived HPWP and individual innovation, i.e. the implementation of the worker's creative ideas by proposing a serial mediation effect. This study also emphasizes the importance of the presence of creative coworkers in the workplace.</t>
  </si>
  <si>
    <t>[Shih, Hsi-An; Tuong-Vy Nguyen] Natl Cheng Kung Univ, Tainan, Taiwan; [Chiang, Yun-Hwa] Ming Chuan Univ, Taoyuan, Taiwan</t>
  </si>
  <si>
    <t>National Cheng Kung University; Ming Chuan University</t>
  </si>
  <si>
    <t>Nguyen, TV (corresponding author), Natl Cheng Kung Univ, Tainan, Taiwan.</t>
  </si>
  <si>
    <t>tvy.vivian@gmail.com</t>
  </si>
  <si>
    <t>Nguyen, Tuong Vy/0000-0003-2846-589X</t>
  </si>
  <si>
    <t>10.1108/PR-04-2020-0270</t>
  </si>
  <si>
    <t>YY9GO</t>
  </si>
  <si>
    <t>WOS:000592379100001</t>
  </si>
  <si>
    <t>Link, AN</t>
  </si>
  <si>
    <t>Link, Albert N.</t>
  </si>
  <si>
    <t>Investments in R&amp;D and innovative behavior: an exploratory cross-country study</t>
  </si>
  <si>
    <t>INTERNATIONAL ENTREPRENEURSHIP AND MANAGEMENT JOURNAL</t>
  </si>
  <si>
    <t>R&amp;d; Innovation; Developed economy; Transition economy; Developing economy</t>
  </si>
  <si>
    <t>PERFORMANCE; DETERMINANTS</t>
  </si>
  <si>
    <t>The relationship between investments in research and development (R&amp;D) and innovative behavior, measured in terms of new products or services being delivered to the market, is well documented in the literature. This paper departs from the extant literature in that the unit of observation is a country rather than a firm. Using World Bank aggregate data, this level of analysis thus allows for a systematic study of cross-country observations on an R&amp;D -&gt; Innovation relationship.</t>
  </si>
  <si>
    <t>[Link, Albert N.] Univ North Carolina Greensboro, Dept Econ, Greensboro, NC 27412 USA</t>
  </si>
  <si>
    <t>University of North Carolina; University of North Carolina Greensboro</t>
  </si>
  <si>
    <t>Link, AN (corresponding author), Univ North Carolina Greensboro, Dept Econ, Greensboro, NC 27412 USA.</t>
  </si>
  <si>
    <t>anlink@uncg.edu</t>
  </si>
  <si>
    <t>1554-7191</t>
  </si>
  <si>
    <t>1555-1938</t>
  </si>
  <si>
    <t>INT ENTREP MANAG J</t>
  </si>
  <si>
    <t>Int. Entrep. Manag. J.</t>
  </si>
  <si>
    <t>10.1007/s11365-020-00703-9</t>
  </si>
  <si>
    <t>SK0CY</t>
  </si>
  <si>
    <t>WOS:000587931300001</t>
  </si>
  <si>
    <t>Fan, P; Song, YX; Nepal, S; Lee, H</t>
  </si>
  <si>
    <t>Fan, Peng; Song, Yixiao; Nepal, Surya; Lee, HyoungTaek</t>
  </si>
  <si>
    <t>Can Cultural Intelligence Affect Employee's Innovative Behavior? Evidence From Chinese Migrant Workers in South Korea</t>
  </si>
  <si>
    <t>Chinese migrant workers; climate for inclusion; cultural intelligence; knowledge sharing; innovative behavior</t>
  </si>
  <si>
    <t>MODERATING ROLE; MEDIATING ROLE; DIVERSITY CLIMATE; CREATIVITY; PERFORMANCE; IMPACT; INCLUSION; TEAMS; ORGANIZATIONS; LEADERSHIP</t>
  </si>
  <si>
    <t>This empirical study explores the effect of cultural intelligence (CQ) on migrant workers' innovative behavior, as well as the mediating role of knowledge sharing on the CQ-innovative behavior relationship. Besides, it also examines the extent to which the mediating process is moderated by climate for inclusion. Using survey data collected from Chinese migrant workers and their supervisors working in South Korea (n= 386), migrant workers' CQ is found to positively impact their innovative behavior through enhanced knowledge sharing. However, it is observed that this indirect relationship is significant, only for migrant workers in a strong climate for inclusion. Thus, these findings reveal the underlying mediation and moderation mechanism and consequently unveil the important role of migrant workers' CQ in shaping their behavior. This study provides insightful and practical implications to a multicultural organization, where culturally diverse migrant workers work together.</t>
  </si>
  <si>
    <t>[Fan, Peng] Dongguan Univ Technol, Sch Econ &amp; Management, Dept Int Business &amp; Management, Dongguan, Peoples R China; [Song, Yixiao] Guangdong Univ Finance &amp; Econ, Dept Human Resource Management, Sch Business Adm, Guangzhou, Guangdong, Peoples R China; [Nepal, Surya] Changwon Natl Univ, Dept Business Adm, Chang Won, South Korea; [Lee, HyoungTaek] Chungbuk Natl Univ, Dept Int Business, Cheongju, South Korea</t>
  </si>
  <si>
    <t>Dongguan University of Technology; Guangdong University of Finance &amp; Economics; Changwon National University; Chungbuk National University</t>
  </si>
  <si>
    <t>Song, YX (corresponding author), Guangdong Univ Finance &amp; Econ, Dept Human Resource Management, Sch Business Adm, Guangzhou, Guangdong, Peoples R China.</t>
  </si>
  <si>
    <t>songyixiao@gdufe.edu.cn</t>
  </si>
  <si>
    <t>National Social Science Fund of China [18BGL126]</t>
  </si>
  <si>
    <t>This study was supported by the National Social Science Fund of China Studies on continuous creativity of self-organizing teams in the interactive multi-network inside and outside (project no. 18BGL126).</t>
  </si>
  <si>
    <t>SEP 22</t>
  </si>
  <si>
    <t>10.3389/fpsyg.2020.559246</t>
  </si>
  <si>
    <t>NW6WA</t>
  </si>
  <si>
    <t>WOS:000575155100001</t>
  </si>
  <si>
    <t>Jebali, D; Meschitti, V</t>
  </si>
  <si>
    <t>Jebali, Dorra; Meschitti, Viviana</t>
  </si>
  <si>
    <t>HRM as a catalyst for innovation in start-ups</t>
  </si>
  <si>
    <t>Innovation; Small companies; Human resource management; Work environment; Start-ups; Innovative work behaviour</t>
  </si>
  <si>
    <t>HUMAN-RESOURCE MANAGEMENT; CORPORATE ENTREPRENEURSHIP; CREATIVITY; PERFORMANCE; CLIMATE; ORIENTATION; OUTCOMES; MODEL; FIRMS; LIFE</t>
  </si>
  <si>
    <t>Purpose The study seeks to reduce the blurriness remaining around the value that HRM can bring to innovation in the specific context of start-ups, it advocates that the early adoption of appropriate HRM practices, can act as a catalyst for innovation because they constitute a powerful means to systematically promote and facilitate employees' innovative behaviours. Design/methodology/approach In the aim of complementing the existing quantitative work, this paper employs a multiple case study approach to explore the role of HRM in fostering employees' innovative work behaviour in four Tunisian tech companies. Findings The study found substantial support for the importance of establishing a work environment for learning where employees can build their innovative capacities by upgrading their knowledge and skills through both formal and informal methods. Work autonomy and freedom are found to be essential parts of this environment. Workspace design that takes into account employees' comfort and the collaborative nature of their work, also stands out as a major contributor to innovative work behaviour. Originality/value The adopted qualitative approach enabled a grasp of the less apparent aspects underpinning the HRM and innovation relationship in start-ups. Ownership of space is revealed as a key element of the innovation-supportive work environment. By having a feeling of control on the workspace, employees can develop a sense of ownership towards the organisation which enhances their eagerness to exert innovation efforts. It also demonstrated that developing an overly creative workforce can turn into a source of stagnation which can be mitigated by cultivating an environment for idea ownership.</t>
  </si>
  <si>
    <t>[Jebali, Dorra; Meschitti, Viviana] Univ Huddersfield, Huddersfield Business Sch, Dept Management, Huddersfield, W Yorkshire, England</t>
  </si>
  <si>
    <t>University of Huddersfield</t>
  </si>
  <si>
    <t>Jebali, D (corresponding author), Univ Huddersfield, Huddersfield Business Sch, Dept Management, Huddersfield, W Yorkshire, England.</t>
  </si>
  <si>
    <t>dorra.jebali@hud.ac.uk; V.Meschitti@hud.ac.uk</t>
  </si>
  <si>
    <t>Meschitti, Viviana/AAS-6358-2021</t>
  </si>
  <si>
    <t>Meschitti, Viviana/0000-0002-2147-5289</t>
  </si>
  <si>
    <t>10.1108/ER-03-2020-0140</t>
  </si>
  <si>
    <t>WOS:000573879300001</t>
  </si>
  <si>
    <t>Duan, WJ; Li, YM</t>
  </si>
  <si>
    <t>Duan, Wenjie; Li, Yumei</t>
  </si>
  <si>
    <t>Convergent, Discriminant, and Incremental Validities of Person-Environment Fit Scale for Creativity in Predicting Innovative Behavior</t>
  </si>
  <si>
    <t>person-environment fit; creativity; innovative behavior; validity</t>
  </si>
  <si>
    <t>PAPER-AND-PENCIL; TRANSFORMATIONAL LEADERSHIP; SELF-EFFICACY; MEASUREMENT EQUIVALENCE; EMPLOYEE CREATIVITY; SOCIAL-PSYCHOLOGY; WORK; PERFORMANCE; CLIMATE; ANTECEDENTS</t>
  </si>
  <si>
    <t>This study examined the validity of a 14-item two-factor person-environment fit scale for creativity (PEFSC) to measure the personal and environmental components of creativity. A sample of 2,475 participants completed thePEFSCfor evaluating the factor structure. For convergent, discriminant, and incremental validities, a subsample (N = 362) completed the creative self-efficacy scale, support for innovation subscale of the team climate inventory, and innovative behavior measure. Results indicated the two-factor correlated model showed a better goodness of fit than the one-factor model. Measurement invariance ofPEFSCwas observed across different genders and educational groups. Internal consistency reliabilities were satisfactory (alpha &gt;= .87). The personal dimension indicated stronger associations with creative self-efficacy than with support for innovation, whereas the environmental dimension was related more closely to support for innovation than to creative self-efficacy. Incremental validity was confirmed by significant and additional explanations fromPEFSCin predicting innovative behavior. These results consolidated the application of person-environment fit theoretical framework in creativity research.</t>
  </si>
  <si>
    <t>[Duan, Wenjie] Xian Technol Univ, Xian, Peoples R China; [Duan, Wenjie; Li, Yumei] Wuhan Univ, Wuhan, Peoples R China</t>
  </si>
  <si>
    <t>Xi'an Technological University; Wuhan University</t>
  </si>
  <si>
    <t>Duan, WJ (corresponding author), Wuhan Univ, Dept Sociol, 299 Bayi Rd, Wuhan, Hubei, Peoples R China.</t>
  </si>
  <si>
    <t>duan.w@whu.edu.cn</t>
  </si>
  <si>
    <t>Li, Yumei/ABE-5616-2021; Duan, Wenjie/C-8722-2016</t>
  </si>
  <si>
    <t>Li, Yumei/0000-0001-7184-9042; Duan, Wenjie/0000-0002-1251-3685</t>
  </si>
  <si>
    <t>National Social Science Fund - Youth Project Research on the Construction of National Index of Sense of Gain [17CSH073]; Wuhan University Humanities and Social Sciences Academic Development Program for Young Scholars Sociology of Happiness and Positive Education [WHU2016019]; Positive Psychology Research Foundation of China for Yong Scholars How to cultivate creativity? Uniform training or training in accordance of individual aptitude</t>
  </si>
  <si>
    <t>National Social Science Fund - Youth Project Research on the Construction of National Index of Sense of Gain; Wuhan University Humanities and Social Sciences Academic Development Program for Young Scholars Sociology of Happiness and Positive Education; Positive Psychology Research Foundation of China for Yong Scholars How to cultivate creativity? Uniform training or training in accordance of individual aptitude</t>
  </si>
  <si>
    <t>The author(s) disclosed receipt of the following financial support for the research, authorship, and/or publication of this article: National Social Science Fund - Youth Project Research on the Construction of National Index of Sense of Gain (17CSH073), Wuhan University Humanities and Social Sciences Academic Development Program for Young Scholars Sociology of Happiness and Positive Education (WHU2016019), and Positive Psychology Research Foundation of China for Yong Scholars How to cultivate creativity? Uniform training or training in accordance of individual aptitude.</t>
  </si>
  <si>
    <t>10.1002/jocb.388</t>
  </si>
  <si>
    <t>NR1UC</t>
  </si>
  <si>
    <t>WOS:000571345700003</t>
  </si>
  <si>
    <t>Wen, HW; Xu, YH; Zou, KS</t>
  </si>
  <si>
    <t>Wen, Huwei; Xu, Yinghao; Zou, Kuashi</t>
  </si>
  <si>
    <t>Impact of industry association on the innovation of small and micro enterprises</t>
  </si>
  <si>
    <t>APPLIED ECONOMICS LETTERS</t>
  </si>
  <si>
    <t>Industry association; firm innovation; innovative entrepreneurs; micro enterprises</t>
  </si>
  <si>
    <t>BUSINESS ASSOCIATIONS; NETWORKS</t>
  </si>
  <si>
    <t>Employing OLS, GIVE and propensity score-matching (PSM) methods, this study investigates the impact of industry association on the innovation of small and micro enterprises. Using a survey of China micro and small enterprises (CMES), we find that industry association significantly and positively affects the innovative behaviour of small and micro enterprises, and political connection can enhance the innovative effect of industry association. Enterprises with specific advantages and entrepreneurs with strong innovation awareness and high human capital are likely to be an industry association member. Despite certain discriminations for micro firms, industry association welcomes innovative entrepreneurs and promotes the innovation of its members.</t>
  </si>
  <si>
    <t>[Wen, Huwei] Nanchang Univ, Res Ctr Cent China Econ &amp; Social Dev, Nanchang 330031, Jiangxi, Peoples R China; [Wen, Huwei; Xu, Yinghao; Zou, Kuashi] Nanchang Univ, Sch Econ &amp; Management, Nanchang, Jiangxi, Peoples R China</t>
  </si>
  <si>
    <t>Nanchang University; Nanchang University</t>
  </si>
  <si>
    <t>Wen, HW (corresponding author), Nanchang Univ, Res Ctr Cent China Econ &amp; Social Dev, Nanchang 330031, Jiangxi, Peoples R China.</t>
  </si>
  <si>
    <t>wenhuwei@ncu.edu.cn</t>
  </si>
  <si>
    <t>Wen, Huwei/ABX-7160-2022</t>
  </si>
  <si>
    <t>Wen, Huwei/0000-0002-8422-1593</t>
  </si>
  <si>
    <t>National Statistical Science Research Fund of China [2019LZ36]; Humanities and Social Science Foundation of Ministry of Education of China [19YJC790159]</t>
  </si>
  <si>
    <t>National Statistical Science Research Fund of China; Humanities and Social Science Foundation of Ministry of Education of China(Ministry of Education, China)</t>
  </si>
  <si>
    <t>We acknowledge the financial support from National Statistical Science Research Fund of China [2019LZ36]; Humanities and Social Science Foundation of Ministry of Education of China [19YJC790159].</t>
  </si>
  <si>
    <t>1350-4851</t>
  </si>
  <si>
    <t>1466-4291</t>
  </si>
  <si>
    <t>APPL ECON LETT</t>
  </si>
  <si>
    <t>Appl. Econ. Lett.</t>
  </si>
  <si>
    <t>10.1080/13504851.2020.1808167</t>
  </si>
  <si>
    <t>TP8TS</t>
  </si>
  <si>
    <t>WOS:000558977900001</t>
  </si>
  <si>
    <t>Moller, AP; Xia, CW</t>
  </si>
  <si>
    <t>Moller, Anders Pape; Xia, Canwei</t>
  </si>
  <si>
    <t>The ecological significance of birds feeding from the hand of humans</t>
  </si>
  <si>
    <t>LIFE-HISTORY; EXTINCTION; BEHAVIOR; SUCCESS; TRAITS; BRAINS</t>
  </si>
  <si>
    <t>Animals keep a safe distance to humans and thus humans rarely physically encounter wild animals. However, birds have been known to feed from the hand of humans. Such behaviour must reflect the trade-off between acquisition of food and the risk of being captured by a potential predator feeding from the hand. Relying on YouTube, an international video-sharing platform, we found 36 European bird species recorded feeding from the hand of humans. We compared ecological traits between these species and all other 490 European bird species, which were not recorded as feeding from a human hand. We found that species with a large number of innovative behaviours, a higher rate of introduction success, larger breeding range, larger population size, and urban tolerance have a higher probability of feeding from the hand of a human. These associations were also supported after control for the similarity among taxa due to common phylogenetic descent. In conclusion, these findings suggest that frequent feeding from the hand of a human results in the transition from natural environments to novel urbanized environments with consequences for population size increasing and range expansion.</t>
  </si>
  <si>
    <t>[Moller, Anders Pape; Xia, Canwei] Beijing Normal Univ, Coll Life Sci, Minist Educ, Key Lab Biodivers Sci &amp; Ecol Engn, Beijing 100875, Peoples R China; [Moller, Anders Pape] Univ Paris Saclay, Univ Paris Sud, AgroParisTech, CNRS,Ecol Systemat Evolut, F-91405 Orsay, France</t>
  </si>
  <si>
    <t>Beijing Normal University; AgroParisTech; Centre National de la Recherche Scientifique (CNRS); UDICE-French Research Universities; Universite Paris Saclay</t>
  </si>
  <si>
    <t>Moller, AP (corresponding author), Beijing Normal Univ, Coll Life Sci, Minist Educ, Key Lab Biodivers Sci &amp; Ecol Engn, Beijing 100875, Peoples R China.;Moller, AP (corresponding author), Univ Paris Saclay, Univ Paris Sud, AgroParisTech, CNRS,Ecol Systemat Evolut, F-91405 Orsay, France.</t>
  </si>
  <si>
    <t>anders.moller@u-psud.fr</t>
  </si>
  <si>
    <t>Chinese Ministry of Education (the 111 Project) [B13008]</t>
  </si>
  <si>
    <t>Chinese Ministry of Education (the 111 Project)</t>
  </si>
  <si>
    <t>J. ErritzOe and G. Micali kindly helped find pictures and videos of birds feeding from the hand of a human. This study was supported by the Chinese Ministry of Education (the 111 Project, NO. B13008).</t>
  </si>
  <si>
    <t>JUN 17</t>
  </si>
  <si>
    <t>10.1038/s41598-020-66165-9</t>
  </si>
  <si>
    <t>MD4QK</t>
  </si>
  <si>
    <t>WOS:000543956500013</t>
  </si>
  <si>
    <t>Yu, C</t>
  </si>
  <si>
    <t>Yu, Chen</t>
  </si>
  <si>
    <t>Relationship between Owner-Managers' Creative Self-Efficacy, Career Involvement and Career Subjective Well-Being: Evidence from Marine-Related Enterprises in Coastal City</t>
  </si>
  <si>
    <t>Creative self-efficacy; career involvement; career subjective well-being; marine-related enterprises; owner-managers; coastal city</t>
  </si>
  <si>
    <t>JOB INVOLVEMENT</t>
  </si>
  <si>
    <t>The study aimed to investigate relationship between entrepreneurs' creative self-efficacy, career involvement and career subjective well-being, career involvement mediated the relationship between creative self-efficacy and career subjective well-being. Reviews the literature relating to the effects of innovative behavior is presented to provide the basis for the research hypotheses. We surveyed a sample of 130 marine-related enterprises in coastal city (Shenzhen), in China, a wide range of location, regarding their creative self-efficacy, career involvement and career subjective well-being. Variables were measured by subjective and self-described questionnaires. Regression analyses, correlate analyses and so on were used to get the conclusion. The results showed that (1) Creative self-efficacy predicted career subjective well-being. (2) Career involvement as a mediator of the relationship between creative self-efficacy and career subjective well-being. An understanding of the antecedents of subjective well-being could provide decision-making advice for coastal cities to develop innovative behavior of marine-related enterprises. The results of this study had implications for the economic development of coastal cities and the owner-manager innovation behavior and career management of marine-related enterprises. This paper examined the relations among creative self-efficacy and subjective well-being in career field for the first time, and made a valuable contribution to the study of the owner-manager career and innovation literature of marine-related enterprises. This article also had certain reference value to the policy makers who intend to improve the innovation behavior and subjective well-being of the owners-managers of the enterprises in the coastal cities.</t>
  </si>
  <si>
    <t>[Yu, Chen] Zhejiang Gongshang Univ, Sch Business, Hangzhou 310018, Zhejiang, Peoples R China</t>
  </si>
  <si>
    <t>Zhejiang Gongshang University</t>
  </si>
  <si>
    <t>Yu, C (corresponding author), Zhejiang Gongshang Univ, Sch Business, Hangzhou 310018, Zhejiang, Peoples R China.</t>
  </si>
  <si>
    <t>yuchensf@zjgsu.edu.cn</t>
  </si>
  <si>
    <t>Zhejiang Natural Science Foundation [No.LY18G020004]</t>
  </si>
  <si>
    <t>Zhejiang Natural Science Foundation(Natural Science Foundation of Zhejiang Province)</t>
  </si>
  <si>
    <t>This research was financially supported by Zhejiang Natural Science Foundation (Grant No.LY18G020004).</t>
  </si>
  <si>
    <t>10.2112/JCR-SI115-124.1</t>
  </si>
  <si>
    <t>NK4IF</t>
  </si>
  <si>
    <t>WOS:000566695100124</t>
  </si>
  <si>
    <t>Ge, YQ; Sun, XM</t>
  </si>
  <si>
    <t>Ge, Yuanqin; Sun, Xiaomeng</t>
  </si>
  <si>
    <t>The relationship of employees' strengths use and innovation: Work engagement as a mediator</t>
  </si>
  <si>
    <t>employee strengths use; personal strengths; work engagement; innovative behavior; employee innovation; employee behavior</t>
  </si>
  <si>
    <t>JOB RESOURCES; BEHAVIOR; INTERVENTION; MULTILEVEL</t>
  </si>
  <si>
    <t>We investigated the relationship between employees' strengths use and innovation through the mediator of their work engagement. A validated questionnaire was used to collect data from 158 employees at 3 companies in China. Structural equation modeling results show that work engagement partially mediated the relationship between employee strengths use and innovation. In addition, employee strengths use increased their innovation and made them more engaged in their work, and employees' work engagement, in turn, promoted their innovative behavior. These findings suggest that strengths use alone does not enhance employee innovation: Work engagement is also important. Directions for future research are discussed.</t>
  </si>
  <si>
    <t>[Ge, Yuanqin] East China Jiaotong Univ, Sch Econ &amp; Management, Nanchang, Jiangxi, Peoples R China; [Sun, Xiaomeng] Zhejiang Gongshang Univ, Sch Econ, 18 Xuezheng St, Hangzhou 310018, Zhejiang, Peoples R China; [Sun, Xiaomeng] Univ Perpetual Help Syst DALTA, Grad Sch, Las Pinas, Philippines</t>
  </si>
  <si>
    <t>East China Jiaotong University; Zhejiang Gongshang University</t>
  </si>
  <si>
    <t>Sun, XM (corresponding author), Zhejiang Gongshang Univ, Sch Econ, 18 Xuezheng St, Hangzhou 310018, Zhejiang, Peoples R China.</t>
  </si>
  <si>
    <t>sxm@zjgsu.edu.cn</t>
  </si>
  <si>
    <t>Ge, Yuanqin/0000-0003-2266-6164; SUN, Xiao-Meng/0000-0002-2941-4034</t>
  </si>
  <si>
    <t>e9083</t>
  </si>
  <si>
    <t>10.2224/sbp.9083</t>
  </si>
  <si>
    <t>LL5DC</t>
  </si>
  <si>
    <t>WOS:000531576500011</t>
  </si>
  <si>
    <t>Liu, J; Zhao, XK; Zhao, CL</t>
  </si>
  <si>
    <t>Liu, Jing; Zhao, Xiaokang; Zhao, Chunliang</t>
  </si>
  <si>
    <t>Stimulating and Educating Engineers to Innovate through Individual Continuous Learning</t>
  </si>
  <si>
    <t>individual continuous learning; self-efficacy; organizational climate; risk tolerance; engineer education</t>
  </si>
  <si>
    <t>BEHAVIOR</t>
  </si>
  <si>
    <t>Based on the self-determination theory and planned behavior theory, this paper studied the mechanisms of innovative behavior driven by engineers' individual continuous learning. It was found that individual continuous learning can promote engineers' innovative behavior and that career planning and self-efficacy play a dual mediating role in the effect that individual continuous learning has on bringing about innovative behavior. In addition, engineers' risk tolerance positively increases the effect of individual continuous learning on self-efficacy. Furthermore, the organizational climate affects the innovative behavior brought about by engineers' individual continuous learning. Therefore, we make some suggestions for vocational education and the management of engineers. It is necessary for managers to develop strategies to encourage engineers to continue learning both inside and outside the organization. Organizations need to support engineers in improving their professional skills and abilities so as to enhance self-efficacy. Managers need to pay attention to career planning for engineers, assist them in career planning, and help them to achieve their career goals through training or related courses. Managers also need to allow engineers to make mistakes and strengthen risk education for engineers. Managers need to create a climate of innovation in which members support and cooperate with each other so that engineers can implement innovative behavior more effectively and achieve innovative goals.</t>
  </si>
  <si>
    <t>[Liu, Jing; Zhao, Xiaokang] Donghua Univ, Glorious Sun Sch Business &amp; Management, Shanghai 200051, Peoples R China; [Liu, Jing] Henan Univ Engn, Sch Business &amp; Management, Zhengzhou 451191, Peoples R China; [Zhao, Chunliang] China Ever Bright Bank, Zhengzhou Branch, Zhengzhou 450008, Peoples R China</t>
  </si>
  <si>
    <t>Donghua University; Henan University of Engineering</t>
  </si>
  <si>
    <t>Zhao, XK (corresponding author), Donghua Univ, Glorious Sun Sch Business &amp; Management, Shanghai 200051, Peoples R China.</t>
  </si>
  <si>
    <t>liujing1007@163.com; zxk@dhu.edu.cn; zcl209@163.com</t>
  </si>
  <si>
    <t>Education Department of Henan Province in China [2020-ZZJH-090]; Donghua University [108-10-0108179]</t>
  </si>
  <si>
    <t>Education Department of Henan Province in China; Donghua University</t>
  </si>
  <si>
    <t>This work was supported by (The Education Department of Henan Province in China) under Grant (2020-ZZJH-090) and (The Major humanities and Social Sciences projects of Donghua University in 2019) under Grant (108-10-0108179).</t>
  </si>
  <si>
    <t>10.3390/su12030843</t>
  </si>
  <si>
    <t>KT6PA</t>
  </si>
  <si>
    <t>WOS:000519135101049</t>
  </si>
  <si>
    <t>Chang, KC; Hsu, YT; Cheng, YS; Kuo, NT</t>
  </si>
  <si>
    <t>Chang, Kuo-Chien; Hsu, Ya-Ti; Cheng, Yi-Sung; Kuo, Nien-Te</t>
  </si>
  <si>
    <t>How work engagement influences relationship quality: the roles of work motivation and perceived service guarantee strength</t>
  </si>
  <si>
    <t>hotel; work motivation; employee engagement; perceived service guarantee strength; relationship quality; self-determination theory; Generation Y</t>
  </si>
  <si>
    <t>SELF-DETERMINATION THEORY; GENERATIONAL-DIFFERENCES; HOSPITALITY INDUSTRY; EMPLOYEE ENGAGEMENT; CUSTOMER LOYALTY; CITIZENSHIP BEHAVIOR; INTRINSIC MOTIVATION; TURNOVER INTENTIONS; INNOVATIVE BEHAVIOR; JOB-SATISFACTION</t>
  </si>
  <si>
    <t>It is expected that the population of Generation Y will soon outnumber that of the Baby Boomers and become the largest portion of the overall workforce. However, previous studies have rarely focused on Generation Y employees, and these studies did not consider how different types of work motivations affect employee engagement among Generation Y employees. Thus, based on the self-determination theory, this study investigated how different work motivations affect Generation Y employees' work engagement and how the perceived service guarantee strength (PSGS) mediates the relationship between employee engagement (a firm-level variable) and relationship quality (RQ; an individual-level variable). Responses were collected from Generation Y employees and customers in the hotel industry. A multilevel design and hierarchical linear modelling analysis were employed. The results indicated that among the four work motivations, task enjoyment had the strongest effect on engagement among Generation Y employees, followed by compensation seeking, recognition seeking, and challenge seeking. Additionally, a partial cross-level mediation effect was found in the relationships among employee engagement, PSGS, and RQ. The findings suggest that hospitality managers should support and motivate staff to increase employee engagement and ensure that employees provide the best possible customer service, which should, in turn, improve customer relationships.</t>
  </si>
  <si>
    <t>[Chang, Kuo-Chien] Chihlee Univ Technol, Dept Leisure &amp; Recreat Management, 313,Sect 1,Wunhua Rd, New Taipei 22050, Taiwan; [Hsu, Ya-Ti] Chihlee Univ Technol, Dept Business Adm &amp; Serv Ind Management, 313,Sect 1,Wunhua Rd, New Taipei 22050, Taiwan; [Cheng, Yi-Sung] Univ Missouri, Dept Hospitality Management, 211 Gentry Hall, Columbia, MO 65211 USA; [Kuo, Nien-Te] Natl Kaohsiung Univ Hospitality &amp; Tourism, Dept Travel Management, 1 Songhe Rd, Kaohsiung 81271, Taiwan</t>
  </si>
  <si>
    <t>University of Missouri System; University of Missouri Columbia; National Kaohsiung University of Hospitality &amp; Tourism</t>
  </si>
  <si>
    <t>Hsu, YT (corresponding author), Chihlee Univ Technol, Dept Business Adm &amp; Serv Ind Management, 313,Sect 1,Wunhua Rd, New Taipei 22050, Taiwan.</t>
  </si>
  <si>
    <t>macyati@mail.chihlee.edu.tw</t>
  </si>
  <si>
    <t>Cheng, Yi-Sung/AAB-3080-2019</t>
  </si>
  <si>
    <t>Cheng, Yi-Sung/0000-0003-1924-9503</t>
  </si>
  <si>
    <t>Taiwan Ministry of Science and Technology [MOST 105-2410-H-263-008-]</t>
  </si>
  <si>
    <t>Taiwan Ministry of Science and Technology</t>
  </si>
  <si>
    <t>This research was supported by the Taiwan Ministry of Science and Technology grant [grant number MOST 105-2410-H-263-008-].</t>
  </si>
  <si>
    <t>11-12</t>
  </si>
  <si>
    <t>10.1080/14783363.2019.1700107</t>
  </si>
  <si>
    <t>TQ6BX</t>
  </si>
  <si>
    <t>WOS:000502225500001</t>
  </si>
  <si>
    <t>Luu, T</t>
  </si>
  <si>
    <t>Luu, Tuan</t>
  </si>
  <si>
    <t>Promoting logistics performance in Vietnam-based manufacturing firms The role of service-oriented high-performance work systems and mediation mechanisms</t>
  </si>
  <si>
    <t>INTERNATIONAL JOURNAL OF PHYSICAL DISTRIBUTION &amp; LOGISTICS MANAGEMENT</t>
  </si>
  <si>
    <t>Vietnam; Logistics performance; Serving culture; Collective customer knowledge; Collective role breadth self-efficacy; Service-oriented high-performance work systems (HPWSs)</t>
  </si>
  <si>
    <t>HUMAN-RESOURCE MANAGEMENT; ORGANIZATIONAL PERFORMANCE; TRANSFORMATIONAL LEADERSHIP; INNOVATIVE BEHAVIOR; CUSTOMER KNOWLEDGE; SERVANT LEADERSHIP; SELF-EFFICACY; HR PRACTICES; MULTILEVEL; ORIENTATION</t>
  </si>
  <si>
    <t>Purpose The purpose of this paper is to investigate how service-oriented high-performance work systems (HPWSs) contribute to logistics performance and the mediation mechanisms underlying this relationship. Design/methodology/approach Employees and their managers from logistics departments and/or business departments of manufacturing firms in the Vietnamese business setting were recruited as participants in the data collection. Structural equation modeling was employed for the data analysis. Findings Service-oriented HPWSs demonstrated the positive effects on logistics performance via serving culture. Serving culture was found to have the positive link with logistics performance via the mediating roles of collective role breadth self-efficacy and collective customer knowledge. Originality/value The current research extends the logistics management research by identifying service-oriented HPWSs as an antecedent of logistics performance as well as the mediation mechanisms underlying this effect.</t>
  </si>
  <si>
    <t>[Luu, Tuan] Swinburne Univ Technol, Melbourne, Vic, Australia</t>
  </si>
  <si>
    <t>Luu, T (corresponding author), Swinburne Univ Technol, Melbourne, Vic, Australia.</t>
  </si>
  <si>
    <t>0960-0035</t>
  </si>
  <si>
    <t>1758-664X</t>
  </si>
  <si>
    <t>INT J PHYS DISTR LOG</t>
  </si>
  <si>
    <t>Int. J. Phys. Distrib. Logist. Manag.</t>
  </si>
  <si>
    <t>10.1108/IJPDLM-07-2017-0238</t>
  </si>
  <si>
    <t>HK4FM</t>
  </si>
  <si>
    <t>WOS:000457877400004</t>
  </si>
  <si>
    <t>Cinar, F; Toker, K</t>
  </si>
  <si>
    <t>Cinar, Fadime; Toker, Kerem</t>
  </si>
  <si>
    <t>An examination of the effect of loneliness on the innovative behavior of health science faculty students</t>
  </si>
  <si>
    <t>CHINESE MEDICAL JOURNAL</t>
  </si>
  <si>
    <t>Loneliness; Innovative behavior; Health science</t>
  </si>
  <si>
    <t>INDIVIDUAL INNOVATIVENESS; WORK BEHAVIOR; VALIDITY; SCALE; PERFORMANCE; MANAGEMENT; IMPACT</t>
  </si>
  <si>
    <t>Background: Contributing to the innovative behavior of individuals in the health management process is a desirable condition for increased health institution performance. The relationship between the sense of loneliness and individual innovation behaviors has not been studied and relevant literature is extremely limited. The purpose of this research was to examine the effect of an individual's sense of loneliness on their innovative behavior. Methods: The research was performed between January and October 2018. The effects of loneliness feelings on the individual innovative behaviors of 451 health science faculty students were measured. The data were collected using the Individual information Form, the individual innovation scale, and the University of California Los Angeles loneliness scale. The reliability and validity of the scales were tested with Structural Equation Modeling. Results: It was found that the female participants showed exhibited more innovative behavior than the men. However, there was no significant difference in the loneliness status of participants by gender. A group of 23-year-old individuals showed a significant difference in the risk taking dimension compared to other age groups. First-grade students had more points in the experimental openness and opinion leadership sub-dimension than the other classes. It was observed that the behavior is molded as the education level increases. The regression models showed that loneliness has a negative effect of -0.254 on experiential openness and the leadership of ideas, and has a negative effect of -0.216 on risk taking. There was no effect of the sub-dimensions of loneliness on change resistance. Moreover, on the individualistic behavior of physical loneliness, a -0.267 negative effect was observed. Emotional loneliness has no effect on the sub-dimensions of individual innovation. Finally, the total sense of loneliness was found to have a negative effect on total individual innovation. Conclusions: The study results clearly show that physical loneliness has a negative effect on individual innovation. It can be said that individuals living in social environments exhibit more innovative behaviors. However, emotional loneliness has no significant effect on innovative behavior. In this context, designing social spaces in health institutions will stimulate individuals' innovative behaviors.</t>
  </si>
  <si>
    <t>[Cinar, Fadime] Sabahattin Zaim Univ, Fac Hlth Sci, Hlth Management, TR-34303 Istanbul, Turkey; [Toker, Kerem] Bezmialem Vakif Univ, Fac Hlth Sci, Hlth Management, TR-34050 Istanbul, Turkey</t>
  </si>
  <si>
    <t>Bezmialem Vakif University</t>
  </si>
  <si>
    <t>Cinar, F (corresponding author), Sabahattin Zaim Univ, Fac Hlth Sci, Hlth Management, TR-34303 Istanbul, Turkey.</t>
  </si>
  <si>
    <t>fadime.cinar@izu.edu.tr</t>
  </si>
  <si>
    <t>Çınar, Fadime/ABI-3974-2020; TOKER, Kerem/AAC-9725-2022</t>
  </si>
  <si>
    <t>Çınar, Fadime/0000-0002-9017-4105; TOKER, Kerem/0000-0002-1904-1406</t>
  </si>
  <si>
    <t>0366-6999</t>
  </si>
  <si>
    <t>CHINESE MED J-PEKING</t>
  </si>
  <si>
    <t>Chin. Med. J.</t>
  </si>
  <si>
    <t>10.1097/CM9.0000000000000031</t>
  </si>
  <si>
    <t>HT5HA</t>
  </si>
  <si>
    <t>WOS:000464593000006</t>
  </si>
  <si>
    <t>Daskin, M</t>
  </si>
  <si>
    <t>Daskin, Mustafa</t>
  </si>
  <si>
    <t>Testing a structural equation model of polychronicity Moderating role of organization mission fulfilment</t>
  </si>
  <si>
    <t>Hotel; Polychronicity; Ethical climate; Organization mission fulfilment; Error strain; Service innovative behaviours; Hotels</t>
  </si>
  <si>
    <t>ETHICAL WORK CLIMATE; INNOVATIVE BEHAVIOR; JOB-SATISFACTION; TURNOVER INTENTION; HOTEL EMPLOYEES; MEDIATING ROLE; PERFORMANCE; DETERMINANTS; LEADERSHIP; ORIENTATION</t>
  </si>
  <si>
    <t>Purpose - This paper aims to explore the role of ethical climate as an antecedent of polychronicity, then in turn the effect of polychronicity on frontline employees' service innovative behaviours (SIBE) and error strain and the moderating role of organizationmission fulfilment in these relationships in a hotel job context in Penang, Malaysia. Design/methodology/approach - In the current study, the data were collected from 312 frontline employees in the survey premises. A partial least square approach of the structural equation modelling technique (PLS-SEM) was used to test the associations among study variables. Findings - The study findings reveal that ethical climate had positive impact on polychronicity. Significantly, polychronicity made positive influence on SIBEs and negative influence on error strain. Organization mission fulfilment was found to boost the influence of ethical climate on polychronicity. Finally, while organization mission fulfilment was found to boost the positive influence of polychronicity on SIBEs, on the other hand, buffers the negative impact of polychronicity on error strain. Practical implications - The present study procures implications for practitioners in terms of establishing ethical climate in work environment and maximizing the frontline employees' SIBEs while minimizing error strain. In addition, this research procures valuable implications to apply efficient managerial tools and improve job results in the lodging industry context of Peninsular Malaysia. Originality/value - This study by investigating the untested associations such as the influence of polychronicity on frontline employees' SIBEs and error strain contributes to the related literature.</t>
  </si>
  <si>
    <t>[Daskin, Mustafa] Sinop Univ, Sch Tourism, Sinop, Turkey</t>
  </si>
  <si>
    <t>Sinop University</t>
  </si>
  <si>
    <t>Daskin, M (corresponding author), Sinop Univ, Sch Tourism, Sinop, Turkey.</t>
  </si>
  <si>
    <t>daskinmus@hotmail.com</t>
  </si>
  <si>
    <t>10.1108/IJCHM-05-2018-0349</t>
  </si>
  <si>
    <t>JK7DC</t>
  </si>
  <si>
    <t>WOS:000495000300010</t>
  </si>
  <si>
    <t>Dudzinski, KM; Yeater, D; Bolton, T; Eskelinen, H; Hill, H</t>
  </si>
  <si>
    <t>Dudzinski, Kathleen M.; Yeater, Deirdre; Bolton, Teri; Eskelinen, Holli; Hill, Heather</t>
  </si>
  <si>
    <t>Defining Creativity and Confirming Understanding of the Concept in Dolphins: Research and Training Perspectives</t>
  </si>
  <si>
    <t>AQUATIC MAMMALS</t>
  </si>
  <si>
    <t>innovative; creative; cognition; training approach; bottlenose dolphins; Tursiops truncatus</t>
  </si>
  <si>
    <t>BOTTLE-NOSED DOLPHINS; TURSIOPS-TRUNCATUS; TOOL USE; PLAY; REINFORCEMENT; IMITATION; SPONGE; SP.</t>
  </si>
  <si>
    <t>Dolphin cognitive abilities have been examined by establishing a concept-oriented cue, the innovate discriminative stimulus (S-D), wherein an individual is required to perform something new or different upon each stimulus given. Although a number of facilities have trained this behavior with a wide range of species, neither the training nor the level of creativity in response to this cue has been researched systematically. Moreover, differing criteria exist for whether novel or different behaviors should be defined as innovative as evidenced by the research to date. Ultimately, our goal is to establish a research and training protocol for using the innovate S-D to assess the creative abilities in nonhuman species. We compared innovate training methodologies used with dolphins specifically, although a number of other species have been trained on this behavior based on anecdotal reports. Our literature review, including discussions with trainers, indicated that a number of potential pitfalls occur when training this cognitive task (e.g., avoid shaping a chained behavioral response). This methodological review provides both a clear definition of the criteria accepted for innovative behavior and a suggested approach for training and testing this concept in dolphins. Finally, the more unambiguously that we understand innovative behavior in a controlled setting, such as under stimulus control, the more we will be able to gain from studies of spontaneous behavior and other examples of behavioral innovation observed in the wild.</t>
  </si>
  <si>
    <t>[Dudzinski, Kathleen M.] Dolphin Commun Project, POB 7485, Port St Lucie, FL 34985 USA; [Yeater, Deirdre] Sacred Heart Univ, Psychol, Fairfield, CT 06825 USA; [Bolton, Teri] Anthonys Key Resort, Roatan Inst Marine Sci, Sandy Bay, Roatan, Honduras; [Eskelinen, Holli] Dolphins Plus, Key Largo, FL 33037 USA; [Hill, Heather] St Marys Univ, Psychol, San Antonio, TX 78228 USA</t>
  </si>
  <si>
    <t>Sacred Heart University</t>
  </si>
  <si>
    <t>Dudzinski, KM (corresponding author), Dolphin Commun Project, POB 7485, Port St Lucie, FL 34985 USA.</t>
  </si>
  <si>
    <t>kathleen@dcpmail.org</t>
  </si>
  <si>
    <t>EUROPEAN ASSOC AQUATIC MAMMALS</t>
  </si>
  <si>
    <t>MOLINE</t>
  </si>
  <si>
    <t>C/O DR JEANETTE THOMAS, BIOLOGICAL SCIENCES, WESTERN ILLIONIS UNIV-QUAD CITIES, 3561 60TH STREET, MOLINE, IL 61265 USA</t>
  </si>
  <si>
    <t>0167-5427</t>
  </si>
  <si>
    <t>AQUAT MAMM</t>
  </si>
  <si>
    <t>Aquat. Mamm.</t>
  </si>
  <si>
    <t>10.1578/AM.44.4.2018.426</t>
  </si>
  <si>
    <t>Marine &amp; Freshwater Biology; Zoology</t>
  </si>
  <si>
    <t>GM4OZ</t>
  </si>
  <si>
    <t>WOS:000438102500008</t>
  </si>
  <si>
    <t>Mensching, A; Henne, H; Simianer, H; Sharifi, AR</t>
  </si>
  <si>
    <t>Mensching, A.; Henne, H.; Simianer, H.; Sharifi, A. R.</t>
  </si>
  <si>
    <t>Analysis of food intake associated behavioral traits of boars using data from transponder feeding</t>
  </si>
  <si>
    <t>ZUCHTUNGSKUNDE</t>
  </si>
  <si>
    <t>Pig; transponder feeding; feeding behavior; quantitative-genetic parameters</t>
  </si>
  <si>
    <t>GROWING PIGS; PERFORMANCE; WEIGHT</t>
  </si>
  <si>
    <t>To analyze the behavior of pigs, a raw dataset of transponder based recording of individual feed intake with observations from 5.931 Pietrain boars was provided by Bundes Hybrid Zucht Programm (BHZP GmbH, Dahlenburg-Ellringen). Primarily, due to possible technically caused errors in automated data collection, a comprehensive plausibility check of the raw dataset was required. Referring to this, 15 criteria were defined to identify unreasonable and inconsistent observations. On the basis of the plausible data, performance and feeding behavior traits were determined. Among these are several innovative behavior traits, which can be used in future studies to analyze the association to other traits, for example the behavior disorder tail biting. For each trait variance components and heritabilities were estimated from a univariate BLUP animal model. Some of the behavior traits showed high heritabilities, for example the average eating speed with h(2) = 0,58 and the average duration of visit in the automatic feeder with h(2) = 0,49. Genetic and phenotypic correlations were estimated from bivariate BLUP animal models. The traits average amount of feed per visit, number of visits per day, and variability of number of visits per day showed high genetic and phenotypic correlations. The trait average eating speed had a low genetic correlation to daily gain and the feed conversion ratio.</t>
  </si>
  <si>
    <t>[Mensching, A.; Simianer, H.; Sharifi, A. R.] Georg August Univ Gottingen, Abt Tierzucht &amp; Haustiergenet, Dept Nutztierwissensch, D-37075 Gottingen, Germany; [Henne, H.] BHZP GmbH, Wassermuhle 8, D-21368 Dahlenburg Ellringen, Germany</t>
  </si>
  <si>
    <t>University of Gottingen</t>
  </si>
  <si>
    <t>Mensching, A (corresponding author), Georg August Univ Gottingen, Abt Tierzucht &amp; Haustiergenet, Dept Nutztierwissensch, D-37075 Gottingen, Germany.</t>
  </si>
  <si>
    <t>andre.mensching@uni-goettingen.de; henne@bhzp.de; hsimian@gwdg.de; rsharif@gwdg.de</t>
  </si>
  <si>
    <t>EUGEN ULMER GMBH CO</t>
  </si>
  <si>
    <t>POSTFACH 700561 WOLLGRASWEG 41, D-70599 STUTTGART, GERMANY</t>
  </si>
  <si>
    <t>0044-5401</t>
  </si>
  <si>
    <t>1867-4518</t>
  </si>
  <si>
    <t>Zuchtungskunde</t>
  </si>
  <si>
    <t>Agriculture, Dairy &amp; Animal Science</t>
  </si>
  <si>
    <t>GG1KB</t>
  </si>
  <si>
    <t>WOS:000432444800008</t>
  </si>
  <si>
    <t>Wu, J; Lin, Y</t>
  </si>
  <si>
    <t>Wu, Jin; Lin, Yi</t>
  </si>
  <si>
    <t>Interaction between the Different Leadership Styles on Innovative Behavior based on Organizational Culture in Ecological Industry: Empirical Research from China</t>
  </si>
  <si>
    <t>EKOLOJI</t>
  </si>
  <si>
    <t>leadership style; organizational culture; innovative behavior; ecological industry</t>
  </si>
  <si>
    <t>TRANSACTIONAL LEADERSHIP; PERFORMANCE; CREATION</t>
  </si>
  <si>
    <t>Owing to the accelerating of globalization in past years and the changeable technologies, a lot of companies positively promote innovation or personal creativity, expecting to achieve the sustainable management in the changeable environment. An enterprise has to constantly create new products, services, and processes to stand on the top. For this reason, innovation is regarded as a method of enterprise survival. There are certain risks for innovation. However, it would be dangerous for an enterprise remain the same, as the competitors might outperform with the development of more competitive innovation technology and the application of novel thinking. Innovation is inevitable in technology, service, and manufacturing industries, as an enterprise would not achieve the sustainable management without innovation. In the globally competitive environment, the size of an enterprise and the departments or staff in an enterprise should be innovated to maintain certain competitiveness and keep the leading status in the market. It is worth noticing that, among various factors in employees' innovation or creativity, leadership might be the essential factor in employees' creativity. In other words, a leader could establish situations and conditions to facilitate the subordinates' performance on creativity and further achieve the goal. Nonetheless, several studies on innovation focused on organizational innovation, but seldom studied employees' creativity and innovation capabilities. Since employees' creativity and innovation are the sources of organizational innovation, it is considered essential to study employee innovation. Aiming at the effect of leadership style on organizational culture and innovative behavior, ecological industry in Guangdong Province are sampled for the questionnaire survey. According to the statistical analyses, conclusions and suggestions are proposed, expecting to help ecological industry induce more innovative behaviors and performance of the employees.</t>
  </si>
  <si>
    <t>[Wu, Jin; Lin, Yi] Sun Yat Sen Univ, Business Sch, Nanfang Coll, Guangzhou, Guangdong, Peoples R China</t>
  </si>
  <si>
    <t>Nanfang College, Guangzhou; Sun Yat Sen University</t>
  </si>
  <si>
    <t>Wu, J (corresponding author), Sun Yat Sen Univ, Business Sch, Nanfang Coll, Guangzhou, Guangdong, Peoples R China.</t>
  </si>
  <si>
    <t>ruojincn@126.com</t>
  </si>
  <si>
    <t>FOUNDATION ENVIRONMENTAL PROTECTION &amp; RESEARCH-FEPR</t>
  </si>
  <si>
    <t>BASMANE KONAK-IZMIR</t>
  </si>
  <si>
    <t>MURESELPASA BULVARI 1265 SOKAK 10-10, H MEVLUT SUSUZLU IS MERKESI, PK 63, BASMANE KONAK-IZMIR, 35230, TURKEY</t>
  </si>
  <si>
    <t>1300-1361</t>
  </si>
  <si>
    <t>Ekoloji</t>
  </si>
  <si>
    <t>UNSP e106076</t>
  </si>
  <si>
    <t>HF2NR</t>
  </si>
  <si>
    <t>WOS:000454073800077</t>
  </si>
  <si>
    <t>Eshtehardi, MSA; Bagheri, SK; Di Minin, A</t>
  </si>
  <si>
    <t>Eshtehardi, Mojgan Samandar Ali; Bagheri, Seyed Kamran; Di Minin, Alberto</t>
  </si>
  <si>
    <t>Regional innovative behavior: Evidence from Iran</t>
  </si>
  <si>
    <t>Regional innovation behavior; Knowledge production function; Iran; Patent; Spatial knowledge spillover</t>
  </si>
  <si>
    <t>KNOWLEDGE SPILLOVERS; MARKET-SIZE; PATENTS; SYSTEMS; OPPORTUNITY</t>
  </si>
  <si>
    <t>The present paper studied regional innovative behavior in Iran through a spatial knowledge production function approach by employing the principal components analysis (PCA). To this end, the determinants of regional innovative behavior, as measured by the number of Iranian patents granted to resident applicants, were analyzed. In addition to the total number of patents, the effects of the innovative factors were examined on company patents, university patents, and personal patent, separately. Fourteen explanatory variables were converted by PCA into three components: contextual index, industrial index, and low-welfare index. The results showed that the low-welfare index was relatively more important in explaining innovative behaviors at the regional level, while company patents were more sensitive to contextual index. Moreover, the results pointed to the lack of knowledge spillover across Iranian regions. (C) 2016 Elsevier Inc. All rights reserved.</t>
  </si>
  <si>
    <t>[Eshtehardi, Mojgan Samandar Ali] Scuola Super Sant Anna, Inst Econ, Pisa, Italy; [Bagheri, Seyed Kamran; Di Minin, Alberto] Scuola Super Sant Anna, Ist Management, Pisa, Italy</t>
  </si>
  <si>
    <t>Scuola Superiore Sant'Anna; Scuola Superiore Sant'Anna</t>
  </si>
  <si>
    <t>Eshtehardi, MSA (corresponding author), Scuola Super Sant Anna, Inst Econ, Pisa, Italy.</t>
  </si>
  <si>
    <t>m.samandaralieshtehardi@sssup.it; s.bagheri@sssup.it; a.diminin@sssup.it</t>
  </si>
  <si>
    <t>10.1016/j.techfore.2016.02.011</t>
  </si>
  <si>
    <t>FC9TP</t>
  </si>
  <si>
    <t>WOS:000407184300012</t>
  </si>
  <si>
    <t>Bisschop, A; van Tulder, MW</t>
  </si>
  <si>
    <t>Bisschop, Arno; van Tulder, Maurits W.</t>
  </si>
  <si>
    <t>Market approval processes for new types of spinal devices: challenges and recommendations for improvement</t>
  </si>
  <si>
    <t>EUROPEAN SPINE JOURNAL</t>
  </si>
  <si>
    <t>Spinal devices; Market approval</t>
  </si>
  <si>
    <t>MINIMALLY INVASIVE DECOMPRESSION; BONE MORPHOGENETIC PROTEIN-2; INTERSPINAL PROCESS IMPLANT; X-STOP; DYNAMIC STABILIZATION; LUMBAR SPINE; NEUROGENIC CLAUDICATION; ORTHOPEDIC DEVICES; COST-EFFECTIVENESS; STENOSIS</t>
  </si>
  <si>
    <t>Spinal pathology and related symptoms are among the most common health problems and are associated with high health care costs and productivity losses. Due to the aging population, these costs are further increasing every year. Another important reason for the increasing costs is the market approval of new technologies, such as spinal devices that are usually more expensive than the existing technologies. Previous cases of medical device failure led to concern about possible deficiencies in the market approval process. The objective is to provide an overview of U.S. Food and Drug Administration (FDA) regulation regarding spinal implants to delineate the challenges and opportunities that spine surgery currently faces. In this paper, two cases of market entries of spinal devices are presented and evaluated to illustrate these deficiencies. Spinal implant regulation is facing several challenges. New spinal devices should increase patient outcomes and safety at reasonable societal costs. The main challenge is to have a rigorous evaluation before dissemination, while still leaving room for innovative behavior that thrusts the healthcare practice forward. We have provided recommendations to enhance spinal implant regulation and improve and ensure the patient's safety and the future of spine surgery.</t>
  </si>
  <si>
    <t>[Bisschop, Arno] Vrije Univ Amsterdam, Dept Orthoped Surg, Med Ctr, NL-1081 HV Amsterdam, Netherlands; [van Tulder, Maurits W.] Vrije Univ Amsterdam, Fac Earth &amp; Life Sci, Dept Hlth Sci, De Boelelaan 1085, NL-1081 HV Amsterdam, Netherlands</t>
  </si>
  <si>
    <t>Vrije Universiteit Amsterdam; Vrije Universiteit Amsterdam</t>
  </si>
  <si>
    <t>van Tulder, MW (corresponding author), Vrije Univ Amsterdam, Fac Earth &amp; Life Sci, Dept Hlth Sci, De Boelelaan 1085, NL-1081 HV Amsterdam, Netherlands.</t>
  </si>
  <si>
    <t>maurits.van.tulder@vu.nl</t>
  </si>
  <si>
    <t>van Tulder, Maurits/AAB-9785-2022</t>
  </si>
  <si>
    <t>van Tulder, Maurits/0000-0002-7589-8471</t>
  </si>
  <si>
    <t>0940-6719</t>
  </si>
  <si>
    <t>1432-0932</t>
  </si>
  <si>
    <t>EUR SPINE J</t>
  </si>
  <si>
    <t>Eur. Spine J.</t>
  </si>
  <si>
    <t>10.1007/s00586-016-4606-1</t>
  </si>
  <si>
    <t>Clinical Neurology; Orthopedics</t>
  </si>
  <si>
    <t>Neurosciences &amp; Neurology; Orthopedics</t>
  </si>
  <si>
    <t>DW2IG</t>
  </si>
  <si>
    <t>WOS:000383465500036</t>
  </si>
  <si>
    <t>Tigre, PB; do Nascimento, CVMF; Costa, LS</t>
  </si>
  <si>
    <t>Tigre, Paulo Bastos; Machado Franca do Nascimento, Caio Victor; Costa, Lais Silveira</t>
  </si>
  <si>
    <t>Windows of opportunities and technological innovation in the Brazilian pharmaceutical industry</t>
  </si>
  <si>
    <t>Drug Industry; Generic Drugs; Sustainable Development; Innovation</t>
  </si>
  <si>
    <t>BIOSIMILARS; HEALTH; PERFORMANCE; DRUGS</t>
  </si>
  <si>
    <t>The Brazilian pharmaceutical industry is heavily dependent on external sources of inputs, capital, and technology. However, the emergence of technological opportunities and the development of biotechnology and the decline of the patent boom and resulting advances by generic drugs have opened windows of opportunities for the local industry. The article examines the Brazilian industry's innovative behavior vis-a-vis these opportunities, showing that although the industry as a whole invests little in innovation, a few large Brazilian companies have expanded their market share and stepped up their investments in research and development, supported by public policies for innovation.</t>
  </si>
  <si>
    <t>[Tigre, Paulo Bastos; Machado Franca do Nascimento, Caio Victor] Univ Fed Rio de Janeiro, Rio De Janeiro, Brazil; [Costa, Lais Silveira] Fundacao Oswaldo Cruz, Escola Nacl Saude Publ Sergio Arouca, Rio De Janeiro, Brazil</t>
  </si>
  <si>
    <t>Universidade Federal do Rio de Janeiro; Fundacao Oswaldo Cruz</t>
  </si>
  <si>
    <t>Tigre, PB (corresponding author), Rua Barao da Torre 436,Apto 301, BR-22411002 Rio De Janeiro, RJ, Brazil.</t>
  </si>
  <si>
    <t>pbtigre@gmail.com</t>
  </si>
  <si>
    <t>Brazilian National Research Council (CNPq) [405077/2013-0]; Rio de Janeiro Federal University (UFRJ); Sergio Arouca National School of Public Health, Oswaldo Cruz Foundation (ENSP/Fiocruz) [ENSP-007-LIV-07-5]</t>
  </si>
  <si>
    <t>Brazilian National Research Council (CNPq)(Conselho Nacional de Desenvolvimento Cientifico e Tecnologico (CNPQ)); Rio de Janeiro Federal University (UFRJ); Sergio Arouca National School of Public Health, Oswaldo Cruz Foundation (ENSP/Fiocruz)</t>
  </si>
  <si>
    <t>The authors wish to thank Brazilian National Research Council (CNPq; process n. 405077/2013-0) for supporting this research, as well as the Rio de Janeiro Federal University (UFRJ) and Sergio Arouca National School of Public Health, Oswaldo Cruz Foundation (ENSP/Fiocruz; project ENSP-007-LIV-07-5).</t>
  </si>
  <si>
    <t>e00103315</t>
  </si>
  <si>
    <t>10.1590/0102-311X00103315</t>
  </si>
  <si>
    <t>WOS:000388468500007</t>
  </si>
  <si>
    <t>Nakrosis, V; Martinaitis, Z</t>
  </si>
  <si>
    <t>Nakrosis, Vitalis; Martinaitis, Zilvinas</t>
  </si>
  <si>
    <t>SUNRISE AND SUNSET OF LITHUANIAN AGENCIES</t>
  </si>
  <si>
    <t>TRANSYLVANIAN REVIEW OF ADMINISTRATIVE SCIENCES</t>
  </si>
  <si>
    <t>Lithuania; agencification; autonomy; control agency; New Public Management; innovation</t>
  </si>
  <si>
    <t>Based on the transformative approach, the NPM and post-NPM models this article explains the proliferation, autonomy, control and innovative behavior of Lithuanian agencies and other public sector organizations in the 1990-2010 period. While the expansion of governmental functions during Lithuania's transition to democracy and its accession to the EU brought agencification in 1990-2004, the adoption of government-wide organizational reforms during the economic crisis marked the start of de-agencification in 2009-2010. The degree of autonomy and control of the Lithuanian public sector organizations is largely explained by their legal basis and political salience of their tasks. Finally, in line with the post-NPM model, structural capacities and participation in networks have a strong impact on innovative behavior of these organizations.</t>
  </si>
  <si>
    <t>[Nakrosis, Vitalis; Martinaitis, Zilvinas] Vilnius Univ, Inst Int Relat &amp; Polit Sci, Dept European Studies, Vilnius, Lithuania</t>
  </si>
  <si>
    <t>Vilnius University</t>
  </si>
  <si>
    <t>Nakrosis, V (corresponding author), Vilnius Univ, Inst Int Relat &amp; Polit Sci, Dept European Studies, Vilnius, Lithuania.</t>
  </si>
  <si>
    <t>vitalis.nakrosis@tspmi.vu.lt; zilvinas@vpvi.lt</t>
  </si>
  <si>
    <t>Martinaitis, Zilvinas/AAD-7956-2020</t>
  </si>
  <si>
    <t>BABES-BOLYAI UNIV</t>
  </si>
  <si>
    <t>CLUJ-NAPOCA</t>
  </si>
  <si>
    <t>FACULTY POLITICAL, ADMINSTRATIVE &amp; COMMUNICATION SCIENCES, PUBLIC ADMIN DEPT, CENTER RES PUBLIC ADM, CLUJ-NAPOCA, 400132, ROMANIA</t>
  </si>
  <si>
    <t>1842-2845</t>
  </si>
  <si>
    <t>TRANSYLV REV ADM SCI</t>
  </si>
  <si>
    <t>Transylv. Rev. Adm. Sci.</t>
  </si>
  <si>
    <t>850KY</t>
  </si>
  <si>
    <t>WOS:000297194700007</t>
  </si>
  <si>
    <t>Chao, CY; Lin, YS; Cheng, YL; Liao, SC</t>
  </si>
  <si>
    <t>Chao, Chih-Yang; Lin, Yong-Shun; Cheng, Yu-Lin; Liao, Shu-Chia</t>
  </si>
  <si>
    <t>A research on the relationship among market orientation, absorptive capability, organizational innovation climate and innovative behavior in Taiwan's manufacturing industry</t>
  </si>
  <si>
    <t>Market orientation; innovation behavior; absorptive capability; organizational innovation climate</t>
  </si>
  <si>
    <t>CAPACITY; APPROPRIATION; CULTURE</t>
  </si>
  <si>
    <t>The main purpose of this study was to investigate the influence of the market orientation on innovation behavior in manufacturing industry, the interference of the absorptive capability in the relation between market orientation and innovation behavior, and the interference of organizational innovation climate in the relation between market orientation and innovation behavior. By random sampling, 100 companies became the objects of the research. Five questionnaires were delivered to each of the companies, and 206 questionnaires were recollected. The data of the investigation were analyzed by Confirmatory Factor Analysis, and Hierarchical Regression. The finding of the research is that there is a positive influence of market orientation on innovation behavior in manufacturing industry; in addition, the absorptive capability of the R&amp;D personnel can reinforce the influence of market orientation on innovation behavior, and organizational innovation climate can also reinforce the influence of market orientation on innovation behavior as well. According to the results stated, the industry should emphasize the system of market orientation and the absorptive capability of knowledge, and construct good innovation climate to encourage innovation behavior of employees.</t>
  </si>
  <si>
    <t>[Chao, Chih-Yang; Lin, Yong-Shun; Cheng, Yu-Lin] Natl Chunghua Univ Educ, Dept Ind Educ &amp; Technol, Changhua, Taiwan; [Liao, Shu-Chia] Hsiuping Inst Technol, Dept Informat Management, Dali City 41280, Taichung County, Taiwan</t>
  </si>
  <si>
    <t>837VT</t>
  </si>
  <si>
    <t>WOS:000296235800011</t>
  </si>
  <si>
    <t>Romero-Martinez, AM; Ortiz-de-Urbina-Criado, M</t>
  </si>
  <si>
    <t>Romero-Martinez, Ana M.; Ortiz-de-Urbina-Criado, Marta</t>
  </si>
  <si>
    <t>The role of regional location in innovativeness</t>
  </si>
  <si>
    <t>regional location; innovativeness; science and technology parks</t>
  </si>
  <si>
    <t>RESEARCH-AND-DEVELOPMENT; DEVELOPMENT SPILLOVERS; KNOWLEDGE SPILLOVERS; TACIT KNOWLEDGE; FIRMS; PERFORMANCE; TECHNOLOGY; GROWTH; GEOGRAPHY; SERVICES</t>
  </si>
  <si>
    <t>The relationship between innovation and regional location is the object of much debate in management studies. This paper analyses the role of the regional location environment in firms' innovative behaviour using data of 8,193 Spanish firms from different regions in Spain. Our results show that regional-specific factors (autonomous regions, spending on innovation, number of patents applied for and number of science and technology parks in the region) as well as other firm-specific factors (size, sector, turnover and start-up) have a significant impact on the innovativeness of Spanish companies.</t>
  </si>
  <si>
    <t>[Romero-Martinez, Ana M.] Univ Complutense Madrid, Fac Ciencias Econ &amp; Empresariales, Pozuelo Alarcon Madrid 28223, Spain; [Ortiz-de-Urbina-Criado, Marta] Univ Rey Juan Carlos, Fac Ciencias Jurid &amp; Sociales, Madrid 28032, Spain</t>
  </si>
  <si>
    <t>Complutense University of Madrid; Universidad Rey Juan Carlos</t>
  </si>
  <si>
    <t>Romero-Martinez, AM (corresponding author), Univ Complutense Madrid, Fac Ciencias Econ &amp; Empresariales, Campus Somosaguas, Pozuelo Alarcon Madrid 28223, Spain.</t>
  </si>
  <si>
    <t>amromero@ccee.ucm.es; marta.ortizdeurbina@urjc.es</t>
  </si>
  <si>
    <t>Ortiz-de-Urbina-Criado, Marta/AAS-2774-2021</t>
  </si>
  <si>
    <t>Ortiz-de-Urbina-Criado, Marta/0000-0001-7527-6798</t>
  </si>
  <si>
    <t>Catedra Bancaja Jovenes Emprendedores of Complutense University of Madrid; Banco Santander Hispano and Complutense University of Madrid for the Research Group 'Corporate Strategies' [940376 (GR58/08)]</t>
  </si>
  <si>
    <t>Catedra Bancaja Jovenes Emprendedores of Complutense University of Madrid; Banco Santander Hispano and Complutense University of Madrid for the Research Group 'Corporate Strategies'</t>
  </si>
  <si>
    <t>This paper has been supported by Catedra Bancaja Jovenes Emprendedores of Complutense University of Madrid and funds from Banco Santander Hispano and Complutense University of Madrid for the Research Group 'Corporate Strategies', Reference: 940376 (GR58/08).</t>
  </si>
  <si>
    <t>731QY</t>
  </si>
  <si>
    <t>WOS:000288125600006</t>
  </si>
  <si>
    <t>Setterfield, M</t>
  </si>
  <si>
    <t>Keynes's dialectic?</t>
  </si>
  <si>
    <t>CAMBRIDGE JOURNAL OF ECONOMICS</t>
  </si>
  <si>
    <t>dialectics; post-Keynesianism; Marxism; historical time; uncertainty</t>
  </si>
  <si>
    <t>ECONOMIC-ANALYSIS; UNCERTAINTY</t>
  </si>
  <si>
    <t>This paper identifies a dialectical method of analysis in the social sciences which, potentially, can be applied to any social system that evolves historically. It is shown that a dialectic exists in post-Keynesian economics, arising from the opposition of conventional and innovative behaviours under conditions of fundamental uncertainty. This dialectic is compared to and contrasted with the dialectical interaction between forces and relations of production in historical materialism.</t>
  </si>
  <si>
    <t>Trinity Coll, Dept Econ, Hartford, CT 06106 USA</t>
  </si>
  <si>
    <t>Trinity College</t>
  </si>
  <si>
    <t>Setterfield, M (corresponding author), Trinity Coll, Dept Econ, Hartford, CT 06106 USA.</t>
  </si>
  <si>
    <t>0309-166X</t>
  </si>
  <si>
    <t>CAMBRIDGE J ECON</t>
  </si>
  <si>
    <t>Cambr. J. Econ.</t>
  </si>
  <si>
    <t>10.1093/cje/27.3.359</t>
  </si>
  <si>
    <t>666CP</t>
  </si>
  <si>
    <t>WOS:000182159200003</t>
  </si>
  <si>
    <t>Bitter-Rijpkema, M; Sloep, PB; Jansen, D</t>
  </si>
  <si>
    <t>Learning to change: The Virtual Business Learning approach to professional workplace learning</t>
  </si>
  <si>
    <t>EDUCATIONAL TECHNOLOGY &amp; SOCIETY</t>
  </si>
  <si>
    <t>Virtual Business Learning; organization for learning; learning organization; collaborative working; collaborative learning; constructivism; authentic tasks; team learning; knowledge management; competence based learning</t>
  </si>
  <si>
    <t>At the Open University of the Netherlands, the Virtual Business Learning (VBL) concept has been developed over a number of years. VBL serves as an 'umbrella' term that covers concepts from both the education and business worlds. Implementations of the VBL concept focus on the coached development of the professional competencies that underlie successfully innovative behavior in ICT intense enterprises. Learners in their role of professionals are immersed in a learning environment, which is an organization for learning as well as a learning organization. Employees in a VBL environment work on their professional development as well as on the development of the team and VBL organization. Concurrently, they have various duties with professional responsibilities, in a realistic business setting the work on authentic tasks. In this article, we will first discuss the essential features of the VBL concept. Then the concept's potential for ICT innovation in companies is analyzed. For this, two examples will be used. The first example addresses learning of graduating students in the setting of an environmental consultancy firm. The second example concerns a VBL environment developed for a major ICT firm in the Netherlands. Finally, the strength of the VBL concept in both implementation modi is discussed and differences are highlighted.</t>
  </si>
  <si>
    <t>Open Univ Netherlands, Educ Technol Expertise Ctr, NL-6401 DL Heerlen, Netherlands</t>
  </si>
  <si>
    <t>Open University Netherlands</t>
  </si>
  <si>
    <t>Bitter-Rijpkema, M (corresponding author), Open Univ Netherlands, Educ Technol Expertise Ctr, POB 2960, NL-6401 DL Heerlen, Netherlands.</t>
  </si>
  <si>
    <t>marlies.bitter@ou.nl</t>
  </si>
  <si>
    <t>Sloep, Peter B./AAO-6728-2020</t>
  </si>
  <si>
    <t>Sloep, Peter B./0000-0003-4009-4980</t>
  </si>
  <si>
    <t>INT FORUM EDUCATIONAL TECHNOLOGY &amp; SOC-IFETS</t>
  </si>
  <si>
    <t>DOULIU CITY</t>
  </si>
  <si>
    <t>NATL YUNLIN UNIV SCIENCE &amp; TECHNOLOGY, NO 123, SECTION 3, DAXUE RD, DOULIU CITY, YUNLIN COUNTY, TAIWAN</t>
  </si>
  <si>
    <t>1176-3647</t>
  </si>
  <si>
    <t>1436-4522</t>
  </si>
  <si>
    <t>EDUC TECHNOL SOC</t>
  </si>
  <si>
    <t>Educ. Technol. Soc.</t>
  </si>
  <si>
    <t>776LW</t>
  </si>
  <si>
    <t>WOS:000189118300005</t>
  </si>
  <si>
    <t>Park, K; Dyer, CL</t>
  </si>
  <si>
    <t>Kardes, FR; Sujan, M</t>
  </si>
  <si>
    <t>Consumer use innovative behavior: An approach toward its causes</t>
  </si>
  <si>
    <t>ADVANCES IN CONSUMER RESEARCH, VOL XXII</t>
  </si>
  <si>
    <t>Advances in Consumer Research</t>
  </si>
  <si>
    <t>25th Annual Conference of the Association-for-Consumer-Research</t>
  </si>
  <si>
    <t>OCT 20-23, 1994</t>
  </si>
  <si>
    <t>BOSTON, MA</t>
  </si>
  <si>
    <t>Assoc Consumer Res</t>
  </si>
  <si>
    <t>ADOPTION; DETERMINANTS; INVOLVEMENT; SEEKING</t>
  </si>
  <si>
    <t>This study attempts to understand innovative product usage behavior by investigating the causes of this behavior. Use and purchase in innovative behavior are compared to each other in terms of the causes of these behaviors, The conceptual model of use innovative behavior is tested for the clothing product. The model supports a causal link of innovativeness trait, interest toward the specific product category, communicated experience and innovative behavior (use and purchase). While use and purchase are related to each other, product attribute evaluation and spending on products appear to be the major antecedents of whether to use old products or to buy a new product.</t>
  </si>
  <si>
    <t>UNIV TENNESSEE, KNOXVILLE, TN 37996 USA</t>
  </si>
  <si>
    <t>University of Tennessee System; University of Tennessee Knoxville</t>
  </si>
  <si>
    <t>Park, K (corresponding author), UNIV WISCONSIN, STEVENS POINT, WI 54481 USA.</t>
  </si>
  <si>
    <t>ASSOC CONSUMER RESEARCH</t>
  </si>
  <si>
    <t>DULUTH</t>
  </si>
  <si>
    <t>UNIV MINNESOTA DULUTH, LABOVITZ SCHOOL BUSINESS &amp; ECONOMICS, 11 EAST SUPERIOR STREET, STE 210, DULUTH, MN 55802 USA</t>
  </si>
  <si>
    <t>0098-9258</t>
  </si>
  <si>
    <t>0-915552-34-5</t>
  </si>
  <si>
    <t>ADV CONSUM RES</t>
  </si>
  <si>
    <t>BF97K</t>
  </si>
  <si>
    <t>WOS:A1995BF97K00118</t>
  </si>
  <si>
    <t>ADAMS, CE</t>
  </si>
  <si>
    <t>THE IMPACT OF PROBLEM-SOLVING STYLES OF NE-CEO PAIRS ON NURSE EXECUTIVE EFFECTIVENESS</t>
  </si>
  <si>
    <t>COGNITIVE STYLES; LEADERSHIP; DIRECTORS; SERVICE</t>
  </si>
  <si>
    <t>The problem-solving styles of the nurse executive and chief executive officer pair affects nurse executive job tenure. This investigation tested if the style differences also influence nurse executives' effectiveness. The author provides suggestions to help nurse executives use more innovative behaviors and work more effectively with chief executive officers with different problem-solving styles.</t>
  </si>
  <si>
    <t>ADAMS, CE (corresponding author), WASHINGTON STATE UNIV,INTERCOLLEGIATE CTR NURSING EDUC,SPOKANE,WA 99204, USA.</t>
  </si>
  <si>
    <t>LIPPINCOTT-RAVEN PUBL</t>
  </si>
  <si>
    <t>227 EAST WASHINGTON SQ, PHILADELPHIA, PA 19106</t>
  </si>
  <si>
    <t>10.1097/00005110-199411000-00006</t>
  </si>
  <si>
    <t>PQ967</t>
  </si>
  <si>
    <t>WOS:A1994PQ96700006</t>
  </si>
  <si>
    <t>HANSOHM, D</t>
  </si>
  <si>
    <t>SMALL ENTERPRISE FLEXIBILITY IN SUDAN</t>
  </si>
  <si>
    <t>IDS BULLETIN-INSTITUTE OF DEVELOPMENT STUDIES</t>
  </si>
  <si>
    <t>WORKSHOP ON INDUSTRIALIZATION STRATEGIES</t>
  </si>
  <si>
    <t>JUN, 1991</t>
  </si>
  <si>
    <t>COPENHAGEN, DENMARK</t>
  </si>
  <si>
    <t>EUROPEAN ASSOC DEV INST, WORKING GRP</t>
  </si>
  <si>
    <t>This article analyses small enterprises in a Sudanese town through the flexible specialisation lens. Deteriorating macro-economic conditions during the 1980s have heightened the inefficiency of large enterprises but policy-biases against small enterprises remain. In a study of four sub-sectors it is shown that flexibility exists in terms of labour use and product range, but that there are few signs of inter-firm cooperation and innovative behaviour. The conclusion is that flexible specialisation is an inappropriate term for these small enterprises and that it will remain so as long as the macro-policy bias continues.</t>
  </si>
  <si>
    <t>HANSOHM, D (corresponding author), UNIV BREMEN,FAC ECON,W-2800 BREMEN 33,GERMANY.</t>
  </si>
  <si>
    <t>INST DEVELOPMENT STUDIES</t>
  </si>
  <si>
    <t>BRIGHTON</t>
  </si>
  <si>
    <t>UNIV SUSSEX, BRIGHTON, E SUSSEX, ENGLAND BN1 9RE</t>
  </si>
  <si>
    <t>0265-5012</t>
  </si>
  <si>
    <t>IDS BULL-I DEV STUD</t>
  </si>
  <si>
    <t>IDS Bull.-Inst. Dev. Stud.</t>
  </si>
  <si>
    <t>10.1111/j.1759-5436.1992.mp23003008.x</t>
  </si>
  <si>
    <t>Area Studies; Development Studies</t>
  </si>
  <si>
    <t>JD878</t>
  </si>
  <si>
    <t>WOS:A1992JD87800008</t>
  </si>
  <si>
    <t>GREEN, S; RICH, T; NESMAN, E</t>
  </si>
  <si>
    <t>A CROSS-CULTURAL LOOK AT THE RELATIONSHIP BETWEEN AGE AND INNOVATIVE BEHAVIOR</t>
  </si>
  <si>
    <t>INTERNATIONAL JOURNAL OF AGING &amp; HUMAN DEVELOPMENT</t>
  </si>
  <si>
    <t>UNIV S FLORIDA,DEPT GERONTOL,TAMPA,FL 33620</t>
  </si>
  <si>
    <t>State University System of Florida; University of South Florida</t>
  </si>
  <si>
    <t>BAYWOOD PUBL CO INC</t>
  </si>
  <si>
    <t>AMITYVILLE</t>
  </si>
  <si>
    <t>26 AUSTIN AVE, AMITYVILLE, NY 11701</t>
  </si>
  <si>
    <t>0091-4150</t>
  </si>
  <si>
    <t>INT J AGING HUM DEV</t>
  </si>
  <si>
    <t>Int. J. Aging Human Dev.</t>
  </si>
  <si>
    <t>10.2190/PL3E-WUF3-YDN3-WCTF</t>
  </si>
  <si>
    <t>Gerontology; Psychology, Developmental</t>
  </si>
  <si>
    <t>Geriatrics &amp; Gerontology; Psychology</t>
  </si>
  <si>
    <t>AUK44</t>
  </si>
  <si>
    <t>WOS:A1985AUK4400002</t>
  </si>
  <si>
    <t>KNIGHT, KE</t>
  </si>
  <si>
    <t>SOME GENERAL ORGANIZATIONAL-FACTORS THAT INFLUENCE INNOVATIVE BEHAVIOR</t>
  </si>
  <si>
    <t>10.1109/TEM.1965.6446432</t>
  </si>
  <si>
    <t>CBZ36</t>
  </si>
  <si>
    <t>WOS:A1965CBZ3600001</t>
  </si>
  <si>
    <t>Garcia, F; Guidice, RM; Mero, NP</t>
  </si>
  <si>
    <t>Garcia, Fernando; Guidice, Rebecca M.; Mero, Neal P.</t>
  </si>
  <si>
    <t>The interactive effect of person and situation on explorative and exploitative behavior</t>
  </si>
  <si>
    <t>exploration; exploitation; empowerment; ownership; ambidexterity</t>
  </si>
  <si>
    <t>SELF-DETERMINATION THEORY; ORGANIZATIONAL AMBIDEXTERITY; PSYCHOLOGICAL OWNERSHIP; INTRINSIC MOTIVATION; INNOVATIVE BEHAVIOR; JOB CHARACTERISTICS; MODERATING ROLE; MEDIATING ROLE; EMPOWERMENT; PERFORMANCE</t>
  </si>
  <si>
    <t>The purpose of this study was to examine contextual factors (empowerment, ownership, and accountability) that facilitate and promote exploration and exploitation behavior. Data were obtained from an American manufacturing company using employee and supervisor surveys (n = 297). Findings indicate that empowerment improved exploitation and that when employees perceived they would have to be accountable for their actions, employees who felt empowered showed lower gains in exploration behaviors compared with those who felt less empowered; in contrast, those having feelings of ownership exhibited higher gains in exploration behavior than those who scored low in ownership. Although ownership was theorized to have a positive effect on exploitative behavior, we found evidence for its negative effects instead. We contribute to the limited individual-level ambidexterity literature by providing empirical evidence on the effects of contextual factors on ambidextrous behavior. This knowledge could help firms better manage employee behavior and implement effective supervisory oversight.</t>
  </si>
  <si>
    <t>[Garcia, Fernando] Dalton State Coll, 650 Coll Dr, Dalton, GA 30720 USA; [Guidice, Rebecca M.] Univ North Carolina Wilmington, South Coll Rd, 601 South Coll Rd, Wilmington, NC 28403 USA; [Mero, Neal P.] Stetson Univ, Sch Business Adm, DeLand, FL USA</t>
  </si>
  <si>
    <t>University System of Georgia; Dalton State College; University of North Carolina; University of North Carolina Wilmington; Stetson University</t>
  </si>
  <si>
    <t>Garcia, F (corresponding author), Dalton State Coll, 650 Coll Dr, Dalton, GA 30720 USA.</t>
  </si>
  <si>
    <t>fgarcia@daltonstate.edu</t>
  </si>
  <si>
    <t>10.1017/jmo.2019.50</t>
  </si>
  <si>
    <t>D3FU5</t>
  </si>
  <si>
    <t>WOS:000967623500006</t>
  </si>
  <si>
    <t>Zhao, L; Liu, PQ; Zhang, F; Xu, S; Liu, YY</t>
  </si>
  <si>
    <t>Zhao, Li; Liu, Pingqing; Zhang, Fan; Xu, Shuang; Liu, Yuanyuan</t>
  </si>
  <si>
    <t>How does perceived respect affect innovative behavior? The role of thriving at work and spiritual leadership</t>
  </si>
  <si>
    <t>perceived respect; innovative behavior; thriving at work; spiritual leadership; broaden-and-build theory</t>
  </si>
  <si>
    <t>POSITIVE EMOTIONS BROADEN; BUILD THEORY; AUTHENTIC LEADERSHIP; JOB-PERFORMANCE; MEMBER EXCHANGE; MEDIATING ROLE; CREATIVITY; MOTIVATION; MODEL; IDENTIFICATION</t>
  </si>
  <si>
    <t>Many enterprises use innovation to deal with the rapidly changing business environment and gain market competitiveness. How to internally motivate employees, especially the new generation of employees (e.g., employees born after 1980), to take initiative to innovate is receiving great interest from both academic and practical perspectives. Based on the broaden-and-build theory, this study presents a moderated mediation model of the impact of perceived respect on innovative behavior. SPSS and Mplus were used to analyze the data from 506 leader-employee pairs. The results show that perceived respect had a significant positive influence on innovative behavior through the effect of thriving at work, and the moderating effect of spiritual leadership was significant. When the effect of spiritual leadership was strong, the effect of perceived respect on innovative behavior through the effect of thriving at work was enhanced. This study reveals the dynamic mechanisms of improving employees' innovative behavior, providing theoretical and practical ideas for promoting enterprises' sustainable and innovative development.</t>
  </si>
  <si>
    <t>[Zhao, Li; Liu, Pingqing; Zhang, Fan; Liu, Yuanyuan] Beijing Inst Technol, Sch Management &amp; Econ, Beijing, Peoples R China; [Zhao, Li] Nanyang Normal Univ, Sch Geog Sci &amp; Tourism, Nanyang, Peoples R China; [Xu, Shuang] Beijing Univ Agr, Sch Econ Management, Beijing, Peoples R China</t>
  </si>
  <si>
    <t>Beijing Institute of Technology; Nanyang Normal College; Beijing University of Agriculture</t>
  </si>
  <si>
    <t>Liu, PQ; Zhang, F (corresponding author), Beijing Inst Technol, Sch Management &amp; Econ, Beijing, Peoples R China.</t>
  </si>
  <si>
    <t>liupingqing@bit.edu.cn; lesleyz04@163.com</t>
  </si>
  <si>
    <t>National Office for Philosophy and Social Sciences of China [20BGL136]; Doctor program of Nanyang Normal University [ZX2017024]</t>
  </si>
  <si>
    <t>National Office for Philosophy and Social Sciences of China; Doctor program of Nanyang Normal University</t>
  </si>
  <si>
    <t>This work was supported by National Office for Philosophy and Social Sciences of China (20BGL136) and Doctor program of Nanyang Normal University (ZX2017024).</t>
  </si>
  <si>
    <t>OCT 6</t>
  </si>
  <si>
    <t>10.3389/fpsyg.2022.978042</t>
  </si>
  <si>
    <t>5R6EE</t>
  </si>
  <si>
    <t>WOS:000874600700001</t>
  </si>
  <si>
    <t>Anjum, A; Zhao, Y</t>
  </si>
  <si>
    <t>Anjum, Amna; Zhao, Yan</t>
  </si>
  <si>
    <t>The Impact of Stress on Innovative Work Behavior among Medical Healthcare Professionals</t>
  </si>
  <si>
    <t>eustress; distress; health; innovative behavior; supervisor support</t>
  </si>
  <si>
    <t>PERCEIVED ORGANIZATIONAL SUPPORT; SUPERVISOR SUPPORT</t>
  </si>
  <si>
    <t>Background: For health systems, a fundamental challenge is adapting to changes in the patterns of health services that require technological and scientific innovations. The pace of multiple and interconnected challenges mounts extra stress on medical healthcare professionals and reduces their innovative capabilities, especially in low- and middle-income countries. To enhance the innovative capability of medical healthcare professionals under stress, the study seeks any possible correlation between stress and innovation. For that purpose, we sought to investigate the effects of stress on the innovative work behavior of employees and examine the mediating effect of health and moderating effect of supervisor support. Materials and Methods: 350 medical healthcare professionals were surveyed in different hospitals in Lahore through a survey regarding stress, health, innovative work behavior, and supervisor support with a final response rate of 89%. SPSS and AMOS were used for the analysis of the data and the investigation of the combined effects of the model. Exploratory (EFA) and Confirmatory Factor Analysis (CFA) were conducted to ensure the convergent and discriminant validity of the factors, while mediation analysis was done to check the mediating role of health. Results: It has been observed that there is partial mediation of health between eustress and innovative work behavior whereas supervisor support does not moderate between eustress and health. Furthermore, the results indicate that distress is negatively associated with innovative behavior. In addition, health fully mediates between distress and innovative work behavior. If distress increases negative effects on health, then supervisor support reduces the negative impact of distress on health. Furthermore, supervisor support also reduces the negative impact of health on innovative work behavior. Conclusion: Our study outlines a hypothetical alternative situation that explains how the two emotions of eustress and distress are brought into play in the innovative work behavior of the employees. In addition, supervisors play an important role in influencing the sustainable innovation work behavior of their staff members.</t>
  </si>
  <si>
    <t>[Anjum, Amna; Zhao, Yan] Shanghai Univ, Sch Management, Shanghai 200444, Peoples R China</t>
  </si>
  <si>
    <t>Shanghai University</t>
  </si>
  <si>
    <t>Anjum, A; Zhao, Y (corresponding author), Shanghai Univ, Sch Management, Shanghai 200444, Peoples R China.</t>
  </si>
  <si>
    <t>amnaeem14@gmail.com; zhaoyan87@shu.edu.cn</t>
  </si>
  <si>
    <t>Anjum, Amna/GXV-4667-2022</t>
  </si>
  <si>
    <t>National Natural Science Foundation of China [71673179]; National Science and Technology Fundamental Conditions Platform Special Project [2018DDJ1ZZ07]</t>
  </si>
  <si>
    <t>National Natural Science Foundation of China(National Natural Science Foundation of China (NSFC)); National Science and Technology Fundamental Conditions Platform Special Project</t>
  </si>
  <si>
    <t>This study was funded by the National Natural Science Foundation of China (Grant No. 71673179) and the National Science and Technology Fundamental Conditions Platform Special Project (Grant No. 2018DDJ1ZZ07).</t>
  </si>
  <si>
    <t>10.3390/bs12090340</t>
  </si>
  <si>
    <t>4T3HE</t>
  </si>
  <si>
    <t>WOS:000858012100001</t>
  </si>
  <si>
    <t>Bekmezci, M; Rehman, WU; Khurshid, M; Erogluer, K; Trout, IY</t>
  </si>
  <si>
    <t>Bekmezci, Mustafa; Rehman, Wasim Ul; Khurshid, Muzammil; Erogluer, Kemal; Trout, Inci Yilmazli</t>
  </si>
  <si>
    <t>The need to be unique and the innovative behavior: The moderating role of supervisor support</t>
  </si>
  <si>
    <t>supervisor support; need for uniqueness; innovative behavior; Turkey; workplace</t>
  </si>
  <si>
    <t>PERCEIVED ORGANIZATIONAL SUPPORT; CREATIVITY; PERFORMANCE; VALIDATION; EMPLOYEES; WORK; DETERMINANTS; INTELLIGENCE; WORKPLACE; MEDIATOR</t>
  </si>
  <si>
    <t>The purpose of this study is to examine the moderating effect of supervisor support on the relationship between the need to be unique and the innovative behavior. People not only strive to belong to a group but also want to be unique from others and feel exceptional. Individuals' innovative behavior is one of the things that makes them feel different from other people. Because developing a new idea, supporting this idea, putting this idea into practice, and the positive achievements of this idea distinguish people who exhibit innovative behavior from others. It depends on the behavior of supervisors whether people who break away from typical practices and procedures to feel unique and special continue to act in innovative ways. In this context, it is vitally essential for supervisors to support people who display innovative behavior. The research was conducted on employees working in the education sector in Mersin. We employed the confirmatory factor analysis (CFA) to examine the fitness of the model and moderation was tested. As hypothesized, the need to be unique had a significant and positive effect on innovative behavior. This finding is consistent with existing literature and thus advance knowledge on need to be unique and innovative behavior, particular in education sector. Nonetheless, it has been determined that supervisor support doesn't have a moderator role on the relationship between the need to be unique and innovative behavior. Although there are some researches in the literature on consumer experiences about the need to be unique and innovative behavior, but literature on education section is sparse and still long way to go to evaluate its' reflections on the workplace.</t>
  </si>
  <si>
    <t>[Bekmezci, Mustafa] Natl Def Univ, Turkish Mil Acad, Dept Def Management, Istanbul, Turkey; [Rehman, Wasim Ul] Univ Punjab, Fac Business Econ &amp; Adm Sci, Dept Business Adm, Gujranwala, Pakistan; [Khurshid, Muzammil] Univ Punjab, Fac Commerce, Dept Banking &amp; Finance, Gujranwala, Pakistan; [Erogluer, Kemal] Natl Def Univ, Dept Business Adm, Turkish Mil Acad, Ankara, Turkey; [Trout, Inci Yilmazli] Univ Incarnate Word, Dreeben Sch Educ, San Antonio, TX USA</t>
  </si>
  <si>
    <t>Milli Savunma University; Milli Savunma University; University Incarnate Word</t>
  </si>
  <si>
    <t>Rehman, WU (corresponding author), Univ Punjab, Fac Business Econ &amp; Adm Sci, Dept Business Adm, Gujranwala, Pakistan.</t>
  </si>
  <si>
    <t>wasim.rehman@pugc.edu.pk</t>
  </si>
  <si>
    <t>BEKMEZCİ, MUSTAFA/ABF-4564-2020; Trout, Inci Yilmazli/AFT-6611-2022</t>
  </si>
  <si>
    <t>BEKMEZCİ, MUSTAFA/0000-0002-1206-690X; Trout, Inci Yilmazli/0000-0001-8907-5620</t>
  </si>
  <si>
    <t>10.3389/fpsyg.2022.979909</t>
  </si>
  <si>
    <t>4O1AL</t>
  </si>
  <si>
    <t>WOS:000854440000001</t>
  </si>
  <si>
    <t>Jin, J; Suntrayuth, S</t>
  </si>
  <si>
    <t>Jin, Jian; Suntrayuth, Sid</t>
  </si>
  <si>
    <t>Knowledge Sharing Motivation, Behavior, and Creativity of Knowledge Workers in Virtual Organizations</t>
  </si>
  <si>
    <t>DISCRETE DYNAMICS IN NATURE AND SOCIETY</t>
  </si>
  <si>
    <t>SELF-EFFICACY; EMPLOYEE CREATIVITY; INNOVATIVE BEHAVIOR; MODEL; LEADERSHIP; INTENTION; PRESSURE; TIME</t>
  </si>
  <si>
    <t>Focusing on the basic research subject of seeking effective ways to enhance knowledge workers' creativity, this paper has surveyed a total of 208 employees from 11 Chinese high-tech enterprises. Based on review and analysis of relevant literature, this paper has constructed a moderating effect model including mediating factors relying on the social cognitive theory and tested the model by hierarchical multiple regression. The results show that there is a significant positive correlation between knowledge sharing motivation and creativity of members in a virtual organization. Knowledge sharing behavior plays a partial mediating role between knowledge sharing motivation and creativity, and self-efficacy moderates the complete mediating effect of knowledge sharing behavior on the relationship between knowledge sharing motivation and creativity. These conclusions enrich the theory of the relationship between knowledge sharing motivation and creativity, and enable enterprises to understand the importance of employees' knowledge sharing motivation and the ways to stimulate employees' creativity by activating their knowledge sharing behavior.</t>
  </si>
  <si>
    <t>[Jin, Jian] Southwest Med Univ, Luzhou 646000, Sichuan, Peoples R China; [Jin, Jian; Suntrayuth, Sid] Natl Inst Dev Adm, Int Coll, Bangkok 10240, Thailand</t>
  </si>
  <si>
    <t>Southwest Medical University; National Institute of Development Administration - Thailand</t>
  </si>
  <si>
    <t>Suntrayuth, S (corresponding author), Natl Inst Dev Adm, Int Coll, Bangkok 10240, Thailand.</t>
  </si>
  <si>
    <t>sidsuntrayuth@hotmail.com</t>
  </si>
  <si>
    <t>Jian, Jin/0000-0002-9703-8878; SUNTRAYUTH, SID/0000-0003-3647-9175</t>
  </si>
  <si>
    <t>HINDAWI LTD</t>
  </si>
  <si>
    <t>ADAM HOUSE, 3RD FLR, 1 FITZROY SQ, LONDON, W1T 5HF, ENGLAND</t>
  </si>
  <si>
    <t>1026-0226</t>
  </si>
  <si>
    <t>1607-887X</t>
  </si>
  <si>
    <t>DISCRETE DYN NAT SOC</t>
  </si>
  <si>
    <t>Discrete Dyn. Nat. Soc.</t>
  </si>
  <si>
    <t>10.1155/2022/4358132</t>
  </si>
  <si>
    <t>Mathematics, Interdisciplinary Applications; Multidisciplinary Sciences</t>
  </si>
  <si>
    <t>Mathematics; Science &amp; Technology - Other Topics</t>
  </si>
  <si>
    <t>6F9FN</t>
  </si>
  <si>
    <t>WOS:000884365700003</t>
  </si>
  <si>
    <t>Rescalvo-Martin, E; Castillo, A; Moreno-Marcial, AP; Albacete-Saez, CA; Llorens-Montes, FJ</t>
  </si>
  <si>
    <t>Rescalvo-Martin, Elisa; Castillo, Ana; Moreno-Marcial, Adriana P.; Albacete-Saez, Carlos A.; Javier Llorens-Montes, F.</t>
  </si>
  <si>
    <t>Effects of empowering leadership under boundary conditions in the hospitality industry</t>
  </si>
  <si>
    <t>Empowering leadership; Extra-role service; Engagement; Independent self-construal; Interdependent self-construal; Boundary conditions</t>
  </si>
  <si>
    <t>PERFORMANCE WORK PRACTICES; MEDIATING ROLE; TRANSFORMATIONAL LEADERSHIP; PSYCHOLOGICAL EMPOWERMENT; EMPLOYEE PERFORMANCE; AUTHENTIC LEADERSHIP; INNOVATIVE BEHAVIOR; SERVICE; ENGAGEMENT; MANAGEMENT</t>
  </si>
  <si>
    <t>This study tests the positive effects of empowering leadership (ELSH) under boundary conditions in the hospitality industry. We propose the existence of an interactive process through which ELSH behaviors interact with employees' personality type to condition their engagement, which in turn influences their extra-role service behavior. We use data from 294 employees and structural equation modeling. The results show that the interaction of ELSH with employees' independent and interdependent personality is negatively related to their engagement. This decrease in engagement is then reflected in decreased extra-role service behaviors due to the positive relationship between engagement and extra-role service. These findings suggest that self-construal is a significant boundary condition capable of changing the positive relationship between ELSH and engagement to a negative one. Not considering this relationship when establishing a leadership strategy such as ELSH in the hospitality context could render efforts to achieve the goal of high-quality service ineffective.</t>
  </si>
  <si>
    <t>[Rescalvo-Martin, Elisa; Albacete-Saez, Carlos A.; Javier Llorens-Montes, F.] Univ Granada, Business Management Fac, Dept Business Adm, Paseo Cartuja S-N, Granada 18071, Spain; [Castillo, Ana] Univ Granada, Business Management Fac, Dept Mkt &amp; Market Res, Paseo Cartuja S-N, Granada 18071, Spain; [Moreno-Marcial, Adriana P.] Univ Guayaquil, Cdla Univ Av Delta 8957,44 Km, EC-090112 Guayaquil, Ecuador</t>
  </si>
  <si>
    <t>University of Granada; University of Granada</t>
  </si>
  <si>
    <t>Rescalvo-Martin, E (corresponding author), Univ Granada, Business Management Fac, Dept Business Adm, Paseo Cartuja S-N, Granada 18071, Spain.</t>
  </si>
  <si>
    <t>elirescalvo@ugr.es; anacastillo@ugr.es; adriana.morenom@ug.edu.ec; calbacet@ugr.es; fllorens@ugr.es</t>
  </si>
  <si>
    <t>Rescalvo-Martin, Elisa/ADM-8298-2022</t>
  </si>
  <si>
    <t>Rescalvo-Martin, Elisa/0000-0001-8347-6204</t>
  </si>
  <si>
    <t>European Regional Development Fund (European Union); Government of Spain [ECO2017-84138-P]; Regional Government of Andalusia [A-SEJ-154-UGR18]; University of Granada/CBUA</t>
  </si>
  <si>
    <t>European Regional Development Fund (European Union); Government of Spain(Spanish Government); Regional Government of Andalusia(Junta de Andalucia); University of Granada/CBUA</t>
  </si>
  <si>
    <t>We want to thank for the research sponsorship received by the European Regional Development Fund (European Union) and the Government of Spain (Research Project ECO2017-84138-P) and the Regional Government of Andalusia (Research Project A-SEJ-154-UGR18) . Funding for open access charge: University of Granada/CBUA.</t>
  </si>
  <si>
    <t>10.1016/j.ijhm.2022.103269</t>
  </si>
  <si>
    <t>3L6TG</t>
  </si>
  <si>
    <t>WOS:000834892900010</t>
  </si>
  <si>
    <t>Shahbaz, P; Ul Haq, S; Abbas, A; Batool, Z; Alotaibi, BA; Nayak, RK</t>
  </si>
  <si>
    <t>Shahbaz, Pomi; ul Haq, Shamsheer; Abbas, Azhar; Batool, Zahira; Alotaibi, Bader Alhafi; Nayak, Roshan K.</t>
  </si>
  <si>
    <t>Adoption of Climate Smart Agricultural Practices through Women Involvement in Decision Making Process: Exploring the Role of Empowerment and Innovativeness</t>
  </si>
  <si>
    <t>AGRICULTURE-BASEL</t>
  </si>
  <si>
    <t>women participation; poverty; equity; decision support; technology; wellbeing</t>
  </si>
  <si>
    <t>CONSERVATION AGRICULTURE; SMALLHOLDER FARMERS; EMPIRICAL-EVIDENCE; MULTIPLE ADOPTION; GENDER; ADAPTATION; WORK</t>
  </si>
  <si>
    <t>The sustainability of global food production has been facing many threats, including climate change. The adaptation to such threats is both a challenge as well as an opportunity, especially for woman-operated farms in Pakistan. The challenge is how to devise measures and look for options to counter its impact, while the opportunity lies in developing new techniques, skills, and interventions leading to innovativeness. As women farmers are constrained regarding resources, cultural, societal, and personal reasons in Pakistan's context, they particularly need innovative behavior and decision power to adapt to climate change. This study aims to measure the decisional empowerment and innovativeness of women farmers and their role in adopting different climate-smart agricultural (CSA) practices at the farm level. To this end, data from 384 farms where women were majorly involved are utilized in a multivariate probit model and propensity score matching to reveal various aspects of women's role in adopting CSA practices. Results reveal that most women farmers lacked decisional power related to productive resources such as sale/purchase and renting of farmland, using farm machinery, and availing credit. Their decisional empowerment and innovativeness positively affected the adoption of CSA practices at the farm level. Females with more decisional power and innovativeness adopted more CSA practices than women with weaker decisional power and innovativeness. Therefore, the world can benefit greatly from giving more power to women in agriculture in terms of increased adoption of CSA practices, consequently improving food security and mitigating climate change. This outcome will assist in achieving the United Nation's Sustainable Development Goals of gender equality (SDG5) and climate action (SDG 13).</t>
  </si>
  <si>
    <t>[Shahbaz, Pomi; Abbas, Azhar] Univ Agr Faisalabad, Inst Agr &amp; Resource Econ, Faisalabad 38040, Pakistan; [ul Haq, Shamsheer] Univ Educ, Dept Econ, Div Management &amp; Adm Sci, Lahore 54000, Pakistan; [Batool, Zahira] Govt Coll Univ, Dept Sociol, Faisalabad 38000, Pakistan; [Alotaibi, Bader Alhafi] King Saud Univ, Coll Food &amp; Agr Sci, Dept Agr Extens &amp; Rural Soc, Riyadh 11451, Saudi Arabia; [Nayak, Roshan K.] Univ Calif Davis, Div Agr &amp; Nat Resources, 2801 2nd St, Davis, CA 95616 USA</t>
  </si>
  <si>
    <t>University of Agriculture Faisalabad; Government College University Faisalabad; King Saud University; University of California System; University of California Davis</t>
  </si>
  <si>
    <t>Abbas, A (corresponding author), Univ Agr Faisalabad, Inst Agr &amp; Resource Econ, Faisalabad 38040, Pakistan.;Alotaibi, BA (corresponding author), King Saud Univ, Coll Food &amp; Agr Sci, Dept Agr Extens &amp; Rural Soc, Riyadh 11451, Saudi Arabia.</t>
  </si>
  <si>
    <t>azhar.abbas@uaf.edu.pk; bathafi@ksu.edu.sa</t>
  </si>
  <si>
    <t>Abbas, Azhar/H-9311-2019; SHAHBAZ, POMI/AAM-6128-2020</t>
  </si>
  <si>
    <t>Abbas, Azhar/0000-0003-4922-5959; SHAHBAZ, POMI/0000-0002-7384-4664; Haq, Dr. Shamsheer ul/0000-0002-7258-5525; Alhafi-Alotaibi, Bader/0000-0002-9633-4341</t>
  </si>
  <si>
    <t>King Saud University, Riyadh, Saudi Arabia [RSP2022R443]</t>
  </si>
  <si>
    <t>King Saud University, Riyadh, Saudi Arabia(King Saud University)</t>
  </si>
  <si>
    <t>This research was funded by Researchers Supporting Project Number (RSP2022R443), King Saud University, Riyadh, Saudi Arabia.</t>
  </si>
  <si>
    <t>2077-0472</t>
  </si>
  <si>
    <t>Agriculture-Basel</t>
  </si>
  <si>
    <t>10.3390/agriculture12081161</t>
  </si>
  <si>
    <t>4C4NG</t>
  </si>
  <si>
    <t>WOS:000846431700001</t>
  </si>
  <si>
    <t>Wang, QL; Kou, ZY; Sun, XD; Wang, SS; Wang, XJ; Jing, H; Lin, PY</t>
  </si>
  <si>
    <t>Wang, Qiaoling; Kou, Ziyu; Sun, Xiaodan; Wang, Shanshan; Wang, Xianjuan; Jing, Hui; Lin, Peiying</t>
  </si>
  <si>
    <t>Predictive Analysis of the Pro-Environmental Behaviour of College Students Using a Decision-Tree Model</t>
  </si>
  <si>
    <t>decision-tree model; college student pro-environmental behaviour; predictive analysis</t>
  </si>
  <si>
    <t>SOCIAL-RESPONSIBILITY; PLACE ATTACHMENT; INNOVATION; METAANALYSIS; WORKPLACE; ATTITUDES; VALUES; WORK</t>
  </si>
  <si>
    <t>The emergence of the COVID-19 pandemic has hindered the achievement of the global Sustainable Development Goals (SDGs). Pro-environmental behaviour contributes to the achievement of the SDGs, and UNESCO considers college students as major contributors. There is a scarcity of research on college student pro-environmental behaviour and even less on the use of decision trees to predict pro-environmental behaviour. Therefore, this study aims to investigate the validity of applying a modified C5.0 decision-tree model to predict college student pro-environmental behaviour and to determine which variables can be used as predictors of such behaviour. To address these questions, 334 university students in Guangdong Province, China, completed a questionnaire that consisted of seven parts: the Perceived Behavioural Control Scale, the Social Identity Scale, the Innovative Behaviour Scale, the Sense of Place Scale, the Subjective Norms Scale, the Environmental Activism Scale, and the willingness to behave in an environmentally responsible manner scale. A modified C5.0 decision-tree model was also used to make predictions. The results showed that the main predictor variables for pro-environmental behaviour were willingness to behave in an environmentally responsible manner, innovative behaviour, and perceived behavioural control. The importance of willingness to behave in an environmentally responsible manner was 0.1562, the importance of innovative behaviour was 0.1404, and the perceived behavioural control was 0.1322. Secondly, there are 63.88% of those with high pro-environmental behaviour. Therefore, we conclude that the decision tree model is valid in predicting the pro-environmental behaviour of college student. The predictor variables for pro-environmental behaviour were, in order of importance: Willingness to behave in an environmentally responsible manner, Environmental Activism, Subjective Norms, Sense of Place, Innovative Behaviour, Social Identity, and Perceived Behavioural Control. This study establishes a link between machine learning and pro-environmental behaviour and broadens understanding of pro-environmental behaviour. It provides a research support with improving people's sustainable development philosophy and behaviour.</t>
  </si>
  <si>
    <t>[Wang, Qiaoling; Wang, Xianjuan] Beijing Acad Educ Sci, Beijing 100036, Peoples R China; [Kou, Ziyu; Lin, Peiying] Capital Normal Univ, Coll Teacher Educ, Beijing 100048, Peoples R China; [Sun, Xiaodan] UCL, Inst Educ, London WC1E 6BT, England; [Wang, Shanshan] Guangdong Univ Sci &amp; Technol, Dept Foreign Language, Dongguan 523070, Peoples R China; [Jing, Hui] Minist Educ, Natl Ctr Sch Dev Programme, Beijing 100032, Peoples R China</t>
  </si>
  <si>
    <t>Capital Normal University; University of London; RLUK- Research Libraries UK; University College London; UCL Institute of Education; Guangdong University of Science &amp; Technology</t>
  </si>
  <si>
    <t>Lin, PY (corresponding author), Capital Normal Univ, Coll Teacher Educ, Beijing 100048, Peoples R China.</t>
  </si>
  <si>
    <t>wangqiaoling2021@foxmail.com; kouziyu@foxmail.com; xiaodan.sun.16@ucl.ac.uk; wangshanshangdust@foxmail.com; wxj6598@163.com; jinghui@csdp.edu.cn; peilincnuedu@foxmail.com</t>
  </si>
  <si>
    <t>Beijing Office for Education Sciences Planning [CEJA18064]</t>
  </si>
  <si>
    <t>Beijing Office for Education Sciences Planning</t>
  </si>
  <si>
    <t>This research was funded by Beijing Office for Education Sciences Planning (Grant No. CEJA18064).</t>
  </si>
  <si>
    <t>10.3390/ijerph19159407</t>
  </si>
  <si>
    <t>3T3YP</t>
  </si>
  <si>
    <t>WOS:000840214300001</t>
  </si>
  <si>
    <t>Jiang, XY; Lin, J; Zhou, LX; Wang, C</t>
  </si>
  <si>
    <t>Jiang, Xiaoyan; Lin, Jie; Zhou, Lixin; Wang, Chao</t>
  </si>
  <si>
    <t>How to select employees to participate in interactive innovation: analysis of the relationship between personality, social networks and innovation behavior</t>
  </si>
  <si>
    <t>Human resource management; Psychology; Social networks; Behavior</t>
  </si>
  <si>
    <t>CREATIVITY; TRAITS; LEADERSHIP; PERFORMANCE; DIVERSITY; MEMBERS; ROLES; MODEL; SIDE</t>
  </si>
  <si>
    <t>Purpose Employees play an essential role in interactive innovation activities in Open Innovation Communities (OICs). Nevertheless, the factors influencing employees' innovation behavior in OICs have not been studied in depth. This study selects personality traits and social network characteristics to explain why and how these two factors affect employees' innovation behavior in OICs. Design/methodology/approach Three regression models were constructed to test the relationship between personality traits, social network characteristics, and interactive innovation behaviors. The authors examined how employees' personality traits (Big Five personality traits) influence employees' innovative behavior (initiating and supporting innovation) directly in OICs and explored whether social network characteristics (social group) mediate the relationship between employees' personality traits and employees' innovation behavior. Findings Using empirical data on 162 employees from Salesforce's IdeaExchange, the authors found that extraversion and openness to experience have significant positive effects on employees' interactive innovation behaviors, while conscientiousness has a significant negative effect on employees' interactive innovation behaviors in OICs. Furthermore, the mediation effect test results indicated that social network characteristics have a mediating effect on the relationship between extraversion and innovative behavior, and between openness and innovative behavior. Originality/value This study analyzes how personality traits influence innovation behavior in an open innovation environment, thus enriching research related to the factors influencing interactive innovation behavior. Meanwhile, the study integrates personality, social network, and innovative behavior research streams and clearly explains the relationship between the three variables. The research findings assist firms in selecting suitable employees to participate in interactive innovation behaviors in OICs.</t>
  </si>
  <si>
    <t>[Jiang, Xiaoyan; Lin, Jie; Wang, Chao] Tongji Univ, Sch Econ &amp; Management, Shanghai, Peoples R China; [Zhou, Lixin] Univ Shanghai Sci &amp; Technol, Business Sch, Shanghai, Peoples R China</t>
  </si>
  <si>
    <t>Tongji University; University of Shanghai for Science &amp; Technology</t>
  </si>
  <si>
    <t>Lin, J (corresponding author), Tongji Univ, Sch Econ &amp; Management, Shanghai, Peoples R China.</t>
  </si>
  <si>
    <t>linjie@tongji.edu.cn</t>
  </si>
  <si>
    <t>Wang, Chaos/GXG-2923-2022; Zhou, Li/GSE-4531-2022</t>
  </si>
  <si>
    <t>Zhou, lixin/0000-0002-9362-8117; Jiang, Xiaoyan/0000-0002-5877-7256</t>
  </si>
  <si>
    <t>Shanghai Science and Technology Innovation Action Plan Soft Science Research Project [22692108300]; National Natural Science Foundation of China [71672128]</t>
  </si>
  <si>
    <t>Shanghai Science and Technology Innovation Action Plan Soft Science Research Project; National Natural Science Foundation of China(National Natural Science Foundation of China (NSFC))</t>
  </si>
  <si>
    <t>This work is supported by Shanghai Science and Technology Innovation Action Plan Soft Science Research Project (22692108300) and the National Natural Science Foundation of China (71672128).</t>
  </si>
  <si>
    <t>10.1108/K-09-2021-0884</t>
  </si>
  <si>
    <t>2Z6JU</t>
  </si>
  <si>
    <t>WOS:000826682500001</t>
  </si>
  <si>
    <t>Wu, TJ; Zhang, RX; Li, JM</t>
  </si>
  <si>
    <t>Wu, Tung-Ju; Zhang, Ruo-Xi; Li, Jia-Min</t>
  </si>
  <si>
    <t>How does goal orientation fuel hotel employees' innovative behaviors? A cross-level investigation</t>
  </si>
  <si>
    <t>Goal orientation; Innovative behavior; Self-efficacy; Centralized climate; Hotel marketing team</t>
  </si>
  <si>
    <t>GENERAL SELF-EFFICACY; TRANSFORMATIONAL LEADERSHIP; CREATIVITY; PERFORMANCE; WORK; MODEL; CENTRALIZATION; PERCEPTIONS; VALIDATION; ENGAGEMENT</t>
  </si>
  <si>
    <t>The innovative behavior of employees is the basis for the sustainable operation of the hotel industry and examining the factors affecting innovative behavior of employees has important and timely significance. Thus, we draw from goal orientation theory to suggest the potential mechanism of different goal orientations and explore how different goal orientations influence employees' innovative behaviors via self-efficacy and how the centralized climate moderates this effect. The data were collected at two time points from 323 employees and their supervisors across 68 hotel marketing teams in Beijing and Shanghai. Hierarchical linear modeling (HLM) analysis results confirmed our hypotheses that the centralized climate moderated the relationship between team members' goal orientations and innovative behaviors. The innovative behaviors can be attained by employees with higher learning goal orientation or performance approach goal orientation. Theoretical contributions and practical implications are discussed.</t>
  </si>
  <si>
    <t>[Wu, Tung-Ju; Zhang, Ruo-Xi] Harbin Inst Technol HIT, Sch Management, Harbin 150001, Heilongjiang, Peoples R China; [Li, Jia-Min] Northeastern Univ, Sch Business Adm, Shenyang 110167, Liaoning, Peoples R China</t>
  </si>
  <si>
    <t>Harbin Institute of Technology; Northeastern University - China</t>
  </si>
  <si>
    <t>Li, JM (corresponding author), Northeastern Univ, Sch Business Adm, Shenyang 110167, Liaoning, Peoples R China.</t>
  </si>
  <si>
    <t>tjwu@hit.edu.cn; 18428316059@163.com; lijmneu@163.com</t>
  </si>
  <si>
    <t>Li, Jia-Min/0000-0001-7371-2605</t>
  </si>
  <si>
    <t>Natural Science Foundation of Heilongjiang Province [YQ2021G004]; National Natural Science Foundation of China [72131005, 71702059]; Fundamental Research Funds for the Central Universities in Harbin Institute of Technology</t>
  </si>
  <si>
    <t>Natural Science Foundation of Heilongjiang Province(Natural Science Foundation of Heilongjiang Province); National Natural Science Foundation of China(National Natural Science Foundation of China (NSFC)); Fundamental Research Funds for the Central Universities in Harbin Institute of Technology</t>
  </si>
  <si>
    <t>This research was supported by the Natural Science Foundation of Heilongjiang Province (YQ2021G004), the National Natural Science Foundation of China (72131005, 71702059), and the Fundamental Research Funds for the Central Universities in Harbin Institute of Technology.</t>
  </si>
  <si>
    <t>10.1007/s12144-022-03489-x</t>
  </si>
  <si>
    <t>2Y8MQ</t>
  </si>
  <si>
    <t>WOS:000826144200005</t>
  </si>
  <si>
    <t>Zhang, JZ; Ge, JH; Ma, YT; Wang, ZY; Yu, YY; Liang, XY; An, ZN; Xu, YH</t>
  </si>
  <si>
    <t>Zhang, Jianzhen; Ge, Jiahao; Ma, Yuting; Wang, Ziyang; Yu, Yuyao; Liang, Xiaoyu; An, Zhenni; Xu, Yanhua</t>
  </si>
  <si>
    <t>The Mediating and Buffering Effect of Creativity on the Relationship Between Sense of Place and Academic Achievement in Geography</t>
  </si>
  <si>
    <t>sense of place; creativity; academic achievement in geography; mediating and buffering effects; upper-secondary-school students</t>
  </si>
  <si>
    <t>ENVIRONMENT; EDUCATION; PERSONALITY; PERFORMANCE; PERCEPTION; FIELDWORK; ATTITUDES; HEALTH; IMPACT; MODEL</t>
  </si>
  <si>
    <t>PurposeThis study explored the relationship between sense of place and academic achievement in geography and used a mediation model to verify the mediating role of creativity in this relationship. MethodsA total of 1,037 upper secondary school students were surveyed using the Sense of Place Scale, the Innovative Behavior Scale, and their geography test scores. SPSS (version 26.0) was used for descriptive statistical analysis and correlation analysis. The PROCESS plug-in (version 4.0) was used to test the mediating effect of creativity. Results(1) The correlation analysis showed that sense of place has a positive effect on academic achievement in geography and is related to creativity. Moreover, creativity exerts a positive effect on academic achievement in geography (2). The results of mediation analysis indicated that creativity plays mediating and buffering roles in the relationship between sense of place and academic achievement in geography after controlling for gender and residential address. The direct and indirect effects accounted for 65.708 and 34.292% of the total effect, respectively. ConclusionsThe results indicated that sense of place affected not only academic achievement in geography directly but also creativity indirectly. This conclusion provides certain ideas for the development of geography curriculums. Since academic achievement in geography is related to both sense of place and creativity, it is necessary to pay more attention to integrating sense of place in geography education and to foster creativity in curriculum development and teaching of geography.</t>
  </si>
  <si>
    <t>[Zhang, Jianzhen; Ge, Jiahao; Ma, Yuting; Wang, Ziyang; Yu, Yuyao; Liang, Xiaoyu; An, Zhenni; Xu, Yanhua] Zhejiang Normal Univ, Coll Geog &amp; Environm Sci, Jinhua, Peoples R China</t>
  </si>
  <si>
    <t>Zhejiang Normal University</t>
  </si>
  <si>
    <t>Xu, YH (corresponding author), Zhejiang Normal Univ, Coll Geog &amp; Environm Sci, Jinhua, Peoples R China.</t>
  </si>
  <si>
    <t>yanhuaxuedu@foxmail.com</t>
  </si>
  <si>
    <t>Ge, Jiahao/0000-0003-3423-5935; yu, yuyao/0009-0009-4786-4192</t>
  </si>
  <si>
    <t>10.3389/fpsyg.2022.918289</t>
  </si>
  <si>
    <t>2R1EU</t>
  </si>
  <si>
    <t>WOS:000820855700001</t>
  </si>
  <si>
    <t>Liu, Q; Tong, YQ</t>
  </si>
  <si>
    <t>Liu, Qiang; Tong, Yuqiong</t>
  </si>
  <si>
    <t>Employee Growth Mindset and Innovative Behavior: The Roles of Employee Strengths Use and Strengths-Based Leadership</t>
  </si>
  <si>
    <t>growth mindset; innovative behavior; strengths use; strengths-based leadership; workplace</t>
  </si>
  <si>
    <t>PROACTIVE PERSONALITY; MEDIATING ROLES; ORGANIZATIONS; ACHIEVEMENT; VALIDATION; MODEL; WORK</t>
  </si>
  <si>
    <t>This study aimed to investigate the relationship of employee growth mindset with innovative behavior and the mediating role of use of strength as well as the moderating role of strengths-based leadership in this relationship. Data with a sample of 244 employees working in diverse Chinese organizations were collected at two points in time. Results of bootstrapping analyses demonstrated that growth mindset is positively related to innovative behavior, employee strengths use partially mediates the positive relationship of growth mindset with innovative behavior, and strengths-based leadership strengthens the direct relationship between employee growth mindset and innovative behavior and the indirect relationship of employee growth mindset with innovative behavior via strengths use. This study advances growth mindset and innovative behavior theories and research.</t>
  </si>
  <si>
    <t>[Liu, Qiang; Tong, Yuqiong] Liaoning Univ Technol, Sch Econ &amp; Management, Jinzhou, Peoples R China</t>
  </si>
  <si>
    <t>Liaoning University of Technology</t>
  </si>
  <si>
    <t>Tong, YQ (corresponding author), Liaoning Univ Technol, Sch Econ &amp; Management, Jinzhou, Peoples R China.</t>
  </si>
  <si>
    <t>tongyuq@126.com</t>
  </si>
  <si>
    <t>JUN 20</t>
  </si>
  <si>
    <t>10.3389/fpsyg.2022.814154</t>
  </si>
  <si>
    <t>2Q5EQ</t>
  </si>
  <si>
    <t>WOS:000820445800001</t>
  </si>
  <si>
    <t>Abbas, S; Adapa, S; Sheridan, A; Azeem, MM</t>
  </si>
  <si>
    <t>Abbas, Sadia; Adapa, Sujana; Sheridan, Alison; Azeem, Muhammad Masood</t>
  </si>
  <si>
    <t>Informal competition and firm level innovation in South Asia: The moderating role of innovation time off and R&amp;D intensity</t>
  </si>
  <si>
    <t>Informal competition; Innovation; Innovation time off; R &amp; D intensity; South Asia</t>
  </si>
  <si>
    <t>ABSORPTIVE-CAPACITY; PRODUCT; CAPABILITY; ENTREPRENEURSHIP; PERFORMANCE; MANAGEMENT; ECONOMY; CORRUPTION; INVESTMENT; IMPACT</t>
  </si>
  <si>
    <t>This paper examines the relationship between informal competition and innovation. In particular, we are concerned with how informal firms affect the product and process innovations of formal firms of South Asia. We introduce the moderating variables of innovation time off and R&amp;D intensity as components of absorptive capacity theory to analyse this relationship. Our results show that informal competition negatively affects both product and process innovations of formal firms. Innovation time off and R&amp;D intensity positively moderate the impact of informal competition for those firms that are innovating in both domains. Our findings suggest managers and owners of formal firms will benefit from providing free time to employees for creative ideas and investing in R&amp;D activities to reduce the negative effect of the informal sector. Our findings also provide insight to policy makers to formulate policies that encourage innovative behaviour within the formal sector of South Asia.</t>
  </si>
  <si>
    <t>[Abbas, Sadia; Adapa, Sujana; Sheridan, Alison; Azeem, Muhammad Masood] Univ New England, UNE Business Sch, Armidale, NSW, Australia</t>
  </si>
  <si>
    <t>University of New England</t>
  </si>
  <si>
    <t>Abbas, S (corresponding author), Univ New England, UNE Business Sch, Armidale, NSW, Australia.</t>
  </si>
  <si>
    <t>sabbas3@myune.edu.au</t>
  </si>
  <si>
    <t>10.1016/j.techfore.2022.121751</t>
  </si>
  <si>
    <t>3J7AO</t>
  </si>
  <si>
    <t>WOS:000833546300007</t>
  </si>
  <si>
    <t>Madrid, HP; Patterson, MG</t>
  </si>
  <si>
    <t>Madrid, Hector P.; Patterson, Malcolm G.</t>
  </si>
  <si>
    <t>An Examination of the Relationship between Idea Generation versus Idea Implementation and Subsequent Self-Efficacy and Positive Affect</t>
  </si>
  <si>
    <t>Creativity; Positive affect; Self-efficacy; Diary study; Multilevel modeling</t>
  </si>
  <si>
    <t>INNOVATIVE BEHAVIOR; CREATIVITY; MOOD; WORK; ORGANIZATIONS; MODEL; DETERMINANTS; PERCEPTIONS; MULTILEVEL; FAIRNESS</t>
  </si>
  <si>
    <t>The influence of positive affect on creativity at work is well established in the organizational psychology literature, but evidence about whether creativity predicts positive affect still remains ambiguous, with some studies showing a positive but others a null effect. We address these issues arguing that novel idea implementation, but not idea generation, predicts positive feelings expressed in enthusiasm, joy, and inspiration over time, due to the sense of mastery embedded in the state of self-efficacy. This process was supported in a 10-week diary study using within-subjects multilevel modeling. Results showed that idea implementation is positively related to self-efficacy the following week, which in turn is positively associated with positive affect within the same week. Thus, over the mid-range lifespan, positive affect is not only a driver of creativity but also a function of this form of performance. We discuss the theoretical and practical implications derived from this study.</t>
  </si>
  <si>
    <t>[Madrid, Hector P.] Univ Adolfo Ibanez, Sch Business, Santiago, Chile; [Patterson, Malcolm G.] Univ Sheffield, Management Sch, Inst Work Psychol, Sheffield, S Yorkshire, England</t>
  </si>
  <si>
    <t>Universidad Adolfo Ibanez; N8 Research Partnership; RLUK- Research Libraries UK; White Rose University Consortium; University of Sheffield</t>
  </si>
  <si>
    <t>Madrid, HP (corresponding author), Univ Adolfo Ibanez, Sch Business, Santiago, Chile.</t>
  </si>
  <si>
    <t>hector.madrid@uai.cl</t>
  </si>
  <si>
    <t>Madrid, Hector/N-2162-2014</t>
  </si>
  <si>
    <t>Madrid, Hector/0000-0003-1925-6156</t>
  </si>
  <si>
    <t>10.1007/s10869-022-09820-4</t>
  </si>
  <si>
    <t>1M1FA</t>
  </si>
  <si>
    <t>WOS:000799720700001</t>
  </si>
  <si>
    <t>Shakeel, PM; Aboobaider, BB; Salahuddin, LB</t>
  </si>
  <si>
    <t>Shakeel, P. Mohamed; Aboobaider, Burhanuddin Bin Mohd; Salahuddin, Lizawati Binti</t>
  </si>
  <si>
    <t>A deep learning-based cow behavior recognition scheme for improving cattle behavior modeling in smart farming</t>
  </si>
  <si>
    <t>INTERNET OF THINGS</t>
  </si>
  <si>
    <t>Cow behavior; Data analysis; Deep learning; Pattern recognition</t>
  </si>
  <si>
    <t>ANIMAL BEHAVIOR; NETWORK</t>
  </si>
  <si>
    <t>Farming and animal husbandry applications are improvised with the implication of machine learning and artificial intelligence in recent years. The precise estimation, recommendations, and performances are the prime reason for the technology implication. Owing to the modern agricultural and animal cultures, this article introduces an innovative Behavior Recognition and Computation Scheme (BRCS) for predicting cow behaviors. The information from the swallowed microchip is processed based on the observed animal action that is used for the forecast. Considering the information to be rectilinear, the distractions and distribution patterns (data) are augmented in identifying and forecasting its behavior. The proposed scheme identifies the patterns using a deep recurrent learning paradigm recurrently. This pattern is distinguished for idle and non-idle observations for improving the prediction accuracy. Distinguished data patterns are mapped for the consecutive time and observation data in classifying abnormalities. The proposed scheme's performance is validated using the metrics accuracy, precision, computing time, and mean error.</t>
  </si>
  <si>
    <t>[Shakeel, P. Mohamed; Aboobaider, Burhanuddin Bin Mohd; Salahuddin, Lizawati Binti] Univ Tekn Malaysia, Fac Informat &amp; Commun Technol, Melaka, Malaysia; [Aboobaider, Burhanuddin Bin Mohd] Univ Tekn Malaysia Melaka, Fac Informat &amp; Commun Technol, UTeM Int Ctr, Durian Tunggal, Melaka, Malaysia</t>
  </si>
  <si>
    <t>University Teknikal Malaysia Melaka; University Teknikal Malaysia Melaka</t>
  </si>
  <si>
    <t>Shakeel, PM (corresponding author), Univ Tekn Malaysia, Fac Informat &amp; Commun Technol, Melaka, Malaysia.</t>
  </si>
  <si>
    <t>shakeelji@ieee.org; burhanuddin@utem.edu.my</t>
  </si>
  <si>
    <t>BIOCORE Research Group; Centre for Research and Innovation Management (CRIM); Universiti Teknikal Malaysia Melaka (UTeM); Center for Advanced Computing Technology (C-ACT); Fakulti Teknologi Maklumat dan Komunikasi (FTMK)</t>
  </si>
  <si>
    <t>The authors would like to thank BIOCORE Research Group, Center for Advanced Computing Technology (C-ACT), Fakulti Teknologi Maklumat dan Komunikasi (FTMK) and Centre for Research and Innovation Management (CRIM), Universiti Teknikal Malaysia Melaka (UTeM) for providing the facilities and support for this research.</t>
  </si>
  <si>
    <t>2543-1536</t>
  </si>
  <si>
    <t>2542-6605</t>
  </si>
  <si>
    <t>INTERNET THINGS-NETH</t>
  </si>
  <si>
    <t>Internet Things</t>
  </si>
  <si>
    <t>10.1016/j.iot.2022.100539</t>
  </si>
  <si>
    <t>Computer Science, Information Systems; Engineering, Electrical &amp; Electronic; Telecommunications</t>
  </si>
  <si>
    <t>Computer Science; Engineering; Telecommunications</t>
  </si>
  <si>
    <t>1P3XS</t>
  </si>
  <si>
    <t>WOS:000801946400001</t>
  </si>
  <si>
    <t>Hussain, T; Zhang, Y</t>
  </si>
  <si>
    <t>Hussain, Taiba; Zhang, Yi</t>
  </si>
  <si>
    <t>The influences of cross-cultural adjustment and motivation on self-initiated expatriates' innovative work behavior</t>
  </si>
  <si>
    <t>Quantitative; Innovative behavior; Self-determination theory; Self-initiated expatriates; Cross-cultural adjustment; Autonomous motivation; Controlled motivation</t>
  </si>
  <si>
    <t>PERCEIVED ORGANIZATIONAL SUPPORT; INTRINSIC MOTIVATION; MEDIATING ROLE; PERFORMANCE; INTELLIGENCE; CREATIVITY; MODEL; DETERMINANTS; EXPERIENCE; SPOUSE</t>
  </si>
  <si>
    <t>Purpose - Drawing upon the cross-cultural adjustment (CCA) model and self-determination theory, this study investigated the influence of CCA (work, interactional, and general adjustment) and motivation (autonomous and controlled) on the innovative work behavior of self-initiated expatriates (SIEs). Design/methodology/approach - Multi-source data were collected from 213 SIEs and their supervisors working in the United Arab Emirates to provide an understanding of the role of SIEs' CCA and motivation and their innovative work behavior. Findings - Findings indicated that work, interactional, and general adjustment are positively related to innovative work behavior. Autonomous motivation positively predicts innovative work behavior, while controlled motivation does not. Additionally, autonomous motivation moderated the effects of work adjustment and interactional adjustment on SIEs' innovative work behavior, whereas controlled motivation moderates the effect of general adjustment on SIEs' innovative work behavior. Originality/value - SIEs are regarded as talents that have the skills and valuable knowledge gained from their international experience and can be utilized in organizations to perform innovative work behaviors. However, SIEs face adjustment challenges that may hinder their ability to be innovative. Despite their potential as innovation drivers in organizations, there are few studies on the factors that affect SIEs' innovative behavior. This study contributes to the literature by examining the effects of adjustment and motivation on SIEs' innovative work behavior.</t>
  </si>
  <si>
    <t>[Hussain, Taiba; Zhang, Yi] Zayed Univ, Abu Dhabi Campus, Abu Dhabi, U Arab Emirates</t>
  </si>
  <si>
    <t>Hussain, T (corresponding author), Zayed Univ, Abu Dhabi Campus, Abu Dhabi, U Arab Emirates.</t>
  </si>
  <si>
    <t>taiba.hussain@zu.ac.ae; zhangyi8773@hotmail.com</t>
  </si>
  <si>
    <t>Zhang, Yi/0000-0002-0452-7446</t>
  </si>
  <si>
    <t>10.1108/PR-05-2021-0320</t>
  </si>
  <si>
    <t>1C6JE</t>
  </si>
  <si>
    <t>WOS:000793222100001</t>
  </si>
  <si>
    <t>Li, P; Zhang, ZS; Zhang, YN</t>
  </si>
  <si>
    <t>Li, Pin; Zhang, Zhitian Skylor; Zhang, Yanna</t>
  </si>
  <si>
    <t>How Creative Self-Concept Leads to Happiness: A Multilevel Chain Mediating Model</t>
  </si>
  <si>
    <t>creative self-concept; creative behavior; creative self-assessment; positive affect</t>
  </si>
  <si>
    <t>POTENTIAL ANTECEDENTS; INNOVATIVE BEHAVIOR; PERFORMANCE; EFFICACY; PERSPECTIVE; CONFIDENCE; CLASSROOM; OPTIMISM</t>
  </si>
  <si>
    <t>Recent research has shown that creative self-concept might be not only a path to people's creativity but also a path to their positive affect. This study proposed and examined the underlying mechanisms of how creative self-concept is associated with positive affect through the mediating role of people's daily creative behavior and creative self-assessment. We recruited 101 Chinese undergraduate students to report their creative behavior, creative self-assessment, and experiences of positive emotion states each day for 14 days. A multilevel structural equation model was conducted. Results confirmed the mediating role of creative self-assessment and the chain-mediating role of creative behavior and creative self-assessment between creative self-concept and positive affect. The direct effect of creative behavior on positive affect was not verified. These findings highlight the role that creative self-concept plays in everyday activities and everyday well-being and show the importance of creative self-assessment in creativity education and mental health care.</t>
  </si>
  <si>
    <t>[Li, Pin] Chengdu Normal Univ, Chengdu, Sichuan, Peoples R China; [Zhang, Zhitian Skylor] Beijing Normal Univ, Beijing, Peoples R China; [Zhang, Yanna] Yancheng Teachers Univ, Yancheng, Jiangsu, Peoples R China</t>
  </si>
  <si>
    <t>Chengdu Normal University; Beijing Normal University; Yancheng Teachers University</t>
  </si>
  <si>
    <t>Li, P (corresponding author), Chengdu Normal Univ, Educ &amp; Psychol Dept, Chengdu 611130, Peoples R China.</t>
  </si>
  <si>
    <t>cdlipin@126.com; zhangzhitian1122@gmail.com</t>
  </si>
  <si>
    <t>Li, Pin/0000-0002-0095-7799</t>
  </si>
  <si>
    <t>10.1002/jocb.545</t>
  </si>
  <si>
    <t>6R9ER</t>
  </si>
  <si>
    <t>WOS:000793086300001</t>
  </si>
  <si>
    <t>Nguyen, PD; Khoi, NH; Le, ANH; Ho, HX</t>
  </si>
  <si>
    <t>Nguyen, Phong Dong; Khoi, Nguyen Huu; Le, Angelina Nhat Hanh; Ho, Huong Xuan</t>
  </si>
  <si>
    <t>Benevolent leadership and organizational citizenship behaviors in a higher education context: a moderated mediation model</t>
  </si>
  <si>
    <t>Conservation of resources theory; Benevolent leadership; Leader-member exchange; Affective commitment; Attachment styles; University lecturers</t>
  </si>
  <si>
    <t>CORPORATE SOCIAL-RESPONSIBILITY; PATERNALISTIC LEADERSHIP; MEMBER EXCHANGE; INNOVATIVE BEHAVIOR; ATTACHMENT; RESOURCES; WELL; CONSERVATION; PERFORMANCE; DETERMINANTS</t>
  </si>
  <si>
    <t>Purpose - Drawing upon the conservation of resources (COR) theory, this paper investigates the moderated mediation model linking benevolent leadership to organizational citizenship behaviors towards the organization (OCBO) and towards individuals (OCBI) in the context of higher education. The mediating roles of leader-member exchange and affective commitment as well as the moderating roles of the two attachment styles-attachment anxiety and attachment avoidance-are also examined. Design/methodology/approach - Data were collected from a sample of 333 university lecturers and analyzed using partial least square structural equation modeling (PLS-SEM). Findings - The results demonstrate that leader-member exchange and affective commitment are mediating resources that help benevolent leaders motivate university lecturers to engage in two types of OCBs. Moreover, attachment anxiety and attachment avoidance act as the respective enhancer and inhibitor for the indirect effects of benevolent leadership on both OCBs through leader-member exchange. In contrast, the relationships between benevolent leadership and two types of OCBs through the mediating role of affective commitment are not contingent on the attachment styles of lecturers. Practical implications - The findings suggest that university leaders who aim at promoting OCBs among lecturers should deploy benevolent leadership style to facilitate a positive social exchange relationship as well as foster their affective commitment. Such leadership style is especially effective in influencing lecturers who possess attachment anxiety personality traits. Originality/value - This pioneer research develops and empirically tests a COR theory-grounded moderated mediation model pertaining to benevolent leadership and lecturers' OCBs. The findings contribute to the educational management literature by demonstrating that benevolent leadership, a crucial organizational resource, significantly motivates lecturers' voluntary and extra-role behaviors in a dynamic and contingent manner. Leader-member exchange and affective commitment are important mediating resources in the process of transforming benevolent leadership into beneficial behaviors. Further, the effectiveness of benevolent leadership largely depends on lecturers' personality traits of attachment anxiety and avoidance. These novel mediating and moderating findings demonstrate the sequential and interaction effects of various organizational and individual resources on lecturers' OCBs; thus, adding value to the COR theory's core principles, including resource caravans and resource investment behaviors.</t>
  </si>
  <si>
    <t>[Nguyen, Phong Dong; Ho, Huong Xuan] Univ Econ Ho Chi Minh City UEH, Sch Int Business Mkt, Ho Chi Minh City, Vietnam; [Khoi, Nguyen Huu; Le, Angelina Nhat Hanh] Univ Econ Ho Chi Minh City UEH, Sch Management, Ho Chi Minh City, Vietnam; [Khoi, Nguyen Huu] Nha Trang Univ, Fac Econ, Dept Mkt, Nha Trang City, Vietnam</t>
  </si>
  <si>
    <t>Ho Chi Minh City University Economics; Ho Chi Minh City University Economics; Nha Trang University</t>
  </si>
  <si>
    <t>Ho, HX (corresponding author), Univ Econ Ho Chi Minh City UEH, Sch Int Business Mkt, Ho Chi Minh City, Vietnam.</t>
  </si>
  <si>
    <t>phongnd@ueh.edu.vn; khoinh@ntu.edu.vn; hanhln@ueh.edu.vn; huonghx@ueh.edu.vn</t>
  </si>
  <si>
    <t>Khoi, Nguyen Huu/E-5293-2018</t>
  </si>
  <si>
    <t>Khoi, Nguyen Huu/0000-0002-6253-7263</t>
  </si>
  <si>
    <t>This research is funded by University of Economics Ho Chi Minh City (UEH), Vietnam.</t>
  </si>
  <si>
    <t>10.1108/PR-04C321-0234</t>
  </si>
  <si>
    <t>1C6MD</t>
  </si>
  <si>
    <t>WOS:000793229800001</t>
  </si>
  <si>
    <t>Yuan, H; Ma, D</t>
  </si>
  <si>
    <t>Yuan, Hao; Ma, Dan</t>
  </si>
  <si>
    <t>Gender Differences in the Relationship between Interpersonal Trust and Innovative Behavior: The Mediating Effects of Affective Organizational Commitment and Knowledge-Sharing</t>
  </si>
  <si>
    <t>gender difference; interpersonal trust; innovative behavior; knowledge-sharing; affective organizational commitment</t>
  </si>
  <si>
    <t>NORMATIVE COMMITMENT; ANTECEDENTS; METAANALYSIS; CONTINUANCE; PERSPECTIVE; MANAGEMENT; WORKPLACE; WORK</t>
  </si>
  <si>
    <t>The innovative behavior of employees is the micro-foundation of enterprise innovation. The objective of this study was to assess the role of gender differences in the effect of interpersonal trust on employee innovation and the mediating roles of organizational commitment and knowledge-sharing. This study tested research hypotheses with a multi-group structural equation model, using data collected from 688 participants in Shanghai, China. The results showed that interpersonal trust had significant impacts on affective organizational commitment, knowledge-sharing and innovation behavior. Affective organizational commitment and knowledge-sharing mediated the effect of interpersonal trust on employee innovation. Furthermore, the direct impact of interpersonal trust on innovative behavior was significantly higher for women than for men, whereas males' affective organizational commitment increased their knowledge-sharing behaviors. In addition, there were no significant gender differences in the effect of interpersonal trust on organizational commitment and in the effect of knowledge-sharing on innovative behavior. These results confirmed that interpersonal trust was more important for female knowledge-sharing and innovative behavior, and affective organizational commitment was more important for male knowledge-sharing.</t>
  </si>
  <si>
    <t>[Yuan, Hao] Shanghai Univ, Sch Sociol &amp; Polit Sci, Shanghai 200444, Peoples R China; [Ma, Dan] Shanghai Adm Inst, Dept Sociol, Shanghai 200233, Peoples R China</t>
  </si>
  <si>
    <t>Yuan, H (corresponding author), Shanghai Univ, Sch Sociol &amp; Polit Sci, Shanghai 200444, Peoples R China.</t>
  </si>
  <si>
    <t>yuanhao@shu.edu.cn; madansoc@163.com</t>
  </si>
  <si>
    <t>National Social Science Foundation of China [18BSH123]</t>
  </si>
  <si>
    <t>This work was funded by the National Social Science Foundation of China (grant numbers 18BSH123).</t>
  </si>
  <si>
    <t>10.3390/bs12050145</t>
  </si>
  <si>
    <t>1P0OR</t>
  </si>
  <si>
    <t>WOS:000801719900001</t>
  </si>
  <si>
    <t>Miyao, M; Ozaki, H; Tobia, S; Petruzzelli, AM; Frattini, F</t>
  </si>
  <si>
    <t>Miyao, Manabu; Ozaki, Hiroyuki; Tobia, Stefano; Petruzzelli, Antonio Messeni; Frattini, Federico</t>
  </si>
  <si>
    <t>The role of open innovation hubs and perceived collective efficacy on individual behaviour in open innovation projects</t>
  </si>
  <si>
    <t>collective efficacy; creativity; exploration; inclusive leadership; innovative behaviour; open innovation; open innovation hub; open innovation projects; structural equation modeling</t>
  </si>
  <si>
    <t>MANAGING OPEN; CREATIVITY; LEADERSHIP; KNOWLEDGE; MICROFOUNDATIONS; EXPLOITATION; EXPLORATION; FRAMEWORK; BELIEFS; MODEL</t>
  </si>
  <si>
    <t>The effectiveness of a company's open innovation (OI) strategy strongly depends on the performance of the innovation projects it launches. However, OI research has dedicated only scant attention to the role played by the behaviour of individuals involved in these projects. This study focuses on the role played by an open innovation hub (OIH), an in-house unit supporting and accelerating OI initiatives, and investigates how OIHs influence the innovative behaviour of employees involved in innovation projects. In particular, this study employs social cognitive theory as a theoretical lens and investigates the role of project members' collective efficacy. Specifically, we developed two hypotheses that were tested using empirical analysis, with survey data from 134 individuals involved in OI projects and operating in 16 Japanese companies. Our study contributes to the literature by illuminating how the perceived collective efficacy of the employees involved in an innovation project influences their behaviours. We find that the support offered by an OIH strengthens the project members' perceived collective efficacy and, in turn, supports their innovative behaviour.</t>
  </si>
  <si>
    <t>[Miyao, Manabu] Kobe Univ, Grad Sch Business Adm, Kobe, Hyogo, Japan; [Ozaki, Hiroyuki] Kobe Univ, Grad Sch Sci Technol &amp; Innovat, Kobe, Hyogo, Japan; [Tobia, Stefano; Frattini, Federico] Politech Milano, Sch Management, Milan, Italy; [Petruzzelli, Antonio Messeni] Politecn Bari, Dipartimento Meccan Matemat &amp; Management, Bari, Italy</t>
  </si>
  <si>
    <t>Kobe University; Kobe University; Polytechnic University of Milan; Politecnico di Bari</t>
  </si>
  <si>
    <t>Miyao, M (corresponding author), Kobe Univ, Grad Sch Business Adm, Nada Ku, 2-1 Rokkodai, Kobe, Hyogo 6578501, Japan.</t>
  </si>
  <si>
    <t>miyao@rabbit.kobe-u.ac.jp</t>
  </si>
  <si>
    <t>FRATTINI, FEDERICO/0000-0001-5100-3605; Miyao, Manabu/0000-0002-4319-0209; Ozaki, Hiroyuki/0000-0002-6110-4634; Messeni Petruzzelli, Antonio/0000-0002-6852-5167</t>
  </si>
  <si>
    <t>JSPS KAKENHI [18K01755]; Grants-in-Aid for Scientific Research [18K01755] Funding Source: KAKEN</t>
  </si>
  <si>
    <t>JSPS KAKENHI(Ministry of Education, Culture, Sports, Science and Technology, Japan (MEXT)Japan Society for the Promotion of ScienceGrants-in-Aid for Scientific Research (KAKENHI)); Grants-in-Aid for Scientific Research(Ministry of Education, Culture, Sports, Science and Technology, Japan (MEXT)Japan Society for the Promotion of ScienceGrants-in-Aid for Scientific Research (KAKENHI))</t>
  </si>
  <si>
    <t>JSPS KAKENHI, Grant/Award Number: 18K01755</t>
  </si>
  <si>
    <t>10.1111/caim.12494</t>
  </si>
  <si>
    <t>WOS:000777915500001</t>
  </si>
  <si>
    <t>Mittone, L; Morreale, A; Vu, TTT</t>
  </si>
  <si>
    <t>Mittone, Luigi; Morreale, Azzurra; Vu, Thi-Thanh-Tam</t>
  </si>
  <si>
    <t>What drives innovative behavior?- An experimental analysis on risk attitudes, creativity and performance*</t>
  </si>
  <si>
    <t>JOURNAL OF BEHAVIORAL AND EXPERIMENTAL ECONOMICS</t>
  </si>
  <si>
    <t>Self-perceived creativity; Risk-taking; Innovation willingness; Innovative behaviour; Laboratory experiment</t>
  </si>
  <si>
    <t>TRUST; MODEL</t>
  </si>
  <si>
    <t>In this paper, we propose a novel laboratory experiment that examines the role of individuals' self-perceived creativity and risk preferences in their willingness to innovate. In our experimental setting subjects are involved in two main activities: performing a real-effort task for multiple rounds and deciding on whether to try to obtain an innovation in the real-effort task. The decision to innovate has been designed as a matter of solving a creative task or playing a lottery. If the subjects were successful in solving the creative task or winning the lottery, they obtained a simplified version of the real-effort task, which is to say that they successfully implemented an innovation. We also elicited the subjects' risk attitudes and their self-perceived creativity. We found that risk-taking attitudes were positively correlated with the willingness to innovate only when the outcome of the decision to innovate was determined by the lottery. On the other hand, there was no significant effect of either self-perceived creativity or risk-taking attitudes on the willingness to innovate when the innovation outcome was the result of solving a creative task. However, self-perceived creativity was positively correlated with the likelihood of solving the creative task successfully. Our results also showed that the performance in the real-effort task was influenced by how the decision to innovate was framed. Our study not only provides more insights into how to foster the decision to innovate at the individual level but also contributes to the use of experimental methods in the innovation literature.</t>
  </si>
  <si>
    <t>[Mittone, Luigi] Univ Trento, Dept Econ &amp; Management, I-38122 Trento, Italy; [Mittone, Luigi; Morreale, Azzurra] LUT Univ, Sch Business &amp; Management, Lappeenranta 53850, Finland; [Vu, Thi-Thanh-Tam] Vietnam Natl Univ, VNU Int Sch, Hanoi 100000, Vietnam</t>
  </si>
  <si>
    <t>University of Trento; Vietnam National University Hanoi</t>
  </si>
  <si>
    <t>Mittone, L (corresponding author), Univ Trento, Dept Econ &amp; Management, I-38122 Trento, Italy.;Mittone, L (corresponding author), LUT Univ, Sch Business &amp; Management, Lappeenranta 53850, Finland.</t>
  </si>
  <si>
    <t>luigi.mittone@unitn.it</t>
  </si>
  <si>
    <t>Mittone, Luigi/0000-0001-6521-7698; Vu, Thi-Thanh-Tam/0000-0002-9251-6703</t>
  </si>
  <si>
    <t>2214-8043</t>
  </si>
  <si>
    <t>2214-8051</t>
  </si>
  <si>
    <t>J BEHAV EXP ECON</t>
  </si>
  <si>
    <t>J. Behav. Exp. Econ.</t>
  </si>
  <si>
    <t>10.1016/j.socec.2022.101868</t>
  </si>
  <si>
    <t>1D2KX</t>
  </si>
  <si>
    <t>WOS:000793635800008</t>
  </si>
  <si>
    <t>Poblete, C</t>
  </si>
  <si>
    <t>Poblete, Carlos</t>
  </si>
  <si>
    <t>The Joint Effects of Hubris, Growth Aspirations, and Entrepreneurial Phases for Innovative Behavior</t>
  </si>
  <si>
    <t>hubris; growth aspirations; innovation; entrepreneurial process; entrepreneurial ambition</t>
  </si>
  <si>
    <t>SOCIAL COGNITIVE THEORY; TECHNOLOGICAL-INNOVATION; UNREALISTIC OPTIMISM; OVERCONFIDENCE; OPPORTUNITIES; SUCCESS; DETERMINANTS; PERFORMANCE; PERCEPTION; PSYCHOLOGY</t>
  </si>
  <si>
    <t>Innovation is often seen as essential for ventures to succeed. High business failure rates in entrepreneurship, however, suggest that innovations are frequently driven by entrepreneurs blinded by overconfidence. Thus, anticipating when and why entrepreneurs will be motivated to innovate is fundamental for entrepreneurial success. Using a large sample obtained from population surveys conducted in 77 countries, this study analyzes the variables that are significantly associated with innovative behaviors. The research tests a model proposing that the joint effects of hubris, growth aspirations, and an entrepreneur's level of entrepreneurial experience have a crucial impact on innovative endeavors. It finds that hubris is significantly related to entrepreneurs' growth aspirations and that ambition, in turn, is positively related to innovative behaviors. In addition, the study finds that both relationships are moderated by the level of entrepreneurial experience. These findings highlight the need to wise up amateur entrepreneurs before they embark on innovative endeavors.</t>
  </si>
  <si>
    <t>[Poblete, Carlos] Univ Desarrollo, Sch Business &amp; Econ, Santiago, Chile</t>
  </si>
  <si>
    <t>Universidad del Desarrollo</t>
  </si>
  <si>
    <t>Poblete, C (corresponding author), Univ Desarrollo, Sch Business &amp; Econ, Santiago, Chile.</t>
  </si>
  <si>
    <t>cpoblete@udd.cl</t>
  </si>
  <si>
    <t>Poblete, Carlos/ABB-7082-2020</t>
  </si>
  <si>
    <t>Poblete, Carlos/0000-0001-6785-2564</t>
  </si>
  <si>
    <t>FEB 25</t>
  </si>
  <si>
    <t>10.3389/fpsyg.2022.831058</t>
  </si>
  <si>
    <t>1Q6ZB</t>
  </si>
  <si>
    <t>WOS:000802832300001</t>
  </si>
  <si>
    <t>Boudrias, JS; Montani, F; Vandenberghe, C; Battistelli, A</t>
  </si>
  <si>
    <t>Boudrias, Jean-Sebastien; Montani, Francesco; Vandenberghe, Christian; Battistelli, Adalgisa</t>
  </si>
  <si>
    <t>Are wellbeing dimensions differentially related to employee proactive behavior? The joint moderating effects of knowledge job demands and empowering leadership</t>
  </si>
  <si>
    <t>Psychological wellbeing; Proactive behavior; Knowledge job demands; Empowering leadership; Activation theory</t>
  </si>
  <si>
    <t>INNOVATIVE BEHAVIOR; PSYCHOLOGICAL HEALTH; POSITIVE EMOTIONS; SELF-EFFICACY; WORK; PERFORMANCE; CREATIVITY; REQUIREMENT; STRESSORS; CONTEXT</t>
  </si>
  <si>
    <t>The aim of this article was to investigate the conditions under which the dimensions of work-related wellbeing (i.e., serenity, social harmony, and involvement) can be beneficial for employee proactive behavior (PB). Based on theories of activation and theorization about the influence of wellbeing on performance, we proposed that the contribution of the wellbeing dimensions to PB depends on the type of challenge (i.e., knowledge job demands; KJDs) and level of stimulation (i.e., empowering leadership) that employees experience in their jobs. Data were collected from Canadian employees (N = 602) through a two-wave study. As predicted, findings indicated that KJDs and empowering leadership jointly interacted with serenity and involvement to predict PB. High levels of empowering leadership were found to strengthen the effect of the interactions between serenity and KJDs and between involvement and KJDs, and to intensify the positive relationship between involvement and PB among employees with high KJDs. We discuss the implications of these findings for theory and management of wellbeing and PB in workplaces.</t>
  </si>
  <si>
    <t>[Boudrias, Jean-Sebastien] Univ Montreal, Dept Psychol, Downtown Stn, POB 6128, Montreal, PQ H3C 3J7, Canada; [Montani, Francesco] Univ Bologna, Dept Management, Rimini Campus,Via Anghera 22, I-47900 Rimini, Italy; [Vandenberghe, Christian] HEC Montreal, 3000 Chemin Cote St Catherine, Montreal, PQ H3T 2A7, Canada; [Battistelli, Adalgisa] Univ Bordeaux, Psychol Lab EA4139, 3 Ter,Pl La Victoire, F-33000 Bordeaux, France</t>
  </si>
  <si>
    <t>Universite de Montreal; University of Bologna; Universite de Montreal; HEC Montreal; UDICE-French Research Universities; Universite de Bordeaux</t>
  </si>
  <si>
    <t>Montani, F (corresponding author), Univ Bologna, Dept Management, Rimini Campus,Via Anghera 22, I-47900 Rimini, Italy.</t>
  </si>
  <si>
    <t>jean-sebastien.boudrias@umontreal.ca; francesco.montani@unibo.it; christian.vandenberghe@hec.ca; adalgisa.battistelli@u-bordeaux.fr</t>
  </si>
  <si>
    <t>Social Sciences and Humanities Research Council of Canada [435-2015-0479]</t>
  </si>
  <si>
    <t>This research was funded by Social Sciences and Humanities Research Council of Canada, grant number 435-2015-0479.</t>
  </si>
  <si>
    <t>10.1007/s12144-021-02638-y</t>
  </si>
  <si>
    <t>YK7DD</t>
  </si>
  <si>
    <t>WOS:000745368300005</t>
  </si>
  <si>
    <t>Wu, M; Luo, T; Tian, YH</t>
  </si>
  <si>
    <t>Wu, Min; Luo, Tao; Tian, Yihao</t>
  </si>
  <si>
    <t>The Effects of Open Innovation Based on Mergers and Acquisitions on Innovative Behavior of Enterprises: Evidence From Chinese Listed Enterprises</t>
  </si>
  <si>
    <t>innovative behavior; overseas mergers and acquisitions; open innovation; independent innovation; difference-in-difference</t>
  </si>
  <si>
    <t>RESEARCH-AND-DEVELOPMENT; DEVELOPMENT INVESTMENT; FIRM PERFORMANCE; IMPACT; KNOWLEDGE; DIRECTIONS; CAPABILITY; STRATEGIES; PANEL</t>
  </si>
  <si>
    <t>Finding the factors driving enterprise innovation behavior from multiple dimensions is of great significance for promoting enterprise innovation. Open innovation based on overseas mergers and acquisitions (M&amp;A) has become one of the main ways for enterprises to obtain knowledge and technology. However, there is still no agreement on whether open innovation based on overseas M&amp;A can promote innovation behavior of enterprises. Based on data from M&amp;A transaction and enterprise patent of China's Shanghai and Shenzhen A-share listed companies from 2011 to 2018, this study constructs a propensity score matching and difference-in-difference model from the perspective of innovation performance and innovation investment empirically studies the influence of open innovation mode based on overseas M&amp;A on the innovation behavior of enterprises and finds that open innovation based on overseas M&amp;A can significantly promote the innovation performance and innovation investment. Meanwhile dynamic effects test shows this promotion effect is sustainable; it reaches the maximum in the year of overseas M&amp;A and decreases in the next two years. In addition, the impacts are heterogeneous due to enterprise ownership and enterprise technology intensity. The findings extends the scope of understanding innovation behavior of enterprises from overseas M&amp;A and provide solid evidence of significant business implications for the promotion of entrepreneurial innovation.</t>
  </si>
  <si>
    <t>[Wu, Min; Luo, Tao; Tian, Yihao] Sichuan Univ, Sch Publ Adm, Dept Publ Serv Management &amp; Publ Policy, Chengdu, Peoples R China; [Tian, Yihao] Sichuan Philosophy &amp; Social Sci Key Res Base, Social Dev &amp; Social Risk Control Res Ctr, Chengdu, Peoples R China</t>
  </si>
  <si>
    <t>Tian, YH (corresponding author), Sichuan Univ, Sch Publ Adm, Dept Publ Serv Management &amp; Publ Policy, Chengdu, Peoples R China.;Tian, YH (corresponding author), Sichuan Philosophy &amp; Social Sci Key Res Base, Social Dev &amp; Social Risk Control Res Ctr, Chengdu, Peoples R China.</t>
  </si>
  <si>
    <t>yihaotian@scu.edu.cn</t>
  </si>
  <si>
    <t>National Fund of China Education Science Western Region Project, The Behavior Logic and Realization Mechanism of Multiple Subjects' Synergetic Governance on Vocational Education [XJA190284]</t>
  </si>
  <si>
    <t>National Fund of China Education Science Western Region Project, The Behavior Logic and Realization Mechanism of Multiple Subjects' Synergetic Governance on Vocational Education</t>
  </si>
  <si>
    <t>This manuscript was funded by The National Fund of China Education Science Western Region Project, The Behavior Logic and Realization Mechanism of Multiple Subjects' Synergetic Governance on Vocational Education (XJA190284).</t>
  </si>
  <si>
    <t>10.3389/fpsyg.2021.794531</t>
  </si>
  <si>
    <t>YS3TS</t>
  </si>
  <si>
    <t>WOS:000750603200001</t>
  </si>
  <si>
    <t>Creativity in the South Korean Workplace: Procedural Justice, Abusive Supervision, and Competence</t>
  </si>
  <si>
    <t>creativity; procedural justice; abusive supervision; competence; conservation of resource theory</t>
  </si>
  <si>
    <t>SELF-EFFICACY; INNOVATIVE BEHAVIOR; ORGANIZATIONAL CITIZENSHIP; OCCUPATIONAL STRESS; EMPLOYEE CREATIVITY; CONTEXTUAL FACTORS; SOCIAL-PSYCHOLOGY; WORK-ENVIRONMENT; RESOURCES; SUPPORT</t>
  </si>
  <si>
    <t>Innovation is now a feature of daily life. In a rapidly changing market environment and amid fierce competition, organizations pursue survival and growth through innovation, and the key driver of innovation is the creativity of employees. Because the value of creativity has been emphasized, many organizations are looking for effective ways to encourage employees to be creative at work. From a resource perspective, creativity at work can be viewed as a high-intensity job demand, and organizations should encourage it by providing and managing employee resources. This study is an attempt to empirically investigate how competence and abusive supervision affect the relationship between procedural justice and creativity from the conservation of resources perspective. Findings from two-wave time-lagged survey data from 377 South Korean employees indicate that procedural justice increases creativity through the mediation of competence. Furthermore, abusive supervision has a negative moderating effect on the relationship between procedural justice and competence. The findings show that competence moderates the relationship between procedural justice and creativity and that the lower the level of abusive supervision, the greater the effect of procedural justice on competence and creativity.</t>
  </si>
  <si>
    <t>[Choi, Woo-Sung] Seoul Sch Integrated Sci &amp; Technol, 46 Ewhayeodae 2 Gil, Seoul 03767, South Korea; [Kang, Seung-Wan] Gachon Univ, Coll Business, 1342 Seongnamdaero, Seongnam 13120, South Korea; [Choi, Suk Bong] Korea Univ, Coll Global Business, 2511 Sejong Ro, Sejong City 30019, South Korea</t>
  </si>
  <si>
    <t>Kang, SW (corresponding author), Gachon Univ, Coll Business, 1342 Seongnamdaero, Seongnam 13120, South Korea.;Choi, SB (corresponding author), Korea Univ, Coll Global Business, 2511 Sejong Ro, Sejong City 30019, South Korea.</t>
  </si>
  <si>
    <t>10.3390/ijerph19010500</t>
  </si>
  <si>
    <t>YH4LX</t>
  </si>
  <si>
    <t>WOS:000743141400001</t>
  </si>
  <si>
    <t>Fare, L</t>
  </si>
  <si>
    <t>Fare, Luca</t>
  </si>
  <si>
    <t>Exploring the contribution of micro firms to innovation: does competition matter?</t>
  </si>
  <si>
    <t>Innovation; Competition; Micro firms; EU economy</t>
  </si>
  <si>
    <t>RESEARCH-AND-DEVELOPMENT; INVERTED-U; MARKET-STRUCTURE; LEVEL EVIDENCE; PRODUCTIVITY; ADVANTAGE; SHARE; MODEL</t>
  </si>
  <si>
    <t>Plain English Summary Are micro firms marginal players in innovation? It seems not. Exploring a large sample of small European businesses, we find a non-negligible share of innovative firms with fewer than 10 employees. How does competition affect their innovative behavior? We find that as competition increases, innovation also increases if the initial level of competition is low, but innovation declines if the initial level of competition is high. The results hold for all firms regardless of size. Our findings have two important implications for research and policy. First, micro firms must be considered as significant players in innovation and more comprehensive innovation data should be collected from them. Second, competition fosters small businesses' innovation, but excessive competition can hamper it. Thus, policies aimed at promoting well-balanced competitive markets are crucial if micro firms are to exploit their full innovation potential. With a special focus on firms with fewer than 10 employees, we examine how small businesses participate in innovation and how perceived competition affects their innovative behavior. Statistics from a large sample of European micro-, small-, and medium-sized enterprises document a relevant share of innovative firms, including micro ones. We empirically explore the relationship between competition and the likelihood of being innovative, the degree of complexity of the innovation strategy, and its frequency. Estimates provide evidence of an inverted-U-shaped relationship, whereby innovation initially increases with competition and then it slightly declines. The results hold for all firms, regardless of their size, but the negative effect seems to be more marked for smaller firms. Competition shows a stronger relationship with technical and external innovation. By including micro firms, this paper contributes to the understanding of innovative patterns and activities in firms of all size.</t>
  </si>
  <si>
    <t>[Fare, Luca] Univ Namur, CERPE DeFiPP, Namur, Belgium</t>
  </si>
  <si>
    <t>University of Namur</t>
  </si>
  <si>
    <t>Fare, L (corresponding author), Univ Namur, CERPE DeFiPP, Namur, Belgium.</t>
  </si>
  <si>
    <t>luca.fare@unamur.be</t>
  </si>
  <si>
    <t>Fare, Luca/0000-0002-4969-7211</t>
  </si>
  <si>
    <t>10.1007/s11187-021-00575-5</t>
  </si>
  <si>
    <t>4Z8BG</t>
  </si>
  <si>
    <t>WOS:000734343300001</t>
  </si>
  <si>
    <t>Di Vincenzo, F; Iacopino, V</t>
  </si>
  <si>
    <t>Di Vincenzo, Fausto; Iacopino, Valentina</t>
  </si>
  <si>
    <t>'Catching the new': Exploring the impact of professional networks on innovative work behavior in healthcare</t>
  </si>
  <si>
    <t>healthcare; innovative work behaviour; professional networks; social network analysis</t>
  </si>
  <si>
    <t>SOCIAL NETWORK; INDIVIDUAL INNOVATION; STRUCTURAL HOLES; KNOWLEDGE; CREATIVITY; DIVERSITY; PERCEPTIONS; PERFORMANCE; CENTRALITY; DIFFUSION</t>
  </si>
  <si>
    <t>In this paper we aim to investigate the impact of professional networks on Innovative Work Behavior in the healthcare setting. We investigate a community of 181 primary care physicians in Italy. Social network analysis techniques and ordinal regression model were used to understand to what extent the degree of collaboration and advice among physicians impacts on their propensity to adopt innovative treatments in clinical practice. Our findings document that the more central physicians are in their professional network occurring with peers, the more likely they are to display an innovative behavior. Results also show that the more connected the physicians are with colleagues employed in hospital settings, the more likely they are to display an innovative behavior. Finally, we found that the degree of centrality in the professional network with peers moderates the relationship between centrality in the network with hospital colleagues and their propensity towards innovative behavior. This study provides managers with new insights into the relational determinants affecting innovative behavior in the workplace and suggests the use of analytical tools to formalize and integrate the professional relationships of different individuals.</t>
  </si>
  <si>
    <t>[Di Vincenzo, Fausto] Univ G dAnnunzio, Dept Econ Studies, Chieti, Italy; [Iacopino, Valentina] Univ Cattolica Sacro Cuore, Fac Econ, Dept Econ Sci &amp; Business Management, Milan, Italy</t>
  </si>
  <si>
    <t>G d'Annunzio University of Chieti-Pescara; Catholic University of the Sacred Heart</t>
  </si>
  <si>
    <t>Di Vincenzo, F (corresponding author), Univ G dAnnunzio, Dept Econ Studies, Chieti, Italy.</t>
  </si>
  <si>
    <t>fausto.divincenzo@unich.it</t>
  </si>
  <si>
    <t>10.1111/caim.12476</t>
  </si>
  <si>
    <t>WOS:000731514700001</t>
  </si>
  <si>
    <t>Phuoc, NH; Hau, LN; Thuy, PN</t>
  </si>
  <si>
    <t>Nguyen Hong Phuoc; Le Nguyen Hau; Pham Ngoc Thuy</t>
  </si>
  <si>
    <t>The dual outcomes of frontliner's autonomous motivation and deep acting in service co-creation: a dyadic approach</t>
  </si>
  <si>
    <t>Service frontliner; Autonomous motivation; Deep acting; Service co-creation; Innovative behaviour; Automotive retail service</t>
  </si>
  <si>
    <t>EMPLOYEE INNOVATIVE BEHAVIOR; SELF-DETERMINATION THEORY; EMOTIONAL LABOR; CUSTOMER PARTICIPATION; DISPLAY RULES; MODEL; WORK; ORIENTATION; PERFORMANCE; ORGANIZATIONS</t>
  </si>
  <si>
    <t>Employee's autonomous motivation and emotional labor have received insufficient attention in the service co-creation literature. This study proposes a model linking frontliners' autonomous motivation, deep acting with customer co-creation and frontliners' innovation. The model was tested by the data collected from 202 dyads of salespersons and customers in the automotive retail service. Results show that frontliner's autonomous motivation has direct and indirect (through deep acting) impacts on customer co-creation and frontliner innovative behavior. Moreover, customer co-creation stimulates frontliner innovation. These findings contribute to the development of a testable and applicable theory of service co-creation and to consolidate the self-determination theory.</t>
  </si>
  <si>
    <t>[Nguyen Hong Phuoc] Univ Econ Ho Chi Minh City, Int Sch Business, Ho Chi Minh City, Vietnam; [Le Nguyen Hau; Pham Ngoc Thuy] Vietnam Natl Univ Ho Chi Minh City, Ho Chi Minh City Univ Technol, Sch Ind Management, 268 Ly Thuong Kiet St,Dist 10, Ho Chi Minh City, Vietnam</t>
  </si>
  <si>
    <t>Ho Chi Minh City University Economics; Ho Chi Minh City University of Technology (HCMCUT); Vietnam National University Hochiminh City</t>
  </si>
  <si>
    <t>Hau, LN (corresponding author), Vietnam Natl Univ Ho Chi Minh City, Ho Chi Minh City Univ Technol, Sch Ind Management, 268 Ly Thuong Kiet St,Dist 10, Ho Chi Minh City, Vietnam.</t>
  </si>
  <si>
    <t>lnhau@hcmut.edu.vn</t>
  </si>
  <si>
    <t>Phuoc, Nguyen Hong/AAC-4197-2022</t>
  </si>
  <si>
    <t>Phuoc, Nguyen Hong/0000-0001-8676-4498; Le, Nguyen-Hau/0000-0002-1377-473X</t>
  </si>
  <si>
    <t>10.1007/s11628-021-00473-6</t>
  </si>
  <si>
    <t>ZC9NP</t>
  </si>
  <si>
    <t>WOS:000721398400001</t>
  </si>
  <si>
    <t>Pan, BC; Song, ZM; Wang, YL</t>
  </si>
  <si>
    <t>Pan, Baocheng; Song, Zhanmei; Wang, Youli</t>
  </si>
  <si>
    <t>The Relationship Between Preschool Teachers' Proactive Personality and Innovative Behavior: The Chain-Mediated Role of Error Management Climate and Self-Efficacy</t>
  </si>
  <si>
    <t>preschool teachers; proactive personality; innovation behavior; error management climate; self-efficacy</t>
  </si>
  <si>
    <t>EMPLOYEE CREATIVITY; TRANSFORMATIONAL LEADERSHIP; INDIVIDUAL INNOVATION; JOB-SATISFACTION; WORK ENGAGEMENT; MODEL; PERFORMANCE; RESOURCES; IMPACT; PERCEPTIONS</t>
  </si>
  <si>
    <t>Objective: This study, aims to explore the relationship of error management climate and self-efficacy between preschool teachers' proactive personality and innovative behavior.Methods: Four hundred thirty-nine preschool teachers were tested by proactive personality scale, error management climate scale, general self-efficacy scale, and employee innovation behavior scale.Results: Preschool teachers' proactive personality can directly predict their innovative behaviors, has a significant indirect effect on innovative behaviors through error management climate, and has a significant indirect effect on innovative behaviors through self-efficacy. Error management climate and self-efficacy play a chain-mediated role in the relationship between preschool teachers' proactive personality and innovative behavior.Conclusion: Error management climate and self-efficacy play a chain-mediated role in the relationship between preschool teachers' proactive personality and innovative behavior.</t>
  </si>
  <si>
    <t>[Pan, Baocheng; Song, Zhanmei; Wang, Youli] Wenzhou Univ, Sch Educ, Wenzhou, Peoples R China</t>
  </si>
  <si>
    <t>Wenzhou University</t>
  </si>
  <si>
    <t>Pan, BC (corresponding author), Wenzhou Univ, Sch Educ, Wenzhou, Peoples R China.</t>
  </si>
  <si>
    <t>panbaochengedu@126.com</t>
  </si>
  <si>
    <t>NOV 4</t>
  </si>
  <si>
    <t>10.3389/fpsyg.2021.734484</t>
  </si>
  <si>
    <t>WZ9WD</t>
  </si>
  <si>
    <t>WOS:000720309000001</t>
  </si>
  <si>
    <t>Deprez, GRM; Battistelli, A; Vandenberghe, C</t>
  </si>
  <si>
    <t>Deprez, Guillaume R. M.; Battistelli, Adalgisa; Vandenberghe, Christian</t>
  </si>
  <si>
    <t>Linking proactive behavior and constructive deviance to affective commitment and turnover intention: the mediating role of idea championing</t>
  </si>
  <si>
    <t>Innovation; idea championing; proactive behavior; constructive deviance; affective commitment; turnover intention</t>
  </si>
  <si>
    <t>SOCIAL COGNITIVE THEORY; ORGANIZATIONAL COMMITMENT; INNOVATIVE BEHAVIOR; WORK BEHAVIOR; CREATIVITY; MODEL; TRUST; DETERMINANTS; ANTECEDENTS; PERCEPTIONS</t>
  </si>
  <si>
    <t>This paper explores how proactive behavior and constructive deviance relate to affective organizational commitment and turnover intention through idea championing. Based on a two-wave study (N = 310), structural equation model analyses revealed that constructive deviance had an inhibitory effect and proactive behavior a facilitatory effect on idea championing. In turn, idea championing was related to increased affective commitment and reduced turnover intention. The analyses of indirect effects further indicated that proactive behavior and constructive deviance had opposite indirect effects on affective commitment and turnover intention. This research underlines the importance of acting proactively upstream rather than deviating from the norm to promote innovation and build employee loyalty to the organization. Finally, this study also indicates that proactive and constructive deviant behaviors are conceptually different and exert opposite effects despite their similar orientation toward innovation and change.</t>
  </si>
  <si>
    <t>[Deprez, Guillaume R. M.; Battistelli, Adalgisa] Univ Bordeaux, Lab Psychol EA4139, 3Ter Pl Victoire, F-33000 Bordeaux, France; [Vandenberghe, Christian] HEC Montreal, Montreal, PQ, Canada</t>
  </si>
  <si>
    <t>UDICE-French Research Universities; Universite de Bordeaux; Universite de Montreal; HEC Montreal</t>
  </si>
  <si>
    <t>Deprez, GRM (corresponding author), Univ Bordeaux, Lab Psychol EA4139, 3Ter Pl Victoire, F-33000 Bordeaux, France.</t>
  </si>
  <si>
    <t>guillaume.deprez@u-bordeaux.fr</t>
  </si>
  <si>
    <t>Déprez, Guillaume R. M./AAO-3586-2020</t>
  </si>
  <si>
    <t>Déprez, Guillaume R. M./0000-0003-1554-6105; Battistelli, Adalgisa/0000-0002-4913-6609</t>
  </si>
  <si>
    <t>PII S1833367221000547</t>
  </si>
  <si>
    <t>10.1017/jmo.2021.54</t>
  </si>
  <si>
    <t>0D9YN</t>
  </si>
  <si>
    <t>WOS:000776343900001</t>
  </si>
  <si>
    <t>Wang, YX; Kim, Y; Lau, DC</t>
  </si>
  <si>
    <t>Wang, Yangxin; Kim, Youngsang; Lau, Dora C.</t>
  </si>
  <si>
    <t>Creative identity asymmetry: When and how it impacts psychological strain and creative performance</t>
  </si>
  <si>
    <t>Creative identity asymmetry; Creative performance; Psychological strain</t>
  </si>
  <si>
    <t>SELF-EFFICACY; PROACTIVE PERSONALITY; EMPLOYEE CREATIVITY; INNOVATIVE BEHAVIOR; WORK; STRESS; CONSEQUENCES; FIT; REQUIREMENTS; VERIFICATION</t>
  </si>
  <si>
    <t>Drawing on the identity asymmetry literature, transactional stress theory, and creativity literature, we investigate how a perceived discrepancy between an individual's creative role identity and others' views toward his/her creative role identity (i.e., creative identity asymmetry) influences individual's creative performance via psychological strain. We also examine how perceived creativity requirement and self-monitoring alter the relationships between creative identity asymmetry, psychological strain, and creative performance. Based on two studies (an experimental study and a field study), we found that creative identity asymmetry was positively related to psychological strain and negatively and indirectly related to creative performance. We also found that the effects of negative asymmetry were stronger than positive asymmetry, while perceived creativity requirement and self-monitoring significantly strengthened most of these relationships. Hence, this study contributes to the literature on creativity, identity asymmetry, and stress.</t>
  </si>
  <si>
    <t>[Wang, Yangxin; Lau, Dora C.] Chinese Univ Hong Kong, CUHK Business Sch, Dept Management, Shatin, Cheng Yu Tung Bldg,12 Chak Cheung St, Hong Kong, Peoples R China; [Kim, Youngsang] Sungkyunkwan SKK Univ, SKK Business Sch, Dept Management, 33414,25-2 Sungkyunkwan Ro, Seoul 03063, South Korea</t>
  </si>
  <si>
    <t>Chinese University of Hong Kong</t>
  </si>
  <si>
    <t>Kim, Y (corresponding author), Sungkyunkwan SKK Univ, SKK Business Sch, Dept Management, 33414,25-2 Sungkyunkwan Ro, Seoul 03063, South Korea.</t>
  </si>
  <si>
    <t>wang.yangxin@link.cuhk.edu.hk; ykim03@skku.edu; dora@cuhk.edu.hk</t>
  </si>
  <si>
    <t>10.1007/s10490-021-09793-7</t>
  </si>
  <si>
    <t>E3KY5</t>
  </si>
  <si>
    <t>WOS:000712926100001</t>
  </si>
  <si>
    <t>Biondi, LM; Fuentes, G; Susana, M</t>
  </si>
  <si>
    <t>Marina Biondi, Laura; Fuentes, Giselle; Susana, Maria</t>
  </si>
  <si>
    <t>Behavioural factors underlying innovative problem-solving differences in an avian predator from two contrasting habitats</t>
  </si>
  <si>
    <t>Innovation; Urbanization; Caracaras; Personality; Learning</t>
  </si>
  <si>
    <t>CHIMANGO CARACARA; BIRDS; COGNITION; SUCCESS; WILD; EXPLORATION; PERSISTENCE; RAPTORS; ABILITY; LIFE</t>
  </si>
  <si>
    <t>Innovative behavior is considered one of the main factors facilitating the adaptation of animals to urban life. However, the relationship between urbanization and innovativeness is equivocal, perhaps reflecting aspects of urban environments that influence differently the behavioural traits underlying the occurrence of an innovation. In this work, we analysed the variation in innovative problem-solving performance between urban and rural individuals of the Caracara Chimango (Milvago chimango), with the goal of determining which behavioural trait (or combination) most explained such variation. We found that urban raptors outperformed rural ones in their solving speed and solving level (number of solutions) with a multiaccess box. They also showed more persistence, motor flexibility and diversity, as well as higher effectiveness in their solving attempts than rural chimangos. Sex was not an important factor. Urban chimangos showed less neophobia and spent more time exploring the box than rural birds during the initial habituation period, which probably determined the amount of information about the system that each individual had at the beginning of first problem solving trial. This difference in novelty response both directly and indirectly, through its relationship with persistence, motor flexibility and proportion of effective attempts, explained variability in solving performance. All individuals showed a decrease in solving latency, and an increase in solving level with experience, indicating that learning occurred in both raptor groups. This improvement occurred in parallel with changes in the afore-mentioned traits, though the pattern of improvement differed between urban and rural chimangos. We suggest that the characteristics of urban areas modulate the novelty response of chimangos, along with other correlated non-cognitive behavioural traits, which act in combination to increase the chances that novel problems could be quickly solved, and the resulting new behaviours established in city populations of this species.</t>
  </si>
  <si>
    <t>[Marina Biondi, Laura; Susana, Maria] UNMdP, Inst Invest Marinas &amp; Costeras IIMyC, CONICET, Rodriguez Pena 4046 Nivel 1,B7602GSD, Mar Del Plata, Argentina; [Fuentes, Giselle] UNMDP, FCEyN, Grp Invest Microbiol Aplicada GIMA,Dept Biol, Ctr Invest Abejas Sociales CIAS,Inst Prod Sanidad, Mar Del Plata, Argentina</t>
  </si>
  <si>
    <t>Consejo Nacional de Investigaciones Cientificas y Tecnicas (CONICET); National University of Mar del Plata; National University of Mar del Plata</t>
  </si>
  <si>
    <t>Biondi, LM (corresponding author), UNMdP, Inst Invest Marinas &amp; Costeras IIMyC, CONICET, Rodriguez Pena 4046 Nivel 1,B7602GSD, Mar Del Plata, Argentina.</t>
  </si>
  <si>
    <t>lmbiondi@mdp.edu.ar</t>
  </si>
  <si>
    <t>Biondi, Laura/AAI-7625-2020; Biondi, Laura M/A-5811-2008</t>
  </si>
  <si>
    <t xml:space="preserve">Biondi, Laura/0000-0002-7501-0268; </t>
  </si>
  <si>
    <t>Universidad Nacional de Mar del Plata [EXA 842/17, 15/E795]</t>
  </si>
  <si>
    <t>Universidad Nacional de Mar del Plata(National University of La Plata)</t>
  </si>
  <si>
    <t>We thank Analia Medina and Rodrigo Santiago Cordoba for their assistance during the capturing and managing of raptors. We appreciate the improvements in English usage made by Sanjay Prasher through the Association of Field Ornithologists' program of editorial assistance. This work was conducted with funds provided by the Universidad Nacional de Mar del Plata (EXA 842/17, 15/E795).</t>
  </si>
  <si>
    <t>10.1007/s10071-021-01569-2</t>
  </si>
  <si>
    <t>1G8DM</t>
  </si>
  <si>
    <t>WOS:000712168800001</t>
  </si>
  <si>
    <t>Kruft, T; Kock, A</t>
  </si>
  <si>
    <t>Kruft, Tobias; Kock, Alexander</t>
  </si>
  <si>
    <t>Unlocking novel opportunities: How online ideation platforms implicitly guide employees toward better ideas by spurring their desire to innovate</t>
  </si>
  <si>
    <t>desires; innovative behaviour; motivation; online ideation platforms</t>
  </si>
  <si>
    <t>LEADER-MEMBER EXCHANGE; INDIVIDUAL INNOVATION; INTRINSIC MOTIVATION; PROACTIVE BEHAVIOR; JOB-PERFORMANCE; SELF-EFFICACY; WORK; CONTESTS; CREATIVITY; KNOWLEDGE</t>
  </si>
  <si>
    <t>Employees' innovative behaviour becomes increasingly important for organizational success. Companies try to improve their innovation capabilities by supporting and motivating employees to show innovative behaviour. Particularly online ideation platforms become relevant because they create new opportunities for employees to be innovative. This paper investigates how exposure to online ideation platforms' unique capabilities stimulates intrinsic motivation toward innovative behaviour and ultimately the submission of high-quality ideas. Based on expectancy and channel expansion theories, we derive a framework with four intrinsic motivational forces that online ideation platforms can stimulate. A two-study approach empirically tests this framework. The first study uses a multilevel regression on a dataset of 1630 employees nested in 136 departments of a leading international science and technology company. The second study analyses how 279 employees of the same company, who submitted 678 ideas on the company's online ideation platform, continue to be motivated by the platform's inherent characteristics and capabilities and submit high-quality ideas. The results support the core argument that online ideation platforms stimulate certain desires motivating employees to engage in innovative behaviour and ultimately submit high-quality ideas. The detailed results offer several contributions to innovation management literature and beyond.</t>
  </si>
  <si>
    <t>[Kruft, Tobias; Kock, Alexander] Tech Univ Darmstadt, Technol &amp; Innovat Management, Hochschulstr 1, D-64289 Darmstadt, Germany</t>
  </si>
  <si>
    <t>Kruft, T (corresponding author), Tech Univ Darmstadt, Technol &amp; Innovat Management, Hochschulstr 1, D-64289 Darmstadt, Germany.</t>
  </si>
  <si>
    <t>10.1111/caim.12463</t>
  </si>
  <si>
    <t>WOS:000709055000001</t>
  </si>
  <si>
    <t>Chen, HL</t>
  </si>
  <si>
    <t>Chen, Hong-Long</t>
  </si>
  <si>
    <t>Impact of Communication on Capital Project Performance: A Mediated Moderation Model</t>
  </si>
  <si>
    <t>project communication; project performance; technical competence; managerial competence; innovative behavior; longitudinal research</t>
  </si>
  <si>
    <t>INNOVATIVE WORK BEHAVIOR; FAIRNESS PERCEPTIONS; BUYER-SUPPLIER; TEAM; CAPACITY; TRUST; IMPLEMENTATION; DETERMINANTS; SATISFACTION; PREDICTION</t>
  </si>
  <si>
    <t>Many studies demonstrate the importance of communication in project performance. However, little is known about how project communication exerts its effects on the outcomes of capital projects that have a large impact on environmental and economic sustainability. Using a longitudinal survey and bootstrap-based structural-equation modeling, this study uncovers how project competencies and team innovative behavior affect the relationship between project communication and capital project performance. This study collects repeated measures from project managers at two time points: immediately after the initiation and planning stages end and immediately after project completion. Excluding responses with missing data, this study's sample includes 108 capital projects. This study finds that project technical and managerial competencies completely mediate the relationship between project communication and project performance. This study also finds that team innovative behavior affects project performance through the mediating effect of project technical competence. Team innovative behavior also moderates the relationship between project technical competence and project performance. Project communication has the largest effect on project performance despite having the smallest direct effect; project managerial competence possesses the next-largest effect on project performance despite having the largest direct effect. This study discusses the managerial and research implications.&lt;/p&gt;</t>
  </si>
  <si>
    <t>[Chen, Hong-Long] Natl Univ Tainan, Coll Management, Dept Business &amp; Management, Tainan 700, Taiwan</t>
  </si>
  <si>
    <t>National University Tainan</t>
  </si>
  <si>
    <t>Chen, HL (corresponding author), Natl Univ Tainan, Coll Management, Dept Business &amp; Management, Tainan 700, Taiwan.</t>
  </si>
  <si>
    <t>along314@mail.nutn.edu.tw</t>
  </si>
  <si>
    <t>Ministry of Science and Technology (MOST Taiwan) [MOST 105-2410-H-024-005-MY2]; MOST [109-2410-H-024-013-MY2]</t>
  </si>
  <si>
    <t>Ministry of Science and Technology (MOST Taiwan)(Ministry of Science and Technology, Taiwan); MOST</t>
  </si>
  <si>
    <t>FundingThe research is supported by the Ministry of Science and Technology (MOST Taiwan) under Grant No. MOST 105-2410-H-024-005-MY2. The APC was funded by MOST 109-2410-H-024-013-MY2.</t>
  </si>
  <si>
    <t>10.3390/su132011301</t>
  </si>
  <si>
    <t>WT7GV</t>
  </si>
  <si>
    <t>WOS:000716031000001</t>
  </si>
  <si>
    <t>Jalil, MF; Ullah, W; Ahmed, Z</t>
  </si>
  <si>
    <t>Jalil, Muhammad Farhan; Ullah, Wasim; Ahmed, Zeeshan</t>
  </si>
  <si>
    <t>Training Perception and Innovative Behavior of SME Employees: Examining the Mediating Effects of Firm Commitment</t>
  </si>
  <si>
    <t>training; social support; managerial support; affective commitment; calculative commitment; innovative behavior</t>
  </si>
  <si>
    <t>ORGANIZATIONAL COMMITMENT; WORK BEHAVIOR; JOB-SATISFACTION; PERFORMANCE; IMPLEMENTATION; TURNOVER; SUPPORT; TRAITS; IMPACT; TRUST</t>
  </si>
  <si>
    <t>Many critical decisions about an employee's innovative performance are significantly based on the training results, as they are accountable for a variety of behavioral-related consequences. Training is among the most important human resource management strategies. The aim of this study is to examine the relationship between employees' perceptions of training and their innovative behavior in the Malaysian SME sector, as well as the mediating effect of affective and calculative commitment on this relationship. Structured questionnaires were used to collect the data. A total of 635 employees from 200 SMEs were selected through a stratified random sampling method, and structural equation modeling was applied to test the relationship. The findings of the study supported the hypothesized relationships, as training in Malaysia significantly engaged SME employees in innovative behavior. Furthermore, the study discovered that affective and calculative commitment have partial mediating effects on the association between training and innovative behavior. In the context of the SME sector, theoretical and managerial implications have been addressed. The originality of the study is that it examines the relationship between employees' perceptions of training and their innovative behavior in SMEs. The relationship was measured using a multidimensional approach in the study. The research also adds to the body of knowledge by identifying the mediating effect of affective and calculative commitment.</t>
  </si>
  <si>
    <t>[Jalil, Muhammad Farhan] Univ Technol Sarawak, Sarawak, Malaysia; [Ullah, Wasim] Natl Bank Pakistan, Gujrat, Punjab, Pakistan; [Ahmed, Zeeshan] Univ Lahore, Gujrat Campus, Gujrat, Punjab, Pakistan</t>
  </si>
  <si>
    <t>Jalil, MF (corresponding author), Univ Technol Sarawak, Sch Business &amp; Management, 1 Jalan Univ, Sarawak 96000, Malaysia.</t>
  </si>
  <si>
    <t>muhammad.farhan@uts.edu.my</t>
  </si>
  <si>
    <t>Ali, Azlan/HHN-6060-2022</t>
  </si>
  <si>
    <t>Ali, Azlan/0000-0002-0875-5649</t>
  </si>
  <si>
    <t>10.1177/21582440211067250</t>
  </si>
  <si>
    <t>XX2OH</t>
  </si>
  <si>
    <t>WOS:000736141400001</t>
  </si>
  <si>
    <t>Ng, TWH; Yim, FHK; Zou, YN; Chen, HY</t>
  </si>
  <si>
    <t>Ng, Thomas W. H.; Yim, Frederick H. K.; Zou, Yinuo; Chen, Haoyang</t>
  </si>
  <si>
    <t>Receiving developmental idiosyncratic deals over time: Showing innovative behavior is key</t>
  </si>
  <si>
    <t>Idiosyncratic deals; Innovative behavior; Emotions; Attitudes; Status</t>
  </si>
  <si>
    <t>LEADER-MEMBER EXCHANGE; I-DEALS; ORGANIZATIONAL CYNICISM; FAIRNESS PERCEPTIONS; WORK ENGAGEMENT; MEDIATING ROLE; TRANSACTIONAL LEADERSHIP; MEASUREMENT INVARIANCE; PROACTIVE BEHAVIOR; EMPLOYEE OUTCOMES</t>
  </si>
  <si>
    <t>This study extends emerging research on time-variant idiosyncratic deals (i-deals) by identifying the factors that promote an increase in the receipt of developmental i-deals. Based on the moral virtue theory of status attainment, we contend that receiving more developmental i-deals carries important status confirmation signals and that employees need to engage in more virtuous ac-tions, such as innovative behavior, to secure developmental i-deals (and therefore status confir-mation). Status inhibitors, such as supervisor undermining, can stifle this status confirmation process. It is important to examine the increase in time-variant developmental i-deals because they can encourage employees to adopt more functional emotion-driven workplace attitudes, such as vigor and gratitude, and discourage them from adopting dysfunctional emotion-driven workplace attitudes, such as cynicism. Using data collected from 235 employees in Hong Kong across four waves of surveys over one year, the results of this study generally support our pre-diction that increased innovative behavior is related to an increase in developmental i-deals, which in turn is related to increased vigor and gratitude and decreased cynicism. In addition, increased supervisor undermining weakens this mechanism. This study contributes to the i-deal literature by enacting a status confirmation perspective on time-variant developmental i-deals.</t>
  </si>
  <si>
    <t>[Ng, Thomas W. H.; Zou, Yinuo; Chen, Haoyang] Univ Hong Kong, Fac Business &amp; Econ, Pok Fu Lam, Hong Kong, Peoples R China; [Yim, Frederick H. K.] Hong Kong Baptist Univ, Dept Mkt, IMGWLB 511A,34 Renfrew Rd, Hong Kong, Peoples R China</t>
  </si>
  <si>
    <t>University of Hong Kong; Hong Kong Baptist University</t>
  </si>
  <si>
    <t>tng@business.hku.hk; fredyim@hkbu.edu.hk; zouyn@connect.hku.hk; volun@connect.hku.hk</t>
  </si>
  <si>
    <t>10.1016/j.jvb.2021.103630</t>
  </si>
  <si>
    <t>WB9KY</t>
  </si>
  <si>
    <t>WOS:000703885400001</t>
  </si>
  <si>
    <t>Tong, X; Han, XM</t>
  </si>
  <si>
    <t>Tong, Xing; Han, Xiaomeng</t>
  </si>
  <si>
    <t>Knowledge network capability and organizational innovation: Network position transition and ambidextrous innovative behaviors as mediators</t>
  </si>
  <si>
    <t>knowledge network capability; network position transition; ambidextrous innovation behavior; knowledge base; organizational innovation</t>
  </si>
  <si>
    <t>PERFORMANCE; ROLES; EXPLORATION; PERSPECTIVE; INTEGRATION</t>
  </si>
  <si>
    <t>In this study we examined the influence of knowledge network capability on organizational innovation. Drawing on organizational network theory and taking a knowledge-based view, we proposed ambidextrous innovation behavior and network position transition as mediators to clarify the underlying mechanisms of the effect of knowledge network capability on organizational innovation. Furthermore, we proposed knowledge base as a boundary variable to understand its interplay with knowledge network capability in regard to organizational innovation. Participants were 265 senior managers of recently established high-tech enterprises in China. Consistentwith our predictions, the results show there was a positive relationship between knowledge network capability and ambidextrous innovation behavior, and network position transition mediated this relationship. In addition, the results suggest that knowledge base can strengthen the direct effect of knowledge network capability on organizational innovation. Our findings enrich the literature on knowledge networks and innovation, and provide important implications for enterprises to innovate by employing knowledge network capability.</t>
  </si>
  <si>
    <t>[Tong, Xing] Tongji Univ, Sch Econ &amp; Management, Shanghai, Peoples R China; [Han, Xiaomeng] Shandong Adm Inst, Shandong Prov Party Sch, Communist Party, 3888 Tourism Rd, Jinan 250103, Shandong, Peoples R China</t>
  </si>
  <si>
    <t>Han, XM (corresponding author), Shandong Adm Inst, Shandong Prov Party Sch, Communist Party, 3888 Tourism Rd, Jinan 250103, Shandong, Peoples R China.</t>
  </si>
  <si>
    <t>hanxiaomeng@shandong.cn</t>
  </si>
  <si>
    <t>e10246</t>
  </si>
  <si>
    <t>10.2224/sbp.10246</t>
  </si>
  <si>
    <t>UM9KY</t>
  </si>
  <si>
    <t>WOS:000693644200003</t>
  </si>
  <si>
    <t>Team reflexivity, individual intellectual capital and employee innovative behavior: a multilevel moderated mediation</t>
  </si>
  <si>
    <t>JOURNAL OF INTELLECTUAL CAPITAL</t>
  </si>
  <si>
    <t>Team reflexivity; Individual intellectual capital; Empowering leadership; Employee innovative behavior</t>
  </si>
  <si>
    <t>EMPOWERING LEADERSHIP; LEARNING STYLES; CREATIVITY; MANAGEMENT; MODEL; PERFORMANCE; REFLECTION; EXCHANGE</t>
  </si>
  <si>
    <t>Purpose Based on experiential learning theory (ELT), this study explores the cross-level effect of team reflexivity on employee innovative behavior. The authors especially focus on the mediating effect of individual intellectual capital (IIC) and the moderating effect of empowering leadership on the relationship between the two constructs. Design/methodology/approach This study collects data from 76 work units, which include 362 employees and their direct supervisors. A cross-level moderated mediation model was tested by using multilevel path analysis. Findings The results show that team reflexivity significantly contributes to employee innovative behavior. IIC mediates the above relationship. Empowering leadership not only positively moderates the relationship between team reflexivity and IIC but also reinforces the linkage of team reflexivity -&gt; IIC -&gt; employee innovative behavior. Practical implications The study suggests that organizations should invest more in promoting team reflexivity and empowering leadership in the workplace. Furthermore, managers should make members aware of the importance of IIC for employee innovative behavior. They need to make efforts to enhance IIC via internal communication channels or open discussions, which facilitate IIC and employee innovative behavior. Originality/value This research tests the relationship between team reflexivity and employee innovative behavior and identifies IIC as a key mediator that links team reflexivity to employee innovative behavior. It also highlights the moderating role of empowering leadership in the process.</t>
  </si>
  <si>
    <t>[Wang, Zhining; Cui, Tao] China Univ Min &amp; Technol, Sch Econ &amp; Management, Xuzhou, Jiangsu, Peoples R China; [Cai, Shaohan] Carleton Univ, Sprott Sch Business, Ottawa, ON, Canada; [Ren, Shuang] Deakin Univ, Deakin Business Sch, Melbourne, Vic, Australia</t>
  </si>
  <si>
    <t>wzncumt@126.com; 1823128174@qq.com; AlanCai@Cunet.Carleton.Ca; shuang.ren@deakin.edu.au</t>
  </si>
  <si>
    <t>1469-1930</t>
  </si>
  <si>
    <t>1758-7468</t>
  </si>
  <si>
    <t>J INTELLECT CAP</t>
  </si>
  <si>
    <t>J. Intellect. Cap.</t>
  </si>
  <si>
    <t>10.1108/JIC-11-2020-0362</t>
  </si>
  <si>
    <t>4S0DZ</t>
  </si>
  <si>
    <t>WOS:000686240100001</t>
  </si>
  <si>
    <t>Castro, L; Santos-Corrada, M; Flecha-Ortiz, JA; Lopez, E; Gomez, J; Aponte, B</t>
  </si>
  <si>
    <t>Castro, Luis; Santos-Corrada, Maria; Flecha-Ortiz, Jose A.; Lopez, Evelyn; Gomez, Jose; Aponte, Brunilda</t>
  </si>
  <si>
    <t>Knowledge management and innovative behavior: police reform efforts in Puerto Rico</t>
  </si>
  <si>
    <t>Motivation; Innovative behavior; Knowledge transfer; Knowledge absorption; Tacit and explicit knowledge</t>
  </si>
  <si>
    <t>PUBLIC-SERVICE MOTIVATION; ABSORPTIVE-CAPACITY; LEADERSHIP; EMPLOYEES; SECTOR; ORGANIZATIONS; DETERMINANTS; EMPOWERMENT; INTENTIONS; ROLES</t>
  </si>
  <si>
    <t>Purpose Knowledge management has historically been approached in private firms as a key factor for business management. However, this is not the case for government institutions. The existing literature on the transfer of knowledge appears as a topic little addressed in government and even to a lesser degree within the police forces. This study aims to evaluate the relationship between motivation, knowledge absorption, knowledge transfer and innovative behavior in a public organization such as the Puerto Rico Police. Design/methodology/approach This quantitative research using the survey technique had the participation of 300 police officers from the 13 police regions of Puerto Rico and the research model was analyzed through partial least squares structural equation modeling. Findings The results contribute to the growth of the currently limited literature at identifies how motivation, knowledge absorption, knowledge transfer and institutional support influence innovative behavior. Originality/value The study discusses a series of implications on less explore the issue in how the transfer of knowledge becomes a key force to produce change and the success of all reforms. Various implications for the success of public administration in bringing a change from a bureaucratic culture to an advanced one are also discussed.</t>
  </si>
  <si>
    <t>[Castro, Luis] Univ Ana G Mendez Recinto Gurabo, Gurabo, PR USA; [Santos-Corrada, Maria; Flecha-Ortiz, Jose A.; Lopez, Evelyn; Aponte, Brunilda] Univ Ana G Mendez Recinto Gurabo, Business Tourism &amp; Entrepreneurship Div, Gurabo, PR USA; [Gomez, Jose] Univ Ana G Mendez Recinto Gurabo, Liberal Arts Div, Gurabo, PR USA</t>
  </si>
  <si>
    <t>Universidad Ana G. Mendez; Universidad Ana G. Mendez; Universidad Ana G. Mendez</t>
  </si>
  <si>
    <t>Flecha-Ortiz, JA (corresponding author), Univ Ana G Mendez Recinto Gurabo, Business Tourism &amp; Entrepreneurship Div, Gurabo, PR USA.</t>
  </si>
  <si>
    <t>castrol1@uagm.edu; msantos@uagm.edu; flechaj1@uagm.edu; elopez231@uagm.edu; profjrgb@uagm.edu; baponte@uagm.edu</t>
  </si>
  <si>
    <t>Flecha, Jose/AAN-9260-2020</t>
  </si>
  <si>
    <t>Flecha, Jose/0000-0001-9626-5967</t>
  </si>
  <si>
    <t>APR 28</t>
  </si>
  <si>
    <t>10.1108/JKM-02-2021-0133</t>
  </si>
  <si>
    <t>0T9LP</t>
  </si>
  <si>
    <t>WOS:000686229000001</t>
  </si>
  <si>
    <t>Santos, G; Marques, CS; Ferreira, J</t>
  </si>
  <si>
    <t>Santos, Gina; Marques, Carla Susana; Ferreira, Joao</t>
  </si>
  <si>
    <t>The Influence of Embeddedness on Entrepreneurship, Innovation and Strategy: A Gender Perspective in the Agri-Food Sector</t>
  </si>
  <si>
    <t>embeddedness; environment; individual entrepreneurial orientation; entrepreneurial intention; innovative behaviour; female entrepreneurship; agri-food sector</t>
  </si>
  <si>
    <t>SMALL-BUSINESS SUCCESS; WORK-FAMILY INTERFACE; SELF-EFFICACY; FEMALE ENTREPRENEURSHIP; ORIENTATION CONSTRUCT; MANAGEMENT RESEARCH; MEDIATING ROLE; RURAL WOMEN; INTENTIONS; PERFORMANCE</t>
  </si>
  <si>
    <t>This study aims to identify the antecedents of entrepreneurial activity in the agri-food sector of the Portuguese region of Tras-os-Montes and Alto Douro (TMAD), taking into account a gender perspective. Thus, we intend to assess whether the environment influences embeddedness, and whether embeddedness, individual entrepreneurial orientation, innovative behaviour and gender impact or influence the perceptions of feasibility and desirability as antecedents of entrepreneurial activity of entrepreneurs in the agri-food sector of the TMAD region. The measurement instrument was applied to 249 firms in the agri-food sector, created in the last 5 years. A model was conceptualised where the relationships between the constructs relating to embeddedness, IEO and EI were presented, and three control variables were subsequently added: the innovative behaviour, the environment and gender. Univariate and multivariate statistical techniques, such as structural equation modelling, were used to assess the proposed conceptual model. Thus, considering the complexity of the model under study, we performed an analysis which considered personal factors or characteristics, such as innovative behaviour, gender and IEO, as these are characteristics of the individual and may be influenced or shaped by external factors such as the context, i.e., the environment and embeddedness.</t>
  </si>
  <si>
    <t>[Santos, Gina; Ferreira, Joao] Univ Trasos Montes Alto Douro, CETRAD Res Ctr, Dept Econ Sociol &amp; Management, P-5000801 Vila Real, Portugal; [Marques, Carla Susana] Univ Beira Interior, NECE Res Ctr, Dept Management &amp; Econ, P-6201001 Covilha, Portugal</t>
  </si>
  <si>
    <t>University of Tras-os-Montes &amp; Alto Douro; Universidade da Beira Interior</t>
  </si>
  <si>
    <t>Santos, G (corresponding author), Univ Trasos Montes Alto Douro, CETRAD Res Ctr, Dept Econ Sociol &amp; Management, P-5000801 Vila Real, Portugal.</t>
  </si>
  <si>
    <t>gina.santos@utad.pt; smarques@utad.pt; jjmf@ubi.pt</t>
  </si>
  <si>
    <t>Ferreira, Joao/HNP-5121-2023; Marques, Carla Susana/U-2410-2018; Ferreira, João J.M./K-7669-2012; Marques, Ana/GRR-9117-2022; Santos, Gina/E-6314-2019; Santos, Gina/L-4304-2019</t>
  </si>
  <si>
    <t>Marques, Carla Susana/0000-0003-1557-1319; Ferreira, João J.M./0000-0002-5928-2474; Santos, Gina/0000-0003-3467-6204</t>
  </si>
  <si>
    <t>Department of Management and Economics, University of Beira Interior; FCT-Portuguese Foundation for Science and Technology [UIDB/04011/2020]</t>
  </si>
  <si>
    <t>Department of Management and Economics, University of Beira Interior; FCT-Portuguese Foundation for Science and Technology(Fundacao para a Ciencia e a Tecnologia (FCT))</t>
  </si>
  <si>
    <t>A part of this research was funded by the Department of Management and Economics, University of Beira Interior, and another part of this research was funded by national funds, through the FCT-Portuguese Foundation for Science and Technology under the project UIDB/04011/2020.</t>
  </si>
  <si>
    <t>10.3390/su13169384</t>
  </si>
  <si>
    <t>UH7DM</t>
  </si>
  <si>
    <t>WOS:000690086600001</t>
  </si>
  <si>
    <t>Rafique, MA; Hou, YM; Chudhery, MAZ; Gull, N; Ahmed, SJ</t>
  </si>
  <si>
    <t>Rafique, Muhammad Asim; Hou, Yumei; Chudhery, Muhammad Adnan Zahid; Gull, Nida; Ahmed, Syed Jameel</t>
  </si>
  <si>
    <t>The dimensional linkage between public service motivation and innovative behavior in public sector institutions; the mediating role of psychological empowerment</t>
  </si>
  <si>
    <t>Innovative behavior; Psychological empowerment; Attraction to policymaking; Commitment to public interest; Compassion; Self-sacrifice</t>
  </si>
  <si>
    <t>PARTIAL LEAST-SQUARES; PERSON-ORGANIZATION FIT; POLICY INNOVATION; LEADERSHIP; JOB; PERFORMANCE; COMMITMENT; MANAGEMENT; MODEL; MATTER</t>
  </si>
  <si>
    <t>Purpose Innovations are imperative for organizational growth and sustainability. This study focuses on the employees' innovative behavior, a source of organizational innovations, which has received substantial attention from the researchers. Based on the psychological empowerment theory, the study exposes the effect of the various dimensions of public service motivation (PSM) on employees' innovative behavior (IB) in public sector institutions especially in the context of developing countries such as Pakistan. Moreover, the study also investigates the mediating role of psychological empowerment (PSE) between the dimensions of PSM and IB. Design/methodology/approach This study used the cross-sectional research design. By using random sampling, the adapted survey questionnaires were used to collect data from 346 faculty members of public sector universities located in provincial capitals of Pakistan. A partial least square-structural equation modeling (PLS-SEM) tool was used to assess the proposed hypotheses through SMART-PLS software. Findings Results revealed that attraction to policymaking (APM), compassion (COM), self-sacrifice (SS) have a significant impact on employees' PSE and their innovative behavior, while the relationship of commitment to the public interest (CPI) with PSE and IB was found insignificant. Moreover, PSE partially mediated the relationship between PSM dimensions and employees' IB. Originality/value There was a scarcity of research on IB especially in public sector institutions such as academia. This study theoretically contributed to the literature by providing a refined picture in assessing the proposed relationship of the constructs. This is also one of the original studies that examine the relationship between the dimensions of PSM and IB.</t>
  </si>
  <si>
    <t>[Rafique, Muhammad Asim; Hou, Yumei; Gull, Nida; Ahmed, Syed Jameel] Yanshan Univ, Sch Econ &amp; Management, Qinhuangdao, Hebei, Peoples R China; [Chudhery, Muhammad Adnan Zahid] Tongji Univ, Sch Econ &amp; Management, Shanghai, Peoples R China</t>
  </si>
  <si>
    <t>Yanshan University; Tongji University</t>
  </si>
  <si>
    <t>Hou, YM (corresponding author), Yanshan Univ, Sch Econ &amp; Management, Qinhuangdao, Hebei, Peoples R China.</t>
  </si>
  <si>
    <t>asimchoudhary786@gmail.com; hym@ysu.edu.cn; adnanzahidpk@yahoo.com; nidagull3333@gmail.com; Jameelahmed.ysu@outlook.com</t>
  </si>
  <si>
    <t>Chudhery, Muhammad Adnan Zahid/AAA-7460-2022; Ahmed, Syed Jameel/ABF-3879-2021; Rafique, Muhammad Asim/ABG-5149-2020</t>
  </si>
  <si>
    <t>Chudhery, Muhammad Adnan Zahid/0000-0003-4705-7146; Ahmed, Syed Jameel/0000-0001-8574-4903; Rafique, Muhammad Asim/0000-0002-9796-0539</t>
  </si>
  <si>
    <t>Natural Science Foundation of Hebei Province [G2019203387]</t>
  </si>
  <si>
    <t>Natural Science Foundation of Hebei Province(Natural Science Foundation of Hebei Province)</t>
  </si>
  <si>
    <t>Funding from Prof. Hou Yumei has been provided by the Natural Science Foundation of Hebei Province (G2019203387). The content is solely the responsibility of the authors and does not necessarily represent the official views.</t>
  </si>
  <si>
    <t>10.1108/EJIM-02-2021-0098</t>
  </si>
  <si>
    <t>7I7DZ</t>
  </si>
  <si>
    <t>WOS:000677559000001</t>
  </si>
  <si>
    <t>A contingency perspective on employees' voice behavior in response to career plateau beliefs</t>
  </si>
  <si>
    <t>Career plateau beliefs; conservation of resources theory; organizational politics; organizational underperformance; voice behavior; work overload; work-family conflict</t>
  </si>
  <si>
    <t>WORK-FAMILY CONFLICT; ORGANIZATIONAL CITIZENSHIP BEHAVIOR; PSYCHOLOGICAL CONTRACT BREACH; TRANSFORMATIONAL LEADERSHIP; PROACTIVE PERSONALITY; INNOVATIVE BEHAVIOR; PERCEIVED POLITICS; ETHICAL LEADERSHIP; PROHIBITIVE VOICE; MODERATING ROLE</t>
  </si>
  <si>
    <t>With a conceptual basis in conservation of resources theory, this paper investigates the relationship between employees' career plateau beliefs and their voice behavior, using parallel arguments that reflect resource-conservation versus resource-acquisition logics. The career plateau beliefs-voice behavior link, whether negative or positive, might be invigorated when employees encounter adversity in the workplace, such as due to work pressures (work overload and work-family conflict) or because of how their organization makes decisions (organizational politics and organizational underperformance). Survey data from employees in the Canadian information technology sector provide empirical support for the resource-acquisition logic: career plateau beliefs enhance employees' propensity to offer ideas for organizational improvement, particularly if they suffer from excessive workloads or conflicting work-family demands, perceive organizational decision making as political, and are unhappy about their organization's performance. These novel insights point to the critical role of a stagnated career in triggering, instead of dampening, proactive voice behaviors.</t>
  </si>
  <si>
    <t>[De Clercq, Dirk] Brock Univ, Goodman Sch Business, St Catharines, ON L2S 3A1, Canada</t>
  </si>
  <si>
    <t>The author acknowledges financial support for this research by the Social Sciences and Humanities Research Council (SSHRC) of Canada (File: 435-2016-0127).</t>
  </si>
  <si>
    <t>PII S1833367221000341</t>
  </si>
  <si>
    <t>10.1017/jmo.2021.34</t>
  </si>
  <si>
    <t>0B5AH</t>
  </si>
  <si>
    <t>WOS:000774647000001</t>
  </si>
  <si>
    <t>Wang, ZI; Cui, T; Cai, SH</t>
  </si>
  <si>
    <t>Wang, Zhining; Cui, Tao; Cai, Shaohan</t>
  </si>
  <si>
    <t>How and when team reflexivity influences employee innovative behavior</t>
  </si>
  <si>
    <t>Team reflexivity; Affective commitment; Normative commitment; Benevolent leadership; Employee innovative behavior</t>
  </si>
  <si>
    <t>PATERNALISTIC LEADERSHIP; TRANSFORMATIONAL LEADERSHIP; AFFECTIVE EVENTS; POSITIVE MOOD; COMMITMENT; PERFORMANCE; IMPACT; MODEL; ORGANIZATIONS; CREATIVITY</t>
  </si>
  <si>
    <t>Purpose Based on affective events theory, this study explores the cross-level effect of team reflexivity on employee innovative behaviors. Specifically, the authors examine the mediating effects of affective and normative commitment on this relationship, as well as the moderating effects of benevolent leadership. Design/methodology/approach The authors surveyed 341 employees and their direct supervisors in 74 work units and utilized multilevel path analysis to test a model of cross-level moderated mediation. Findings The study analysis results suggest that team reflexivity significantly contributes to employee innovative behavior. Both affective commitment and normative commitment mediate this relationship. Benevolent leadership not only enhances the relationship between team reflexivity and affective/normative commitment, but also reinforces the linkage of team reflexivity -&gt; affective commitment -&gt; employee innovative behavior. Practical implications The current study suggests that organizations should invest more in promoting team reflexivity and benevolent leadership in workplace. Furthermore, managers need to develop appropriate employees training programs and pay more attention to employees' work and personal lives. They need to make efforts to enhance employees' affective and normative commitment, thereby facilitating their innovative behavior. Originality/value This research identifies affective commitment and normative commitment as key mediators that link team reflexivity to employee innovative behavior and reveals the moderating role of benevolent leadership in the process.</t>
  </si>
  <si>
    <t>[Wang, Zhining; Cui, Tao] China Univ Min &amp; Technol, Sch Econ &amp; Management, Xuzhou, Jiangsu, Peoples R China; [Cai, Shaohan] Carleton Univ, Sprott Sch Business, Ottawa, ON, Canada</t>
  </si>
  <si>
    <t>wzncumt@126.com; 1823128174@qq.com; AlanCai@Cunet.Carleton.Ca</t>
  </si>
  <si>
    <t>This research is supported by The Fundamental Research Funds for Central Universities in China (Grant No. 2017XKQY087).</t>
  </si>
  <si>
    <t>JAN 18</t>
  </si>
  <si>
    <t>10.1108/JMP-11-2020-0590</t>
  </si>
  <si>
    <t>YM4FH</t>
  </si>
  <si>
    <t>WOS:000672661800001</t>
  </si>
  <si>
    <t>Wan, WH; Liu, LJ; Long, J; Fan, Q; Wu, YCJ</t>
  </si>
  <si>
    <t>Wan, Wenhai; Liu, Longjun; Long, Jing; Fan, Qing; Wu, Yenchun Jim</t>
  </si>
  <si>
    <t>The Bottom-Line Mentality of Leaders in Education and Training Institutions: Where to Go for Innovation?</t>
  </si>
  <si>
    <t>bottom-line mentality; relative deprivation; psychological safety; innovative behavior; person-organization values fit</t>
  </si>
  <si>
    <t>RELATIVE DEPRIVATION; PSYCHOLOGICAL SAFETY; BEHAVIOR; WORK; CONTEXT; VALUES; FIT; PERSPECTIVE; STRENGTH; CRITERIA</t>
  </si>
  <si>
    <t>According to the social exchange theory, this study analyzed how a bottom-line mentality (BLM) among leaders affects teachers' innovative behavior and how this relationship is mediated by relative deprivation and psychological safety and moderated by person-organization values fit. Using two stages of data collection, 491 responses from teachers were obtained and analyzed. The results revealed that leader BLM significantly negatively affected teachers' innovative behavior, and relative deprivation and psychological safety both partially mediated this influence of leader BLM. Person-organization values fit negatively moderated the positive effect of leader BLM on teachers' relative deprivation and the negative effect of leader BLM on teachers' psychological safety. This study enriches the current literature about BLM and tests the influence of leader BLM on teacher's innovation in the Chinese education and training institutions, and provides insights into favorable educational management practices.</t>
  </si>
  <si>
    <t>[Wan, Wenhai; Liu, Longjun] Huaqiao Univ, Sch Business Adm, Quanzhou, Peoples R China; [Long, Jing] Nanjing Univ, Sch Business, Nanjing, Peoples R China; [Fan, Qing] Shanghai Univ, Sch Management, Shanghai, Peoples R China; [Wu, Yenchun Jim] Natl Taiwan Normal Univ, Grad Inst Global Business &amp; Strategy, Taipei, Taiwan; [Wu, Yenchun Jim] Ming Chuan Univ, Leisure &amp; Recreat Adm Dept, Taipei, Taiwan</t>
  </si>
  <si>
    <t>Huaqiao University; Nanjing University; Shanghai University; National Taiwan Normal University; Ming Chuan University</t>
  </si>
  <si>
    <t>Wu, YCJ (corresponding author), Natl Taiwan Normal Univ, Grad Inst Global Business &amp; Strategy, Taipei, Taiwan.;Wu, YCJ (corresponding author), Ming Chuan Univ, Leisure &amp; Recreat Adm Dept, Taipei, Taiwan.</t>
  </si>
  <si>
    <t>Liu, Longjun/0000-0002-6495-1695</t>
  </si>
  <si>
    <t>MOE Layout Foundation of Humanities and Social Sciences [19YJA630070]; National Natural Science Foundation of China [71672080, 72072086]; Ministry of Science &amp; Technology, Taiwan [MOST 109-2511-H-003-049 -MY3]</t>
  </si>
  <si>
    <t>MOE Layout Foundation of Humanities and Social Sciences; National Natural Science Foundation of China(National Natural Science Foundation of China (NSFC)); Ministry of Science &amp; Technology, Taiwan</t>
  </si>
  <si>
    <t>This research project was supported by the MOE Layout Foundation of Humanities and Social Sciences (Grant No. 19YJA630070), and National Natural Science Foundation of China (Grant No. 71672080; 72072086), and Ministry of Science &amp; Technology, Taiwan (MOST 109-2511-H-003-049 -MY3).</t>
  </si>
  <si>
    <t>JUL 2</t>
  </si>
  <si>
    <t>10.3389/fpsyg.2021.689840</t>
  </si>
  <si>
    <t>TK2WS</t>
  </si>
  <si>
    <t>WOS:000674025700001</t>
  </si>
  <si>
    <t>Oh, SH; Dong, LZ; Nahm, AY; Yu, GC</t>
  </si>
  <si>
    <t>Oh, Se-Hyung (David); Dong, Longzhu; Nahm, Abraham Y.; Yu, Gyu-Chang</t>
  </si>
  <si>
    <t>Fostering innovation and involvement among Korean workers in problem solving through trust and psychological safety: the role of paradoxical leader behaviours</t>
  </si>
  <si>
    <t>Paradoxical leader behaviours; trust; psychological safety; participation in innovation; participation in problem- solving activities; South Korea</t>
  </si>
  <si>
    <t>PATERNALISTIC LEADERSHIP; SERVANT LEADERSHIP; PERFORMANCE; IMPROVEMENT; MANAGERIAL; CREATIVITY; COMPLEXITY; FUTURE; MODEL</t>
  </si>
  <si>
    <t>This study examines the paradoxical leader behaviours' (PLB) effect upon generating a favourable environment for workers' participation in innovation and problem-solving activities. We hypothesize that PLB will affect workers' trust in management. Trust will then lead to psychological safety, which will encourage workers' innovative behaviours and participation in problem-solving activities. Survey results from 214 Korean workers confirmed these hypotheses. This is one of the leading studies in examining PLB through an empirical study, and the results should encourage researchers and practitioners alike to take a careful note of the construct and its practical applications.</t>
  </si>
  <si>
    <t>[Oh, Se-Hyung (David); Yu, Gyu-Chang] Hanyang Univ, Sch Business, Seoul, South Korea; [Dong, Longzhu] Univ Wisconsin, Management, Eau Claire, WI 54701 USA; [Nahm, Abraham Y.] Univ Wisconsin, Operat Management, Eau Claire, WI 54701 USA</t>
  </si>
  <si>
    <t>Hanyang University; University of Wisconsin System; University of Wisconsin System</t>
  </si>
  <si>
    <t>Dong, LZ (corresponding author), Univ Wisconsin, Management, Eau Claire, WI 54701 USA.</t>
  </si>
  <si>
    <t>dongl@uwec.edu</t>
  </si>
  <si>
    <t>; Nahm, Abraham/L-5164-2016</t>
  </si>
  <si>
    <t>DONG, LONGZHU/0000-0002-0094-543X; Nahm, Abraham/0000-0002-4629-5911</t>
  </si>
  <si>
    <t>10.1080/13602381.2021.1941529</t>
  </si>
  <si>
    <t>SY3AE</t>
  </si>
  <si>
    <t>WOS:000665762700001</t>
  </si>
  <si>
    <t>Liu, ZQ; Yan, M; Fan, YQ; Chen, LL</t>
  </si>
  <si>
    <t>Liu, Zhiqiang; Yan, Miao; Fan, Youqing; Chen, Liling</t>
  </si>
  <si>
    <t>Ascribed or achieved? The role of birth order on innovative behaviour in the workplace</t>
  </si>
  <si>
    <t>Birth order; Mental calculation; Relative time distance; Sibling rivalry; Status striving orientation</t>
  </si>
  <si>
    <t>REGULATORY FOCUS; EXPLOITATIVE INNOVATION; INDIVIDUAL INNOVATION; SELF-EFFICACY; RISK-TAKING; CREATIVITY; PERFORMANCE; PERSONALITY; EXPLORATION; COMPETITION</t>
  </si>
  <si>
    <t>The pathway through which birth order triggers status competition and affects individuals' subsequent innovative behaviours in the Chinese workplace remains an unexplored topic. To fill this lacuna, this study collected data from China to test the relationships. Findings showed that the first-born siblings tended to have a rational status striving orientation, which mediated the relationship between birth order and exploitative innovative behaviour; later-born siblings, though, were more likely to have an emotional status striving orientation, which weakened the relationship between birth order and exploratory innovative behaviour. Considering that expectations for the future career may affect an individual's current decision, we also examined the moderating role of relative time distance and found that it strengthened the relationship between status striving orientation and employees' innovative behaviour. Our study is of practical and theoretical significance by exploring the pathway through which birth order affects employees' innovative behaviour in the Chinese context.</t>
  </si>
  <si>
    <t>[Liu, Zhiqiang; Yan, Miao] Huazhong Univ Sci &amp; Technol, Sch Management, Wuhan 430074, Peoples R China; [Fan, Youqing] Western Sydney Univ, Sch Business, Penrith, NSW 2751, Australia; [Fan, Youqing] Western Sydney Univ, Inst Culture &amp; Soc, Penrith, NSW 2751, Australia; [Chen, Liling] Wuhan Univ Technol, Sch Safety Sci &amp; Emergency Management, Wuhan 430070, Peoples R China</t>
  </si>
  <si>
    <t>Huazhong University of Science &amp; Technology; Western Sydney University; Western Sydney University; Wuhan University of Technology</t>
  </si>
  <si>
    <t>Chen, LL (corresponding author), Wuhan Univ Technol, Sch Safety Sci &amp; Emergency Management, Wuhan 430070, Peoples R China.</t>
  </si>
  <si>
    <t>zqliu@hust.edu.cn; yanmiaocsd@sina.com; Y.Fan@westernsydney.edu.au; chenlilingfighting@126.com</t>
  </si>
  <si>
    <t>Fan, Youqing/AAL-2980-2020</t>
  </si>
  <si>
    <t>Fan, Youqing/0000-0001-9508-5411</t>
  </si>
  <si>
    <t>National Natural Science Foundation of China [71832004, 71672070]</t>
  </si>
  <si>
    <t>This work was supported by the National Natural Science Foundation of China [grant number 71832004, Key Program; grant number 71672070] .</t>
  </si>
  <si>
    <t>10.1016/j.jbusres.2021.05.058</t>
  </si>
  <si>
    <t>TP6AO</t>
  </si>
  <si>
    <t>WOS:000677680300014</t>
  </si>
  <si>
    <t>Fan, CH; Hu, MY; Shangguan, ZH; Ye, CL; Yan, ST; Wang, MY</t>
  </si>
  <si>
    <t>Fan, Chuanhao; Hu, Mingyue; Shangguan, Ziheng; Ye, Chunlan; Yan, Shuting; Wang, Mark Yaolin</t>
  </si>
  <si>
    <t>The Drivers of Employees' Active Innovative Behaviour in Chinese High-Tech Enterprises</t>
  </si>
  <si>
    <t>active innovation behaviour; high-performance work system; self-determination theory; technological talent pool; China</t>
  </si>
  <si>
    <t>HUMAN-RESOURCE PRACTICES; MEMBER EXCHANGE LMX; ORGANIZATIONAL PERFORMANCE; MODERATING ROLE; MEDIATING ROLE; SELF-EFFICACY; WORK OUTCOMES; CREATIVITY; LEADERSHIP; DETERMINANTS</t>
  </si>
  <si>
    <t>High-performance work systems are being increasingly used in organisational management. However, such system development over time has resulted in increasingly complex impacts on employee innovation behaviour. How to stimulate innovation in the technological talent pool of individuals at high-tech enterprises has gradually become a research hotspot. Based on an effective sample of 351 technological individuals from high-tech enterprises in Jiangsu, Zhejiang and Guangdong provinces, this paper discusses the mechanism and boundary conditions of a high-performance work system affecting the active innovation behaviour of such individuals based on self-determination theory. The empirical results show the following: (1) Informational practices and controlled practices in a high-performance work system have mutually exclusive effects on active innovation behaviour, with significant positive and negative effects. (2) The need for autonomy and competence play mediating roles between informational practices and active innovation behaviour; the need for autonomy plays a masking effect between controlled practices and active innovation behaviour. (3) The need for relatedness negatively moderates the effects of a high-performance work system which is focused on the needs for autonomy and competence. The findings reveal the internal mechanism and boundary conditions of high-performance work system influencing active innovation behaviour, which provides a reference for high-tech enterprises to encourage technical talents to innovate, and have important practical significance for improving the core competitiveness of high-tech enterprises.</t>
  </si>
  <si>
    <t>[Fan, Chuanhao; Hu, Mingyue; Ye, Chunlan] Hohai Univ, Sch Business, Nanjing 211100, Peoples R China; [Shangguan, Ziheng] Hohai Univ, Sch Publ Adm, Nanjing 211100, Peoples R China; [Yan, Shuting] Lide Grp Co Ltd, Nanjing 211100, Peoples R China; [Wang, Mark Yaolin] Univ Melbourne, Sch Geog, Melbourne, Vic 3010, Australia; [Wang, Mark Yaolin] Univ Melbourne, Asia Inst, Melbourne, Vic 3010, Australia</t>
  </si>
  <si>
    <t>Hohai University; Hohai University; University of Melbourne; University of Melbourne</t>
  </si>
  <si>
    <t>Shangguan, ZH (corresponding author), Hohai Univ, Sch Publ Adm, Nanjing 211100, Peoples R China.;Wang, MY (corresponding author), Univ Melbourne, Sch Geog, Melbourne, Vic 3010, Australia.;Wang, MY (corresponding author), Univ Melbourne, Asia Inst, Melbourne, Vic 3010, Australia.</t>
  </si>
  <si>
    <t>fanchuanhao@126.com; humingyue0308@163.com; sgzh@hhu.edu.cn; 181313090005@hhu.edu.cn; yanshuting8700@163.com; myw@unimelb.edu.au</t>
  </si>
  <si>
    <t>Shangguan, Ziheng/AES-4046-2022; Wang, Mark/AGI-2421-2022</t>
  </si>
  <si>
    <t>Shangguan, Ziheng/0000-0002-1371-8367; WANG, MARK/0000-0002-1813-3632</t>
  </si>
  <si>
    <t>Youth Project of Jiangsu Social Science Fund [17GLC002]; Fundamental Research Funds for the Central Universities [B200207091]; Australian Research Council [DP170104138]</t>
  </si>
  <si>
    <t>Youth Project of Jiangsu Social Science Fund; Fundamental Research Funds for the Central Universities(Fundamental Research Funds for the Central Universities); Australian Research Council(Australian Research Council)</t>
  </si>
  <si>
    <t>This work was supported by the Youth Project of Jiangsu Social Science Fund (17GLC002), Fundamental Research Funds for the Central Universities (B200207090), Fundamental Research Funds for the Central Universities (B200207091) and Australian Research Council (DP170104138).</t>
  </si>
  <si>
    <t>10.3390/su13116032</t>
  </si>
  <si>
    <t>SR0NB</t>
  </si>
  <si>
    <t>WOS:000660741100001</t>
  </si>
  <si>
    <t>van den Brand, W; Stynen, D; Wognum, I; Nikolova, I</t>
  </si>
  <si>
    <t>van den Brand, Wilfred; Stynen, Dave; Wognum, Ida; Nikolova, Irina</t>
  </si>
  <si>
    <t>Improving innovative work behavior through transformational leadership: the role of psychological safety and team learning</t>
  </si>
  <si>
    <t>GEDRAG &amp; ORGANISATIE</t>
  </si>
  <si>
    <t>Dutch</t>
  </si>
  <si>
    <t>innovative work behavior; transformational leadership; team learning; psychological safety</t>
  </si>
  <si>
    <t>TRANSACTIONAL LEADERSHIP; CHARISMATIC LEADERSHIP; HEALTH-CARE; CREATIVITY; MEDIATION; FRAMEWORK; CLIMATE; ORGANIZATIONS; ANTECEDENTS; MANAGEMENT</t>
  </si>
  <si>
    <t>This study examines the mediating role of psychological safety and team learning in the relationship between transformational leadership (TFL) and innovative work behavior (IWB), at both the individual level and team level. A cross-sectional survey was conducted among employees of three media and marketing companies in the Netherlands. A total of 164 employees from 39 work teams participated. Multilevel path analysis were performed to analyze the data at both the individual and team level. The results reveal that TFL is positively related to IWB and its dimensions idea generation, idea promotion and idea implementation, at both the individual and team level. At the individual level, sequential mediation through psychological safety and team learning was established in the relationship between TFL and idea promotion and idea implementation. At the team level, sequential mediation through psychological safety and team learning was established in the relationship between TFL and idea promotion. Due to the multilevel design and the selection of mediators that reflect the social process underlying IWB, this study contributes to a better understanding of how TFL can promote innovative behavior in a work context.</t>
  </si>
  <si>
    <t>[van den Brand, Wilfred; Stynen, Dave] Open Univ Nederland, Valkenburgerweg 177, NL-6419 Heerlen, Netherlands; [Wognum, Ida] Univ Twente, Enschede, Netherlands; [Nikolova, Irina] BI Norwegian Business Sch, Oslo, Norway</t>
  </si>
  <si>
    <t>Open University Netherlands; University of Twente; BI Norwegian Business School</t>
  </si>
  <si>
    <t>van den Brand, W (corresponding author), Open Univ Nederland, Valkenburgerweg 177, NL-6419 Heerlen, Netherlands.</t>
  </si>
  <si>
    <t>wilfred.vandenbrand@ou.nl; dave.stynen@ou.nl; idawognum.hr@kpnmail.nl; irina.nikolova@bi.no</t>
  </si>
  <si>
    <t>UITGEVERIJ LEMMA B V</t>
  </si>
  <si>
    <t>DEN HAAG</t>
  </si>
  <si>
    <t>POSTBUS 85576, DEN HAAG, 2508 CG, NETHERLANDS</t>
  </si>
  <si>
    <t>0921-5077</t>
  </si>
  <si>
    <t>1875-7235</t>
  </si>
  <si>
    <t>GEDRAG ORGAN</t>
  </si>
  <si>
    <t>Gedrag Organ.</t>
  </si>
  <si>
    <t>10.5117/GO2021.2.001.BRAN</t>
  </si>
  <si>
    <t>Psychology, Applied; Psychology, Social</t>
  </si>
  <si>
    <t>0P8QV</t>
  </si>
  <si>
    <t>WOS:000784494400001</t>
  </si>
  <si>
    <t>Bal, PM; Chudzikowski, K; Jansen, P; Wawoe, K</t>
  </si>
  <si>
    <t>Bal, P. Matthijs; Chudzikowski, Katharina; Jansen, Paul; Wawoe, Kilian</t>
  </si>
  <si>
    <t>Individualized work arrangements and socio-economic factors in relation to motivation to continue working: a multilevel study of municipal influences</t>
  </si>
  <si>
    <t>Idiosyncratic deals; i-deals; motivation to continue working; socio-economic factors; population growth; unemployment</t>
  </si>
  <si>
    <t>IDIOSYNCRATIC DEALS; I-DEALS; PROFESSIONAL-DEVELOPMENT; SOCIAL REPRESENTATIONS; REGIONAL UNEMPLOYMENT; JOB RESOURCES; RETIREMENT; TEACHERS; EUROPE; CAREER</t>
  </si>
  <si>
    <t>This paper introduces a socio-economic perspective on the relationships of idiosyncratic deals (i.e. i-deals) with motivation to continue working beyond retirement. On the basis of work adjustment theory, we expected that i-deals enable employees to engage in innovative behavior and professional development, through which they experience more work engagement, subsequently facilitating higher motivation to continue working. Moreover, on the basis of signaling theory, we introduced two socio-economic factors to explain when i-deals are most effective in the context of the current study among teachers: municipal child population growth and municipal unemployment. A study among 1,210 teachers in the Netherlands was conducted to test the mediation and moderation model. Results show positive indirect relationships of growth i-deals with motivation to continue working through innovative work behavior, professional development and work engagement, while indirect relationships were negative for accommodative i-deals. Moreover, child population growth boosted the relationships of i-deals, while unemployment accentuated the effects of professional development. The study contributes to the literature by showing the importance of socio-economic factors in explaining the relationships of i-deals and individualized HRM.</t>
  </si>
  <si>
    <t>[Bal, P. Matthijs] Univ Lincoln, Lincoln Int Business Sch, Lincoln LN6 7TS, England; [Chudzikowski, Katharina] Univ Bath, Sch Management, Bath, Avon, England; [Jansen, Paul] Vrije Univ Amsterdam, Dept Management &amp; Org, Amsterdam, Netherlands; [Wawoe, Kilian] Vrije Univ Amsterdam, Dept Social &amp; Org Psychol, Amsterdam, Netherlands</t>
  </si>
  <si>
    <t>University of Lincoln; University of Bath; Vrije Universiteit Amsterdam; Vrije Universiteit Amsterdam</t>
  </si>
  <si>
    <t>Bal, PM (corresponding author), Univ Lincoln, Lincoln Int Business Sch, Lincoln LN6 7TS, England.</t>
  </si>
  <si>
    <t>mbal@lincoln.ac.uk</t>
  </si>
  <si>
    <t>Jansen, Paul/J-2085-2012</t>
  </si>
  <si>
    <t>Jansen, Paul/0000-0001-6537-2006; /0000-0002-4538-3012</t>
  </si>
  <si>
    <t>10.1080/09585192.2021.1928730</t>
  </si>
  <si>
    <t>5B2AA</t>
  </si>
  <si>
    <t>Green Submitted, Green Published, Green Accepted</t>
  </si>
  <si>
    <t>WOS:000654775400001</t>
  </si>
  <si>
    <t>Deprez, J; Peeters, ER; Gorgievski, MJ</t>
  </si>
  <si>
    <t>Deprez, Jana; Peeters, Ellen R.; Gorgievski, Marjan J.</t>
  </si>
  <si>
    <t>Developing intrapreneurial self-efficacy through internships? Investigating agency and structure factors</t>
  </si>
  <si>
    <t>Intrapreneurship education; Internship; Agency and structure</t>
  </si>
  <si>
    <t>ENTREPRENEURSHIP EDUCATION; INNOVATIVE BEHAVIOR; EMPLOYABILITY; WORK; STUDENTS; PERFORMANCE; INTENTIONS; DESIGN; MODEL; DETERMINANTS</t>
  </si>
  <si>
    <t>Purpose This paper seeks to identify how intrapreneurial self-efficacy (ISE) grows in a group of graduate students during their internship. We investigate which agency and structure factors shape their experience and stabilize or help grow their ISE and how this evolves in the course of their internship. Design/methodology/approach We conducted group interviews with 49 last year master students of a large Belgian university during their seven-month internship. We focused on those interns with low starter ISE to better understand which factors aid or hinder ISE development. Findings Our results show that students who did not experience ISE growth were less aware of their own agency factors, lacked supportive colleagues and experienced a misfit with their supervisors. Students who did grow their ISE did so mostly because of an initial experimentation phase, which was structured by their supervisor. This created a positive spiral where they started feeling increasingly better and able to act intrapreneurially. Originality/value With this study, we contribute to the extant literature in two main ways. First, we use a graduate employability lens to study the genesis of ISE. As such, we are amongst the first to investigate how education can nurture intrapreneurship and which agency and structure factors are particularly important for this. Second, we take a qualitative process approach, rather than a static and quantitative focus of most entrepreneurial education studies. As such, we gain better knowledge to the drivers of ISE at students first steps and during their internship.</t>
  </si>
  <si>
    <t>[Deprez, Jana] Katholieke Univ Leuven, Leuven, Belgium; [Peeters, Ellen R.] Open Univ, Heerlen, Netherlands; [Gorgievski, Marjan J.] Erasmus Univ, Erasmus Sch Social &amp; Behav Sci, Rotterdam, Netherlands</t>
  </si>
  <si>
    <t>KU Leuven; Open University Netherlands; Erasmus University Rotterdam; Erasmus University Rotterdam - Excl Erasmus MC</t>
  </si>
  <si>
    <t>Deprez, J (corresponding author), Katholieke Univ Leuven, Leuven, Belgium.</t>
  </si>
  <si>
    <t>jana.deprez@kuleuven.be</t>
  </si>
  <si>
    <t>Peeters, Ellen/A-9142-2018</t>
  </si>
  <si>
    <t>Peeters, Ellen/0000-0002-0643-8148; Deprez, Jana/0000-0001-8862-574X; Gorgievski - Duijvesteijn, Maria Johanna/0000-0001-8939-0321</t>
  </si>
  <si>
    <t>JUL 23</t>
  </si>
  <si>
    <t>10.1108/IJEBR-09-2020-0642</t>
  </si>
  <si>
    <t>TP4DU</t>
  </si>
  <si>
    <t>WOS:000653102500001</t>
  </si>
  <si>
    <t>Kim, S; Ishikawa, J</t>
  </si>
  <si>
    <t>Kim, Seonjo; Ishikawa, Jun</t>
  </si>
  <si>
    <t>Contrasting Effects of External Worker's Proactive Behavior on Their Turnover Intention: A Moderated Mediation Model</t>
  </si>
  <si>
    <t>portfolio career worker; proactive behavior; turnover intention; workplace ostracism; employee-organization relationship in human resource practices; status in a new organization</t>
  </si>
  <si>
    <t>ORGANIZATIONAL IDENTIFICATION; CITIZENSHIP BEHAVIOR; WORKPLACE OSTRACISM; INNOVATIVE BEHAVIOR; UNETHICAL BEHAVIOR; VOICE BEHAVIOR; EMPLOYEE VOICE; PERFORMANCE; CONSEQUENCES; GLOBALIZATION</t>
  </si>
  <si>
    <t>Interpersonal conflicts between portfolio career workers (hereafter, PCWs) who entered from the external labor market and existing permanent workers are a controversial workplace issue in South Korea. This study examines whether the existing permanent workers' responses to the newcomers speaking up depend on the type of proactive behavior, that is, whether PCWs speak within extra-role or in-role boundaries. We found that PCWs perceive more workplace ostracism when they are proactive outside their job boundaries and less workplace ostracism when they are proactive inside their job boundaries. Further, their perceptions of ostracism lead to intentions of turnover. These relationships are conditional on the type of employee-organization relationship and the PCWs' status in a new organization. Data were collected from 261 PCWs in Korea. Bootstrap-based conditional process analyses were utilized to test the hypothesized model. The results show that workplace ostracism mediates the relationship between the two types of proactive behavior and turnover intention, but in contrasting directions. The effect of the two types of proactive behavior on workplace ostracism is stronger for higher levels of reciprocal relationship between organization and employees, while the effect of workplace ostracism on turnover intention is stronger for higher levels of PCWs' status in a new organization. Thus, the workplace conflicts PCWs face not only represent interpersonal problems within the workplace but also constitute a multilayered phenomenon related to the long-term institutionalized relationships between organizations and employees.</t>
  </si>
  <si>
    <t>[Kim, Seonjo] Fukushima Univ, Fac Econ &amp; Business Adm, Kanayagawa Campus, Fukushima 9601296, Japan; [Ishikawa, Jun] Rikkyo Univ, Coll Business, Tokyo 1718501, Japan</t>
  </si>
  <si>
    <t>Fukushima University; Rikkyo University</t>
  </si>
  <si>
    <t>Kim, S (corresponding author), Fukushima Univ, Fac Econ &amp; Business Adm, Kanayagawa Campus, Fukushima 9601296, Japan.</t>
  </si>
  <si>
    <t>sjkim@econ.fukushima-u.ac.jp; jun@rikkyo.ac.jp</t>
  </si>
  <si>
    <t>Competitive Research Funds from the Japan Productivity Center, 2019-2020</t>
  </si>
  <si>
    <t>This work supported by Competitive Research Funds from the Japan Productivity Center, 2019-2020 (grant number were not assigned).</t>
  </si>
  <si>
    <t>10.3390/bs11050070</t>
  </si>
  <si>
    <t>SG4LO</t>
  </si>
  <si>
    <t>WOS:000653412800001</t>
  </si>
  <si>
    <t>Sanchez-Gomez, M; Giorgi, G; Finstad, GL; Alessio, F; Ariza-Montes, A; Arcangeli, G; Mucci, N</t>
  </si>
  <si>
    <t>Sanchez-Gomez, Martin; Giorgi, Gabriele; Finstad, Georgia Libera; Alessio, Federico; Ariza-Montes, Antonio; Arcangeli, Giulio; Mucci, Nicola</t>
  </si>
  <si>
    <t>Economic Stress at Work: Its Impact over Absenteeism and Innovation</t>
  </si>
  <si>
    <t>economic stress; work related stress; absenteeism; innovation; innovative behavior; mental health</t>
  </si>
  <si>
    <t>JOB INSECURITY; EMOTIONAL INTELLIGENCE; SICKNESS ABSENCE; BEHAVIOR; PERFORMANCE; HEALTH; TIME; DEMANDS; CRISIS; SATISFACTION</t>
  </si>
  <si>
    <t>Economic stress has been recognized as a major threat to the well-being and performance of workers, especially during times of global economic crisis. An interesting and relatively unexplored research topic concerns the associations between economic stress and employee job outcomes such as innovative behaviors, indispensable for business survival. The aim of the present study was to investigate the relationship between economic stress, absenteeism and innovation. We considered both a direct and a mediation hypothesis and hypothesized that economic stress can have a negative influence on innovation directly and indirectly through increased absenteeism. A cross-sectional study was performed during 2018 and 2019 in an Italian food factory. A sample of 578 employees completed the Stress Questionnaire, the Janssen's nine-item scale and a single-item regarding absenteeism. All relationships are supported by empirical data. As expected, the results indicated that economic stress is negatively related to innovation and positively related to absenteeism, which, in turn, plays a mediating role in the relationship between economic stress and innovative behavior. Herewith, those employees with higher levels of economic stress show higher levels of absenteeism contributing at the same time to a decrease in innovative behaviors. These findings show the importance of economic stress in understanding individual work outcomes and highlight the need to promote adequate intervention programs.</t>
  </si>
  <si>
    <t>[Sanchez-Gomez, Martin] Univ Jaume 1, Dept Evolutionary Educ Social Psychol &amp; Methodol, Castellon De La Plana 12071, Spain; [Giorgi, Gabriele] European Univ Rome, Dept Human Sci, Via Aldobrandeschi,190, I-00163 Rome, Italy; [Finstad, Georgia Libera; Alessio, Federico] European Univ Rome, Business Hlth Lab, Via Aldobrandeschi,190, I-00163 Rome, Italy; [Ariza-Montes, Antonio] Univ Loyola Andalucia, Dept Management, Cordoba 14004, Spain; [Ariza-Montes, Antonio] Univ Autonoma Chile, Dept Business Adm, Santiago 7500912, Chile; [Arcangeli, Giulio; Mucci, Nicola] Univ Florence, Dept Expt &amp; Clin Med, Largo Piero Palagi 1, I-50139 Florence, Italy</t>
  </si>
  <si>
    <t>Universitat Jaume I; European University of Rome; European University of Rome; Universidad Loyola Andalucia; Universidad Autonoma de Chile; University of Florence</t>
  </si>
  <si>
    <t>Mucci, N (corresponding author), Univ Florence, Dept Expt &amp; Clin Med, Largo Piero Palagi 1, I-50139 Florence, Italy.</t>
  </si>
  <si>
    <t>sanchgom@uji.es; gabriele.giorgi@unier.it; g.liberafinstad@gmail.com; federico.alessio94@gmail.com; ariza@uloyola.es; giulio.arcangeli@unifi.it; nicola.mucci@unifi.it</t>
  </si>
  <si>
    <t>Sanchez-Gomez, Martin/W-6277-2019; Finstad, Georgia Libera/AAV-5841-2021; Ariza-Montes, Antonio/G-8882-2017</t>
  </si>
  <si>
    <t>Sanchez-Gomez, Martin/0000-0001-8663-8889; Finstad, Georgia Libera/0000-0003-3234-9197; Ariza-Montes, Antonio/0000-0002-5921-0753; Mucci, Nicola/0000-0003-0579-1035; Alessio, Federico/0000-0002-0769-0783</t>
  </si>
  <si>
    <t>Generalitat Valenciana; Fondo Social Europeo [ACIF/2017/201, BEFPI/2020/041]</t>
  </si>
  <si>
    <t>Generalitat Valenciana(Center for Forestry Research &amp; Experimentation (CIEF)); Fondo Social Europeo(European Social Fund (ESF)European Commission)</t>
  </si>
  <si>
    <t>We would like to thank Generalitat Valenciana and Fondo Social Europeo for providing co-funding for the development of this research (ACIF/2017/201 &amp; BEFPI/2020/041).</t>
  </si>
  <si>
    <t>10.3390/ijerph18105265</t>
  </si>
  <si>
    <t>SI5CL</t>
  </si>
  <si>
    <t>WOS:000654842100001</t>
  </si>
  <si>
    <t>Wang, XY; An, LR; Yasir, N; Mahmood, N; Gu, Y</t>
  </si>
  <si>
    <t>Wang, Xiaoyan; An, Liren; Yasir, Nosheena; Mahmood, Nasir; Gu, Ying</t>
  </si>
  <si>
    <t>Empirical Study on the Relationship between Effective Following Behavior and Derived Creative Work Behavior: A Moderating Role of Perceived Organizational Support and Sustainable Leadership</t>
  </si>
  <si>
    <t>effective following behavior; creative work behavior; perceived organizational support; sustainable leadership</t>
  </si>
  <si>
    <t>MEMBER EXCHANGE; TRANSFORMATIONAL LEADERSHIP; INNOVATIVE BEHAVIOR; MEDIATING ROLE; PERFORMANCE; PERSPECTIVES; EXPLORATION; COMMITMENT; MANAGEMENT; RESOURCES</t>
  </si>
  <si>
    <t>The leader of an organization and its members together constitute a binary structure of the main body of the organization and achievement of their goals. The existing literature mainly focuses on the characteristics and following behavior of members. Although the Leader-Member Exchange (LMX) theory uniquely explains the relationship between sustainable leaders and followers, it cannot as easily explain the creative work behavior of followers. This paper proposes that effective following behavior can stimulate the intrinsic motivation of followers and make this consistent with their work motivation, thereby producing creative work behavior and leading to the more effective achievement of organizational goals. Moreover, it demonstrates the internal relationships and mechanisms of action between effective following behavior and creative work behavior. Taking the two dimensions of effective following behavior as independent variables and the three dimensions of creative work behavior as dependent variables, a group of hypotheses were presented. The moderating role of the perceived organizational support and sustainable leadership in the relationship between effective following behavior and creative work behavior was demonstrated, and two groups of hypotheses were proposed. Data from 409 surveys, factor analysis, and multiple regression analysis were used to test the hypotheses. The empirical results show that in the organization the radical and incremental creative work behavior of the followers correlates positively with their active, participatory following behavior and the non-blind following behavior. The followers' non-creative routine work behavior correlates negatively with their active participatory following behavior and has no significant correlation with the non-blind following behavior. In conclusion, sustainable leadership and perceived organizational support can therefore strengthen the relationship between actively participating in following behavior and creative work behavior and weaken the relationship between non-blind following behavior and creative work behavior.</t>
  </si>
  <si>
    <t>[Wang, Xiaoyan; An, Liren; Yasir, Nosheena; Gu, Ying] Northwest Univ, Sch Econ &amp; Management, Xian 710127, Peoples R China; [Wang, Xiaoyan] Xian Aeronaut Univ, Student Affairs Dept, Xian 710077, Peoples R China; [Mahmood, Nasir] Northwestern Polytech Univ, Sch Management Sci, Xian 710072, Peoples R China</t>
  </si>
  <si>
    <t>Northwest University Xi'an; Xi'an Aeronautical University; Northwestern Polytechnical University</t>
  </si>
  <si>
    <t>An, LR; Yasir, N (corresponding author), Northwest Univ, Sch Econ &amp; Management, Xian 710127, Peoples R China.</t>
  </si>
  <si>
    <t>wangxiaoyan2005@163.com; alr@nwu.edu.cn; nosheena.yaqoob@yahoo.com; nasirmahmood@nwpu.edu.cn; guying@nwu.edu.cn</t>
  </si>
  <si>
    <t>mahmood, nasir/0000-0003-0163-3144; Yasir, Nosheena/0000-0001-5909-3860</t>
  </si>
  <si>
    <t>National Natural Science Foundation of China [71171159]</t>
  </si>
  <si>
    <t>This research was funded by the National Natural Science Foundation of China, grant number 71171159 and Postgraduate Research.</t>
  </si>
  <si>
    <t>10.3390/su13105693</t>
  </si>
  <si>
    <t>ST6DQ</t>
  </si>
  <si>
    <t>WOS:000662531900001</t>
  </si>
  <si>
    <t>Huang, HQ; Li, FD</t>
  </si>
  <si>
    <t>Huang, Huaqian; Li, Fuda</t>
  </si>
  <si>
    <t>Innovation climate, knowledge management, and innovative work behavior in small software companies</t>
  </si>
  <si>
    <t>innovation climate; organization climate; knowledge management; innovative work behavior; enterprise performance; employee innovation</t>
  </si>
  <si>
    <t>Innovation is of great significance to a company's sustainable development. Using structural equation modeling, we analyzed data from an online survey conducted with 385 employees of software companies in China. We explored the mechanism through which innovation climate helped improve knowledge management and innovative work behavior in the businesses. The results show that innovation climate had a positive impact on knowledge acquisition, knowledge dissemination, and responsiveness to knowledge, as three dimensions of management of knowledge; and also on idea generation and idea promotion, as two of three dimensions of innovative work behavior. However, the impact of innovation climate on the dimension of idea realization was nonsignificant. These findings enrich the literature on innovation in regard to work behavior and workplace climate, and highlight the important impact of innovation climate on knowledge management and innovative work behavior. The cultivation of employees' innovative behavior helps to improve enterprise performance, so enterprise managers will also benefit.</t>
  </si>
  <si>
    <t>[Huang, Huaqian] Hezhou Univ, Coll Tourism &amp; Sport Hlth, Hezhou, Peoples R China; [Li, Fuda] Hunan Normal Univ, Business Sch, 36 Lushan Rd, Changsha 410081, Peoples R China</t>
  </si>
  <si>
    <t>Hezhou University; Hunan Normal University</t>
  </si>
  <si>
    <t>Li, FD (corresponding author), Hunan Normal Univ, Business Sch, 36 Lushan Rd, Changsha 410081, Peoples R China.</t>
  </si>
  <si>
    <t>125883662@qq.com</t>
  </si>
  <si>
    <t>li, fu da/0000-0001-5619-8376</t>
  </si>
  <si>
    <t>Hunan Key Laboratory of Macroeconomic Big Data Mining and its Application</t>
  </si>
  <si>
    <t>This research was supported by Hunan Key Laboratory of Macroeconomic Big Data Mining and its Application.</t>
  </si>
  <si>
    <t>e9780</t>
  </si>
  <si>
    <t>10.2224/sbp.9780</t>
  </si>
  <si>
    <t>RN9AZ</t>
  </si>
  <si>
    <t>WOS:000640645500003</t>
  </si>
  <si>
    <t>Yuan, Y</t>
  </si>
  <si>
    <t>Yuan, Yue</t>
  </si>
  <si>
    <t>Leader-Employee Congruence in Humor and Innovative Behavior: The Moderating Role of Dynamic Tenure</t>
  </si>
  <si>
    <t>humor; innovative behavior; leader&amp;#8211; employee congruence; dynamic tenure; polynomial regression</t>
  </si>
  <si>
    <t>Drawing upon the literature on complementary fit theory, the purpose of this study is to examine how the dynamic tenure moderates the relationship between leader-employee congruence/incongruence in humor and employee innovative behavior. Data were collected from 108 leader-employee dyads from information technology companies in China. Polynomial regression combined with the response surface methodology was used to test the hypotheses. Four conclusions were drawn. First, employee innovative behavior was maximized when leaders and employees were incongruent in humor. Second, in the case of incongruence, employees had higher innovative behavior when employees were more humorous than their leaders. Third, in the case of congruence, employees had higher innovative behavior when a leader's and an employee's humor matched at high levels. Fourth, dynamic tenure moderated the leader-employee congruence/incongruence effect of humor on employee innovative behavior. This study enhanced theoretical developments by considering the importance of leaders' congruence with employees in humor for the first time. Additionally, the research results provided better practical guidance for effectively promoting employee innovative behavior.</t>
  </si>
  <si>
    <t>[Yuan, Yue] Tsinghua Univ, Sch Econ &amp; Management, Beijing, Peoples R China</t>
  </si>
  <si>
    <t>Tsinghua University</t>
  </si>
  <si>
    <t>Yuan, Y (corresponding author), Tsinghua Univ, Sch Econ &amp; Management, Beijing, Peoples R China.</t>
  </si>
  <si>
    <t>yuany.18@sem.tsinghua.edu.cn</t>
  </si>
  <si>
    <t>MAR 5</t>
  </si>
  <si>
    <t>10.3389/fpsyg.2021.579551</t>
  </si>
  <si>
    <t>QY9CZ</t>
  </si>
  <si>
    <t>WOS:000630334700001</t>
  </si>
  <si>
    <t>Kussainova, GB; Saghaian, SH; Reed, MR</t>
  </si>
  <si>
    <t>Kussainova, Gaukhar B.; Saghaian, Sayed H.; Reed, Michael R.</t>
  </si>
  <si>
    <t>Innovation behavior of agri-food small and medium-sized enterprises: the case of Europe's emerging economies</t>
  </si>
  <si>
    <t>INTERNATIONAL FOOD AND AGRIBUSINESS MANAGEMENT REVIEW</t>
  </si>
  <si>
    <t>innovation drivers; Central and Eastern Europe; agri-food sector; firm-level data</t>
  </si>
  <si>
    <t>EASTERN-EUROPE; DETERMINANTS; DRIVERS; GROWTH; SMES</t>
  </si>
  <si>
    <t>This paper examines the innovative behavior of agri-food firms located in Central and Eastern Europe. In the literature, empirical analyses on innovation activities of firms focus on various case studies from around the world. However, very few studies explore the innovation of small and medium sized enterprises from Central and Eastern Europe's agri-food sector. The analysis uses the logit estimation method and firm-level data, which are obtained from ERBD-World Bank Business Environment and Enterprise Performance Survey. Results suggest that firms that spent some proportion of their financial budget on research and development, had workforce training programs, and bought fixed assets are more likely to launch product, process, organizational, and marketing innovations.</t>
  </si>
  <si>
    <t>[Kussainova, Gaukhar B.; Saghaian, Sayed H.; Reed, Michael R.] Univ Kentucky, Dept Agr Econ, 400 Charles E Barnhart Bldg, Lexington, KY 40516 USA</t>
  </si>
  <si>
    <t>University of Kentucky</t>
  </si>
  <si>
    <t>Saghaian, SH (corresponding author), Univ Kentucky, Dept Agr Econ, 400 Charles E Barnhart Bldg, Lexington, KY 40516 USA.</t>
  </si>
  <si>
    <t>ssaghaian@uky.edu</t>
  </si>
  <si>
    <t>USDA, National Institute of Food and Agriculture [KY004052, 1012994]</t>
  </si>
  <si>
    <t>USDA, National Institute of Food and Agriculture(United States Department of Agriculture (USDA))</t>
  </si>
  <si>
    <t>Saghaian acknowledges support from the USDA, National Institute of Food and Agriculture, Hatch project No. KY004052, under accession number 1012994.</t>
  </si>
  <si>
    <t>WAGENINGEN ACADEMIC PUBLISHERS</t>
  </si>
  <si>
    <t>WAGENINGEN</t>
  </si>
  <si>
    <t>PO BOX 220, WAGENINGEN, 6700 AE, NETHERLANDS</t>
  </si>
  <si>
    <t>1559-2448</t>
  </si>
  <si>
    <t>INT FOOD AGRIBUS MAN</t>
  </si>
  <si>
    <t>Int. Food Agribus. Manag. Rev.</t>
  </si>
  <si>
    <t>10.22434/IFAMR2020.0016</t>
  </si>
  <si>
    <t>Agricultural Economics &amp; Policy</t>
  </si>
  <si>
    <t>QU9IM</t>
  </si>
  <si>
    <t>WOS:000627593400011</t>
  </si>
  <si>
    <t>Laguna, M; Mielniczuk, E; Gorgievski, MJ</t>
  </si>
  <si>
    <t>Laguna, Mariola; Mielniczuk, Emilia; Gorgievski, Marjan J.</t>
  </si>
  <si>
    <t>Business Owner-Employees Contagion of Work-Related Affect and Employees' Innovative Behavior in Small Firms</t>
  </si>
  <si>
    <t>POSITIVE AFFECT; TRANSFORMATIONAL LEADERSHIP; MEASUREMENT INVARIANCE; EMOTIONAL CONTAGION; CIRCUMPLEX MODEL; PERFORMANCE; MOOD; CREATIVITY; ENTREPRENEURS; METAANALYSIS</t>
  </si>
  <si>
    <t>The aim of this study was to explore cross-level mechanisms stimulating employees' innovative behavior in small firms, specifically emotional contagion between small business owners and their employees. Using data from three European countries and applying a multilevel approach, we tested how small business owners' work-related affect-enthusiasm and comfort-relate to their employees' work-related affect and innovative work behavior. The sample consisted of 85 small business owners and 711 employees from firms operating in the Netherlands, Poland, and Spain. Controlling for country, the results of multilevel modeling showed that small business owners' work-related affect was positively related to their employees' work-related affect. The hypothesized contagion of work-related affect in small firms was, thus, supported. Employees' work-related affect, in turn, was positively associated with their innovative behavior. Employees' work-related affect mediated the relationship between small business owners' work-related affect and employees' innovative behavior. The results also showed cross-country differences in the strength of some of the relationships. The study is a step forward in understanding innovation in small firms, extending the insights gained from single-level investigations.</t>
  </si>
  <si>
    <t>[Laguna, Mariola; Mielniczuk, Emilia] John Paul II Catholic Univ Lublin, Lublin, Poland; [Gorgievski, Marjan J.] Erasmus Univ, Rotterdam, Netherlands</t>
  </si>
  <si>
    <t>Catholic University of Lublin; Erasmus University Rotterdam; Erasmus University Rotterdam - Excl Erasmus MC</t>
  </si>
  <si>
    <t>Laguna, M (corresponding author), John Paul II Catholic Univ Lublin, Inst Psychol, Al Raclawickie 14, Lublin, Poland.</t>
  </si>
  <si>
    <t>; Laguna, Mariola/T-8177-2018</t>
  </si>
  <si>
    <t>Gorgievski - Duijvesteijn, Maria Johanna/0000-0001-8939-0321; Mielniczuk, Emilia/0000-0002-4202-8242; Laguna, Mariola/0000-0001-6865-8587</t>
  </si>
  <si>
    <t>Polish National Science Center [DEC-2013/10/M/HS6/00475]</t>
  </si>
  <si>
    <t>Polish National Science Center</t>
  </si>
  <si>
    <t>This research was financed by the Polish National Science Center, grant no. DEC-2013/10/M/HS6/00475.</t>
  </si>
  <si>
    <t>10.1111/apps.12288</t>
  </si>
  <si>
    <t>US2BU</t>
  </si>
  <si>
    <t>WOS:000580574400001</t>
  </si>
  <si>
    <t>Salzmann, EC; Kock, A</t>
  </si>
  <si>
    <t>Salzmann, Edmund Christian; Kock, Alexander</t>
  </si>
  <si>
    <t>When customer ethnography is good for you - A contingency perspective</t>
  </si>
  <si>
    <t>Customer ethnography; Empathic design; User research</t>
  </si>
  <si>
    <t>MARKET ORIENTATION; PRODUCT DEVELOPMENT; FRONT-END; INNOVATIVE BEHAVIOR; PERFORMANCE; DESIGN; SATISFACTION; CHALLENGES; MANAGEMENT; CONSUMER</t>
  </si>
  <si>
    <t>Industrial corporations increasingly undertake customer ethnography studies to expose and understand their customers' and end users' latent needs better. However, the benefit of this practice is ambiguous and evidence for it is largely based on anecdotes and qualitative case studies. The aim of this study is to shed light on the relationship between customer ethnography and new product development (NPD) success. We explore internal and external factors that attenuate or strengthen this relationship by investigating the contingency influences of a team's innovative work behavior and the task's innovativeness. Data from a large international corporation show that customer ethnography is worth considering in terms of creating understanding for customers at the front-end of innovation. The contribution of this paper is twofold. First, we demonstrate the relevance of customer ethnography by showing that ethnographic methods at the front end generally have a positive relationship with NPD success. Second, we deepen our understanding of this relationship by showing that customer ethnography is not beneficial for NPD in all circumstances, but depends on the team's innovative work behavior and the innovativeness of the context. The results suggest that product developers should invigorate ethnographic practices carefully and selectively.</t>
  </si>
  <si>
    <t>[Salzmann, Edmund Christian; Kock, Alexander] Tech Univ Darmstadt, Technol &amp; Innovat Management, Hsch Str 1, D-64289 Darmstadt, Germany</t>
  </si>
  <si>
    <t>Salzmann, EC (corresponding author), Tech Univ Darmstadt, Technol &amp; Innovat Management, Hsch Str 1, D-64289 Darmstadt, Germany.</t>
  </si>
  <si>
    <t>salzmann@tim.tu-darmstadt.de; kock@tim.tu-darmstadt.de</t>
  </si>
  <si>
    <t>Kock, Alexander/0000-0003-2402-0340</t>
  </si>
  <si>
    <t>10.1016/j.indmarman.2020.05.027</t>
  </si>
  <si>
    <t>MQ2ZP</t>
  </si>
  <si>
    <t>WOS:000552766500037</t>
  </si>
  <si>
    <t>Quratulain, S; Al-Hawari, MA; Bani-Melhem, S</t>
  </si>
  <si>
    <t>Quratulain, Samina; Al-Hawari, Moh'D Ahmad; Bani-Melhem, Shaker</t>
  </si>
  <si>
    <t>Perceived organizational customer orientation and frontline employees' innovative behaviors: exploring the role of empowerment and supervisory fairness</t>
  </si>
  <si>
    <t>Perceived organizational customer orientation; Supervisory fairness; FLEs' innovative behaviors; Empowerment</t>
  </si>
  <si>
    <t>SERVICE INNOVATION; PSYCHOLOGICAL EMPOWERMENT; EMOTIONAL EXHAUSTION; SELF-DETERMINATION; WORK-ENVIRONMENT; JOB-SATISFACTION; MODERATING ROLE; PERFORMANCE; CLIMATE; LEADERSHIP</t>
  </si>
  <si>
    <t>Purpose The purpose of this research is to examine the indirect effect of perceived organizational customer orientation on frontline employees' (FLE) innovative behaviors (via perceived empowerment) as well as the contextual factor of supervisory fairness, which affects the strength of the indirect effect. Drawing on social exchange theory, the authors propose that FLEs' perceived organizational customer orientation positively affects their empowerment and indirectly affects innovative behaviors, and that effect is stronger in a high supervisory fairness condition. Design/methodology/approach Structural equation modeling of the data collected through a time-lagged survey of 184 employee-supervisor dyads provides support for the hypotheses. From the practitioners' perspective, this study highlights the mechanism through which perceived organizational customer orientation can affect the display of FLEs' innovative behaviors as well as the conditions that strengthen this process. Findings Perceived organizational customer orientation was positively related to employees' perceived empowerment. Empowerment was positively associated with supervisor-reported innovative behaviors. The indirect effect of perceived organizational customer orientation through employee empowerment on supervisor-reported innovative behaviors was also confirmed. Supervisory fairness significantly moderated the perceived organizational customer orientation and employee empowerment relationship. Finally, the indirect effect of customer orientation on supervisor-reported innovative behaviors through empowerment was significant for both high supervisory fairness and low supervisory fairness; however, the effect was stronger in a high fairness condition. Practical implications Service managers can benefit from these findings by improving the work environment characteristics. Originality/value This study makes an important contribution to existing research on perceived organizational customer orientation and FLEs' innovative behaviors as extant research has only examined the direct unmediated effect of customer orientation on innovative behaviors. Moreover, the authors' moderated mediation model presents a new insight into how perceived organizational customer orientation influences FLEs' innovative behaviors and when this effect is more pronounced.</t>
  </si>
  <si>
    <t>[Quratulain, Samina; Al-Hawari, Moh'D Ahmad; Bani-Melhem, Shaker] Univ Sharjah, Dept Management, Sharjah, U Arab Emirates</t>
  </si>
  <si>
    <t>Quratulain, S (corresponding author), Univ Sharjah, Dept Management, Sharjah, U Arab Emirates.</t>
  </si>
  <si>
    <t>squratulain@sharjah.ac.ae; malhawari@sharjah.ac.ae; malhawari@sharjah.ac.ae</t>
  </si>
  <si>
    <t>MAY 18</t>
  </si>
  <si>
    <t>10.1108/EJIM-08-2019-0233</t>
  </si>
  <si>
    <t>SJ4HT</t>
  </si>
  <si>
    <t>WOS:000541607400001</t>
  </si>
  <si>
    <t>Peng, YP</t>
  </si>
  <si>
    <t>Peng, Yu-Ping</t>
  </si>
  <si>
    <t>Relationship between job involvement, leader-member exchange, and innovative behavior of public librarians</t>
  </si>
  <si>
    <t>Innovation; innovative behavior; job involvement; leader-member exchange; public librarian</t>
  </si>
  <si>
    <t>TRANSFORMATIONAL LEADERSHIP; ORGANIZATIONAL INNOVATION; CITIZENSHIP BEHAVIORS; ACADEMIC-LIBRARIES; MODERATING ROLE; MEDIATING ROLE; DETERMINANTS; MODEL; METAANALYSIS; NEED</t>
  </si>
  <si>
    <t>Public library leaders require librarians to exhibit markedly high job involvement and notably innovative behaviors to maintain pace with rapidly varying environments. The study examined the relationships between the job involvement, leader-member exchange, and innovative behavior of public librarians through structural equation modeling. The finding identified the antecedents (job involvement and leader-member exchange ) of innovation behavior. Leader-member exchange was a significant moderator of the job involvement-innovative behavior relationship. The findings can enhance understanding of these relationships in the public library context. Finally, the study provided suggestions for leaders within the librarianship profession to develop for themselves and their subordinates.</t>
  </si>
  <si>
    <t>[Peng, Yu-Ping] Fu Jen Catholic Univ, Dept Lib &amp; Informat Sci, 510 Zhongzheng Rd, New Taipei, Taiwan</t>
  </si>
  <si>
    <t>Fu Jen Catholic University</t>
  </si>
  <si>
    <t>Peng, YP (corresponding author), Fu Jen Catholic Univ, Dept Lib &amp; Informat Sci, 510 Zhongzheng Rd, New Taipei, Taiwan.</t>
  </si>
  <si>
    <t>084361@mail.fju.edu.tw</t>
  </si>
  <si>
    <t>peng, yu/GXW-2071-2022</t>
  </si>
  <si>
    <t>The author(s) disclosed receipt of the following financial support for the research, authorship, and/or publication of this article: The research project was funded by Fu Jen Catholic University.</t>
  </si>
  <si>
    <t>10.1177/0961000618810378</t>
  </si>
  <si>
    <t>LD9ZL</t>
  </si>
  <si>
    <t>WOS:000526383900009</t>
  </si>
  <si>
    <t>Han, QJ; Xia, L</t>
  </si>
  <si>
    <t>Han, Qingjiang; Xia, Lei</t>
  </si>
  <si>
    <t>Social media use and employee innovative behavior: The mediating role of employee voice</t>
  </si>
  <si>
    <t>social media use; employee voice; employee innovative behavior; Web 2.0</t>
  </si>
  <si>
    <t>MODEL; MANAGEMENT; CREATIVITY</t>
  </si>
  <si>
    <t>We examined employee voice as the mediator in the social media use-employee innovative behavior relationship in the current Web 2.0 age. We used structural equation modeling to test this mediating role with 178 employees of a large enterprise in China. The results showed a significant positive relationship between social media use and employee voice, and between employee voice and innovative behavior, and a positive but not significant relationship between social media use and employee innovative behavior. Results also supported a full mediating role for employee voice in the social media use-employee innovative behavior relationship. Our findings extend prior research and suggest some mechanisms of social media use. Theoretical and practical implications are discussed.</t>
  </si>
  <si>
    <t>[Han, Qingjiang; Xia, Lei] Huazhong Univ Sci &amp; Technol, Sch Econ, Wuhan 430074, Hubei, Peoples R China</t>
  </si>
  <si>
    <t>Han, QJ (corresponding author), Huazhong Univ Sci &amp; Technol, Sch Econ, Wuhan 430074, Hubei, Peoples R China.</t>
  </si>
  <si>
    <t>2312974357@qq.com</t>
  </si>
  <si>
    <t>e9014</t>
  </si>
  <si>
    <t>10.2224/sbp.9014</t>
  </si>
  <si>
    <t>WOS:000519717800016</t>
  </si>
  <si>
    <t>Smith, M; Sayer, K</t>
  </si>
  <si>
    <t>Smith, Michael; Sayer, Kelly</t>
  </si>
  <si>
    <t>The East Lancashire Clinic Model: Supporting care homes to understand reactive behaviours (Innovative Practice)</t>
  </si>
  <si>
    <t>DEMENTIA-INTERNATIONAL JOURNAL OF SOCIAL RESEARCH AND PRACTICE</t>
  </si>
  <si>
    <t>dementia; care home; reactive behaviour; challenging behaviour; consultancy; non-pharmacological interventions; unmet needs; behaviour that challenges; clinic; Lancashire</t>
  </si>
  <si>
    <t>The East Lancashire Clinic model is a consultancy-based approach to supporting care home staff to assess and respond to reactive behaviours of people with dementia and reduce the need to refer into secondary mental health services. The clinics are person centred and solution focused, aiming to promote recognition of unmet needs and early interventions implemented by staff. The pilot was able to resolve most cases and reduce referral rates into secondary care services. Through working collaboratively, it empowers staff to improve the care of all their residents, improves relationship with secondary care services and has potential to offer efficiency savings.</t>
  </si>
  <si>
    <t>[Smith, Michael] Univ Cent Lancashire, Sch Nursing, Preston, Lancs, England; [Sayer, Kelly] East Lancashire Rapid Intervent &amp; Treatment Team, Lancashire Care NHS Fdn Trust, Preston, Lancs, England</t>
  </si>
  <si>
    <t>University of Central Lancashire</t>
  </si>
  <si>
    <t>Smith, M (corresponding author), Univ Cent Lancashire, Sch Nursing, Preston PR1 2HE, Lancs, England.</t>
  </si>
  <si>
    <t>Msmith34@uclan.ac.uk</t>
  </si>
  <si>
    <t>Smith, Michael/0000-0003-2631-369X</t>
  </si>
  <si>
    <t>1471-3012</t>
  </si>
  <si>
    <t>1741-2684</t>
  </si>
  <si>
    <t>DEMENTIA-LONDON</t>
  </si>
  <si>
    <t>Dement.-Int. J. soc. Res. Pract.</t>
  </si>
  <si>
    <t>10.1177/1471301219891021</t>
  </si>
  <si>
    <t>Gerontology</t>
  </si>
  <si>
    <t>Geriatrics &amp; Gerontology</t>
  </si>
  <si>
    <t>QZ7CR</t>
  </si>
  <si>
    <t>WOS:000499533000001</t>
  </si>
  <si>
    <t>Wang, G; Zhou, XH</t>
  </si>
  <si>
    <t>Wang, Guan; Zhou, Xiaohu</t>
  </si>
  <si>
    <t>Innovation in safety management: A moderated mediation model</t>
  </si>
  <si>
    <t>safety innovation intention; safety innovation behavior; safety climate; safety performance; workplace safety; innovative behavior</t>
  </si>
  <si>
    <t>ORGANIZATIONAL CULTURE; CLIMATE; BEHAVIOR; PERFORMANCE; DETERMINANTS; CONSTRUCTION; OUTCOMES; IMPACT</t>
  </si>
  <si>
    <t>We developed and tested a model linking safety innovation intention with safety innovation behavior and safety performance. Participants were 407 employees of blasting, chemical, mining, and other high-risk industries in China. The results indicated that safety innovation intention was positively associated with safety performance, and safety innovation behavior played a partial mediating role in this relationship. In addition, safety climate moderated the relationship between safety innovation intention and safety innovation behavior, which mediated the interaction of safety climate and safety innovation behavior in predicting safety performance. The results support the importance of the effect of organizations' subjective intention and climate on their innovation behavior and performance in the safety domain.</t>
  </si>
  <si>
    <t>[Wang, Guan; Zhou, Xiaohu] Nanjing Univ Sci &amp; Technol, Sch Econ &amp; Management, Xiaolingwei 200, Nanjing 210094, Jiangsu, Peoples R China</t>
  </si>
  <si>
    <t>Nanjing University of Science &amp; Technology</t>
  </si>
  <si>
    <t>Zhou, XH (corresponding author), Nanjing Univ Sci &amp; Technol, Sch Econ &amp; Management, Xiaolingwei 200, Nanjing 210094, Jiangsu, Peoples R China.</t>
  </si>
  <si>
    <t>njustzxh@njust.edu.cn</t>
  </si>
  <si>
    <t>e8166</t>
  </si>
  <si>
    <t>10.2224/sbp.8166</t>
  </si>
  <si>
    <t>WOS:000485660100004</t>
  </si>
  <si>
    <t>Benevides, R; Chau, K; Ousseini, A; Innocent, I; Simmons, R</t>
  </si>
  <si>
    <t>Benevides, Regina; Chau, Katie; Ousseini, Abdoulaye; Innocent, Ibrahim; Simmons, Ruth</t>
  </si>
  <si>
    <t>Engaging Students to Improve Sexual and Reproductive Health: A Report of the University Leadership for Change Initiative in Niger</t>
  </si>
  <si>
    <t>AFRICAN JOURNAL OF REPRODUCTIVE HEALTH</t>
  </si>
  <si>
    <t>University student leadership; sexual and reproductive health; Niger; scaling up</t>
  </si>
  <si>
    <t>EDUCATION</t>
  </si>
  <si>
    <t>Few development projects have addressed the sexual and reproductive health ( SRH) needs of university students in West Africa or sought to promote student leadership to extend SRH benefits to others. This report presents results from the Evidence-to-Action Project's University Leadership for Change Initiative in Niger which had the goal to begin filling this gap. The Initiative used an innovative behavior change methodology with students at Abdou Moumouni University in Niamey, Niger and subsequently expanded it to three additional universities by applying ExpandNet scale-up approaches. 200 students trained as peer leaders reached almost 8,000 youths with SRH information and counseling, student leaders and university clinic staff distributed nearly 80,000 condoms and the project achieved national policy change through its collaboration with the Ministry of Public Health and the Ministry of Higher Education, Research and Innovations. The report concludes with key lessons about the benefits of student engagement and creativity in this effort.</t>
  </si>
  <si>
    <t>[Benevides, Regina] Pathfinder Int E2A project, Washington, DC USA; [Ousseini, Abdoulaye] Pathfinder Int Niger, Abuja, Nigeria; [Innocent, Ibrahim] Zinder Univ, Zinder, Niger; [Simmons, Ruth] ExpandNet Partners Expanding Hlth Qual &amp; Access, Ann Arbor, MI USA</t>
  </si>
  <si>
    <t>Simmons, R (corresponding author), ExpandNet Partners Expanding Hlth Qual &amp; Access, Ann Arbor, MI USA.</t>
  </si>
  <si>
    <t>rsimmons@umich.edu</t>
  </si>
  <si>
    <t>US Agency for International Development [AID-OAA-A-11-00024]</t>
  </si>
  <si>
    <t>US Agency for International Development(United States Agency for International Development (USAID))</t>
  </si>
  <si>
    <t>The authors acknowledge Peter Fajans and Laura Ghiron for their technical input and Sarah Ismail for her editorial contributions for this article which was supported by the US Agency for International Development under Award No. AID-OAA-A-11-00024 (Evidence to Action). The opinions expressed herein are those of the author(s) and do not necessarily reflect the views of Pathfinder International or the U.S. Agency for International Development.</t>
  </si>
  <si>
    <t>WOMENS HEALTH &amp; ACTION RESEARCH CENTRE</t>
  </si>
  <si>
    <t>BENIN CITY</t>
  </si>
  <si>
    <t>IGUE-IHEYA VILLAGE, BENIN-LAGOS EXPRESS RD, PO BOX 10231, UGBOWO, BENIN CITY, EDO STATE 00000, NIGERIA</t>
  </si>
  <si>
    <t>1118-4841</t>
  </si>
  <si>
    <t>2141-3606</t>
  </si>
  <si>
    <t>AFR J REPROD HEALTH</t>
  </si>
  <si>
    <t>Afr. J. Reprod. Health</t>
  </si>
  <si>
    <t>10.29063/ajrh2019/v23i1.6</t>
  </si>
  <si>
    <t>IV5UY</t>
  </si>
  <si>
    <t>WOS:000484336900006</t>
  </si>
  <si>
    <t>Lei, HS; Lai, CF; Chen, CC</t>
  </si>
  <si>
    <t>Lei, Han-Sheng; Lai, Chuan-Fu; Chen, Chih-Chang</t>
  </si>
  <si>
    <t>How Does Project Supervisor Maintain Sustainability of Project Members? A Study from Leadership Perspective</t>
  </si>
  <si>
    <t>emotional healing; conceptual skill; affect-based trust; cognition-based trust; innovative behavior</t>
  </si>
  <si>
    <t>ORGANIZATIONAL CITIZENSHIP BEHAVIOR; PROCEDURAL JUSTICE CLIMATE; SERVANT LEADERSHIP; PSYCHOLOGICAL EMPOWERMENT; TRANSACTIONAL LEADERSHIP; INNOVATIVE BEHAVIOR; WORK-ENVIRONMENT; TRUST; CREATIVITY; PERFORMANCE</t>
  </si>
  <si>
    <t>Project members' innovative behavior is crucial to their sustainability and successful implementation of the project. This research develops a conceptual model to explore the effect of project supervisor leadership skills on member's innovative behavior. The model is examined by a sample of 437 project members in Taiwan. The results show that project supervisors' emotional healing positively influences members' innovative behavior through affect-based trust in their supervisor and supervisor conceptual skill has an inverted-U impact on members' innovative behavior through cognition-based trust in their supervisor. This paper further discusses implications of these conclusions for additional research on the association between leadership skills and innovative behavior.</t>
  </si>
  <si>
    <t>[Lei, Han-Sheng; Lai, Chuan-Fu; Chen, Chih-Chang] Natl Yunlin Univ Sci &amp; Technol, Dept Business Adm, 123 Univ Rd,Sect 3, Touliu 64002, Yunlin, Taiwan</t>
  </si>
  <si>
    <t>National Yunlin University Science &amp; Technology</t>
  </si>
  <si>
    <t>Lai, CF (corresponding author), Natl Yunlin Univ Sci &amp; Technol, Dept Business Adm, 123 Univ Rd,Sect 3, Touliu 64002, Yunlin, Taiwan.</t>
  </si>
  <si>
    <t>hslei@yuntech.edu.tw; d10522007@yahoo.com; andrew_chen_1828@yahoo.com.tw</t>
  </si>
  <si>
    <t>10.3390/su10082785</t>
  </si>
  <si>
    <t>WOS:000446767700201</t>
  </si>
  <si>
    <t>He, YX; Zhao, CH</t>
  </si>
  <si>
    <t>He, Yaxin; Zhao, Changheng</t>
  </si>
  <si>
    <t>IMPACT OF MEDIA REPORTS ON INNOVATIVE BEHAVIOURS OF PHOTOVOLTAIC ENTERPRISES: EXPERIENCE VIEW FROM CHINA</t>
  </si>
  <si>
    <t>LIGHT &amp; ENGINEERING</t>
  </si>
  <si>
    <t>photovoltaic enterprise; media reports; innovative behaviours</t>
  </si>
  <si>
    <t>With flourishing development of media industry, media have exerted more and more important functions in the capital market. For photovoltaic industry, which is an emerging industry, its innovative behaviours need support from the capital market. In order to investigate the influence of media reports on innovative behaviours of photovoltaic enterprises, 43 listed photovoltaic enterprises in China A-stock market were selected. 2013-2016 news reports related to photovoltaic enterprises were grabbed using Python method, and the influence mechanism of media reports on innovative behaviours of photovoltaic enterprise was explored. The results show that media reports facilitate innovative behaviours of photovoltaic enterprises. Facilitating effect of media reports on innovative behaviours of photovoltaic enterprises further strengthen with increasing business revenues of the enterprises. Policy-oriented media exert obvious effect on boosting innovative behaviours of photovoltaic enterprises, while market-oriented media have no significant influence. The conclusions contribute to further understanding of the effect exerted by media information dissemination on enterprises' innovative behaviours.</t>
  </si>
  <si>
    <t>[He, Yaxin] Wuhan Univ Technol, Sch Arts &amp; Law, Wuhan 430070, Hubei, Peoples R China; [Zhao, Changheng] Wuhan Univ, Wuhan 430072, Hubei, Peoples R China</t>
  </si>
  <si>
    <t>Wuhan University of Technology; Wuhan University</t>
  </si>
  <si>
    <t>He, YX (corresponding author), Wuhan Univ Technol, Sch Arts &amp; Law, Wuhan 430070, Hubei, Peoples R China.</t>
  </si>
  <si>
    <t>1029949785@qq.com</t>
  </si>
  <si>
    <t>ZNACK PUBLISHING HOUSE</t>
  </si>
  <si>
    <t>MOSCOW</t>
  </si>
  <si>
    <t>PO BOX 648, 10100 MOSCOW, RUSSIA</t>
  </si>
  <si>
    <t>0236-2945</t>
  </si>
  <si>
    <t>LIGHT ENG</t>
  </si>
  <si>
    <t>Light Eng.</t>
  </si>
  <si>
    <t>Engineering, Electrical &amp; Electronic; Optics</t>
  </si>
  <si>
    <t>Engineering; Optics</t>
  </si>
  <si>
    <t>GM1GE</t>
  </si>
  <si>
    <t>WOS:000437812600016</t>
  </si>
  <si>
    <t>Subotic, M; Maric, M; Mitrovic, S; Mesko, M</t>
  </si>
  <si>
    <t>Subotic, Mladen; Maric, Mia; Mitrovic, Slavica; Mesko, Maja</t>
  </si>
  <si>
    <t>Differences between adaptors and innovators in the context of entrepreneurial potential dimensions</t>
  </si>
  <si>
    <t>Students; Innovators; Adaptors; Entrepreneurial potential; Questionnaire on entrepreneurial traits</t>
  </si>
  <si>
    <t>BUSINESS STUDENTS; INNOVATIVENESS; INTENTIONS; STYLES; IMPACT</t>
  </si>
  <si>
    <t>Purpose - The purpose of this paper is to investigate the differences between adaptive behaviour and innovative behaviour of individuals according to Kirton adaptation-innovation (KAI) model and determine how these differences impact entrepreneurial potential dimensions. Research sample consisted of student population from three countries: Serbia, Bosnia and Herzegovina (EU candidate countries) and Belgium (EU country). Research results will be valuable for the development of entrepreneurship in EU candidate countries. Data were collected from a sample of 1,008 university students from these three countries. KAI inventory, questionnaire on entrepreneurial traits (QET) and the scale of entrepreneurial potential (SEP) were used to obtain data. The canonical discriminant analysis determined differences and structure of differences between the adaptive and innovative persons, described by KAI model and their scores on the dimensions of the entrepreneurial traits model, as well as on entrepreneurial potential model. Design/methodology/approach - In this study, the first research question concentrates on the existence of differences among students from Bosnia, Serbia and Belgium with regard to the dominant style of problem-solving according to KAI model to determine whether students from EU countries and non-EU countries differ in regard to problem-solving style. Second research question is the existence of differences in the development of entrepreneurial potential by EQT and SEP among student adaptors and student innovators according to KAI model to investigate to what extent the dominant style of solving problem contributes to differences in the development of entrepreneurial potential among students. Findings - The research has confirmed the existence of significant differences between the adaptors and innovators described by the KAI model in terms of developed characteristics of entrepreneurial potential in the student population. Results of the research prove that young innovators possess to a greater extent developed key characteristics important for entrepreneurship, as well as intellectual and organizational skills, motivational factors and social capacity, self-confidence and constitutional factors. This research also revealed key differences among students with regard to the country of origin. Practical implications - The practical implications of the research are reflected in the creation of the initial guidelines and structural support for the promotion of entrepreneurial potential in young people, where it can be concluded that it is particularly important to encourage innovation and creative approach to problem-solving, but also awareness of young individuals and development of their knowledge of entrepreneurship. Originality/value - The main objective of this research was the examination of differences between students who belong to the category of adaptors and students innovators according to the KAI model (Kirton, 1976, 1998, 2003), with regard to the researched dimensions of entrepreneurial potential, to explicitly as possible identify differences in personal characteristics of young people who are predisposed for entrepreneurship and those who are not. Young innovators and adaptors significantly differ according to the researched dimensions of the EQT and SEP models of entrepreneurial potential and young innovators possess more developed entrepreneurial potential than adaptors.</t>
  </si>
  <si>
    <t>[Subotic, Mladen; Maric, Mia] Univ Novi Sad, Fac Educ Sombor, Novi Sad, Serbia; [Mitrovic, Slavica] Univ Novi Sad, Fac Tech Sci, Novi Sad, Serbia; [Mesko, Maja] Univ Primorska, Fac Management, Koper, Slovenia</t>
  </si>
  <si>
    <t>University of Novi Sad; University of Novi Sad; University of Primorska</t>
  </si>
  <si>
    <t>Mesko, M (corresponding author), Univ Primorska, Fac Management, Koper, Slovenia.</t>
  </si>
  <si>
    <t>maja.mesko@gmail.com</t>
  </si>
  <si>
    <t>Mitrovic, Slavica/0000-0002-6463-3734; Maric, Mia/0000-0002-4132-2183</t>
  </si>
  <si>
    <t>10.1108/K-05-2017-0183</t>
  </si>
  <si>
    <t>GQ7GV</t>
  </si>
  <si>
    <t>WOS:000441905600005</t>
  </si>
  <si>
    <t>Scrizzi, A; Le Bel, S; La Grange, M; Cornelis, D; Mabika, CT; Czudek, R</t>
  </si>
  <si>
    <t>Scrizzi, Alienor; Le Bel, Sebastien; La Grange, Mike; Cornelis, Daniel; Mabika, Cheryl Tinashe; Czudek, Rene</t>
  </si>
  <si>
    <t>Urban human-elephant conflict in Zimbabwe: a case study of the mitigation endeavour</t>
  </si>
  <si>
    <t>PACHYDERM</t>
  </si>
  <si>
    <t>non-lethal management</t>
  </si>
  <si>
    <t>CROP-RAIDING ELEPHANTS; WILDLIFE; CONSERVATION; MANAGEMENT; BIODIVERSITY; URBANIZATION; RESPONSES; PATTERNS</t>
  </si>
  <si>
    <t>With the expansion of urbanization, urban cases of human-wildlife conflict are increasing worldwide. Africa's population, currently at 1.3 billion, is expected to reach 4 billion by 21001. In this context, human-elephant interactions are expected to increase. Cases of urban elephant conflicts remain poorly documented, although they do exist. In November 2014, the Chirundu Elephant Programme launched an elephant education protocol involving the use of a chilli pepper gas dispenser to deter elephants as an alternative solution to the killing of elephants found scavenging in towns and seen to be a problem. As attempts at deterrence were recorded, the opportunity arose to document an urban case of elephant conflict and its underlying social drivers. From 1 November 2014 to 3 October 2015, elephants were deterred from entering Chirundu, by a team operating on the ground. Results from a soft-systems analysis showed that only a few bulls were responsible for most of the incursions. The elephants fed at any opportunity and displayed enough behavioural flexibility and innovative behaviours to thrive in an urban setting. A lack of environmental awareness and the complete absence of waste disposal systems, combined with the crumbling infrastructure, largely encouraged the conflict situation, maintaining negative attitudes and low elephant acceptance among locals. Elephants have been effectively chased away, and better town planning, environmental education and human' involvement in resolving the human-elephant conflict problem were encouraged, so as to increase tolerance to wildlife. As the population of towns are expected to mushroom in the coming decades, many emerging in traditional elephant migratory routes and rangelands, the effective methods of non-lethal management need to be developed.</t>
  </si>
  <si>
    <t>[Scrizzi, Alienor; Le Bel, Sebastien; Cornelis, Daniel] CIRAD, UPR Forets &amp; Soc, F-34398 Montpellier, France; [La Grange, Mike] AWMC, 31 Sussex Rd, Harare, Zimbabwe; [Mabika, Cheryl Tinashe; Czudek, Rene] FAO Subreg Off Southern Africa, Tendeseka Off Pk, Harare, Zimbabwe</t>
  </si>
  <si>
    <t>CIRAD</t>
  </si>
  <si>
    <t>Le Bel, S (corresponding author), CIRAD, UPR Forets &amp; Soc, F-34398 Montpellier, France.</t>
  </si>
  <si>
    <t>sebastien.le_bel@cirad.fr</t>
  </si>
  <si>
    <t>ZPWMA; FAO (Harare)</t>
  </si>
  <si>
    <t>We thank the local team of the Chirundu Elephant Programme, especially Nick Coetzee, Iona Coetzee and Aaron Young, for their collaboration. Thanks also to the ZPWMA for its support of the programme at Chirundu, and FAO (Harare) for financial support. This work was conducted within the framework of the Research Platform Production and Conservation in Partnership http://www.rp-pcp.org/.</t>
  </si>
  <si>
    <t>IUCN-SSC ASIAN ELEPHANT SPECIALIST GROUP</t>
  </si>
  <si>
    <t>RAJAGIRIYA</t>
  </si>
  <si>
    <t>C/O JAYANTHA JAYEWARDENE, BIODIVERSITY &amp; ELEPHANT CONSERVATION TRUST, RAJAGIRIYA GARDENS, NAWALA RD, RAJAGIRIYA, 615-32, SRI LANKA</t>
  </si>
  <si>
    <t>1026-2881</t>
  </si>
  <si>
    <t>Pachyderm</t>
  </si>
  <si>
    <t>JUL-JUN</t>
  </si>
  <si>
    <t>Biodiversity Conservation; Zoology</t>
  </si>
  <si>
    <t>Biodiversity &amp; Conservation; Zoology</t>
  </si>
  <si>
    <t>GU7XF</t>
  </si>
  <si>
    <t>WOS:000445544300009</t>
  </si>
  <si>
    <t>Srholec, M</t>
  </si>
  <si>
    <t>Srholec, Martin</t>
  </si>
  <si>
    <t>PERSISTENCE OF COOPERATION ON INNOVATION: ECONOMETRIC EVIDENCE FROM PANEL MICRO DATA</t>
  </si>
  <si>
    <t>innovation; cooperation; persistence; panel data; Community Innovation Survey; Czech Republic</t>
  </si>
  <si>
    <t>RESEARCH-AND-DEVELOPMENT; FIRM-LEVEL EVIDENCE; FRAMEWORK</t>
  </si>
  <si>
    <t>Arrangements to cooperate on innovation facilitate access to external sources of knowledge. By using panel data derived from the five waves of Community Innovation Survey in the Czech Republic, we examine whether firms engage in these arrangements persistently or rather revert to other behaviour. Econometric estimates of dynamic random effects and multivariate probit models provide strong support to the thesis of persistence, particularly of linkages with the university sector and suppliers. The results are robust to the initial conditions problem and serial correlation in idiosyncratic errors. Government programmes initiating cooperation on innovation therefore have the potential to induce durable changes in the innovative behaviour of firms.</t>
  </si>
  <si>
    <t>[Srholec, Martin] Acad Sci Czech Republ, Inst Econ, CERGE EI, Prague, Czech Republic</t>
  </si>
  <si>
    <t>Charles University Prague; Czech Academy of Sciences; Economics Institute of the Czech Academy of Sciences</t>
  </si>
  <si>
    <t>Srholec, M (corresponding author), Acad Sci Czech Republ, Inst Econ, CERGE EI, Prague, Czech Republic.</t>
  </si>
  <si>
    <t>martin.srholec@cerge-ei.cz</t>
  </si>
  <si>
    <t>Srholec, Martin/C-4254-2012</t>
  </si>
  <si>
    <t>Srholec, Martin/0000-0001-6115-4116</t>
  </si>
  <si>
    <t>Czech Science Foundation (GACR) [P402/10/2310]; Academy of Sciences of the Czech Republic [RVO 67985998]</t>
  </si>
  <si>
    <t>Czech Science Foundation (GACR)(Grant Agency of the Czech Republic); Academy of Sciences of the Czech Republic(Czech Academy of Sciences)</t>
  </si>
  <si>
    <t>I am grateful to the Czech Statistical Office for providing access to the micro data. Financial support from the Czech Science Foundation (GACR) Project P402/10/2310 on Innovation, Productivity and Policy: What Can We Learn from Micro Data? and institutional support from the RVO 67985998 from the Academy of Sciences of the Czech Republic is gratefully acknowledged. All usual caveats apply.</t>
  </si>
  <si>
    <t>10.18267/j.pep.536</t>
  </si>
  <si>
    <t>DF5EG</t>
  </si>
  <si>
    <t>WOS:000371374000004</t>
  </si>
  <si>
    <t>Widerszal-Bazyl, M; Mockallo, Z</t>
  </si>
  <si>
    <t>Widerszal-Bazyl, Maria; Mockallo, Zofia</t>
  </si>
  <si>
    <t>DO ALL TYPES OF RESTRUCTURING THREATEN EMPLOYEES' WELL-BEING? AN EXPLORATORY STUDY</t>
  </si>
  <si>
    <t>INTERNATIONAL JOURNAL OF OCCUPATIONAL MEDICINE AND ENVIRONMENTAL HEALTH</t>
  </si>
  <si>
    <t>Well-being; Restructuring; Change appraisal; Psychosocial job characteristics; Job demands; Innovative behavior</t>
  </si>
  <si>
    <t>ORGANIZATIONAL CHANGES; SICKNESS ABSENCE; WORK; HEALTH; MUSCULOSKELETAL; QUESTIONNAIRE; INNOVATION; MORTALITY; CONTEXT; LEAVE</t>
  </si>
  <si>
    <t>Objectives: Most research on the negative impact of restructuring on employees' health considers restructuring involving personnel reduction. The aim of this study was to explore the assumption that the type of restructuring, business expansion versus restructuring not involving expansion (only reductions and/or change of ownership), influences its psychological responses: appraisal of the change, psychosocial working conditions and well-being after the change. Material and Methods: The study was carried out among 857 employees that experienced restructuring in 2009 and/or 2010 and 538 employees from companies not restructured at that time. The main variables, i.e., assessment of change in terms of personal benefits and losses, psychosocial job characteristics and well-being were measured using a questionnaire developed in The psychological health and well-being in restructuring: key effects and mechanisms project (PSYRES). Results: It was found that the employees who experienced business expansion in comparison to those who experienced exclusively change of ownership had a higher appraisal of change, while those who experienced restructuring not involving business expansion did not differ from those who experienced change of ownership. As far as psychosocial working conditions are concerned, those employees who experienced exclusively business expansion did not differ from those in the not restructured companies (except for quantitative demands that were higher), while most psychosocial working conditions of the employees who experienced restructuring not involving expansion were poorer than in the not restructured companies. Also, well-being measures of the employees who experienced exclusively business expansion did not differ from those in the not restructured companies (except for innovative behavior that was even higher), while well-being measure of those who experienced restructuring not involving expansion was poorer than of those in the not restructured companies. Conclusions: Restructuring involving exclusively business expansion is not a threat to psychosocial job characteristics (except for quantitative demands) or to employees' well-being. Therefore, the type of restructuring should be taken into account when the restructuring psychological health relationship is discussed.</t>
  </si>
  <si>
    <t>[Widerszal-Bazyl, Maria; Mockallo, Zofia] Cent Inst Labour Protect, Natl Res Inst, Dept Ergon, PL-00701 Warsaw, Poland</t>
  </si>
  <si>
    <t>Central Institute for Labour Protection - National Research Institute</t>
  </si>
  <si>
    <t>Widerszal-Bazyl, M (corresponding author), Cent Inst Labour Protect, Natl Res Inst, Dept Ergon, Czerniakowska 16, PL-00701 Warsaw, Poland.</t>
  </si>
  <si>
    <t>mawid@ciop.pl</t>
  </si>
  <si>
    <t>Mockallo, Zofia/0000-0002-1756-9215</t>
  </si>
  <si>
    <t>NOFER INST OCCUPATIONAL MEDICINE, POLAND</t>
  </si>
  <si>
    <t>LODZ</t>
  </si>
  <si>
    <t>SW TERESY 8, LODZ, 91-348, POLAND</t>
  </si>
  <si>
    <t>1232-1087</t>
  </si>
  <si>
    <t>1896-494X</t>
  </si>
  <si>
    <t>INT J OCCUP MED ENV</t>
  </si>
  <si>
    <t>Int. J. Occup. Med. Environ. Health</t>
  </si>
  <si>
    <t>10.13075/ijomeh.1896.00237</t>
  </si>
  <si>
    <t>CO2NS</t>
  </si>
  <si>
    <t>WOS:000358993900004</t>
  </si>
  <si>
    <t>Halilovic, P; Cankar, F; Tominc, P</t>
  </si>
  <si>
    <t>Halilovic, Patricija; Cankar, Franc; Tominc, Polona</t>
  </si>
  <si>
    <t>Innovation and Entrepreneurship Can Be Learned and Built on</t>
  </si>
  <si>
    <t>CROATIAN JOURNAL OF EDUCATION-HRVATSKI CASOPIS ZA ODGOJ I OBRAZOVANJE</t>
  </si>
  <si>
    <t>entrepreneurial skills; innovation development; primary school</t>
  </si>
  <si>
    <t>PERSONALITY; ATTITUDES</t>
  </si>
  <si>
    <t>Global competition has created considerable uncertainty among many young people. Therefore, the education and motivation of young people who take initiatives at all levels of education is an extremely important part of lifelong learning and education, and also forms an important part of general human education. The main purpose of this study is to verify the hypothesis that long-lasting innovation-entrepreneurial education has an effect on improving innovation and entrepreneurial skills in pupils. The study involved 146 fourteen- and fifteen-year-old pupils from 22 Slovenian primary schools who participated in entrepreneurial workshops for one year. The instruments used in the research were a questionnaire for measuring innovative behaviour, and a knowledge test. The data were collected before and upon the completion of the entrepreneurial workshops. The findings show that innovation as well as entrepreneurial skills can be developed and taught, and they also suggest that entrepreneurial circles are a good way of promoting creativity and innovation in schools. Innovation is an activity that can be learned through education to improve basic entrepreneurial skills and the development of entrepreneurial competence. From the perspective of sustainable solutions, approaches are coming to the fore that emphasize creative problem-solving among young people; such an ability is not only a universally useful skill, but is also the essence of entrepreneurial thinking and acting.</t>
  </si>
  <si>
    <t>[Halilovic, Patricija; Tominc, Polona] Univ Maribor, Fac Econ &amp; Business, Maribor 2000, Slovenia; [Cankar, Franc] Natl Educ Inst, Ljubljanja 1000, Slovenia</t>
  </si>
  <si>
    <t>Halilovic, P (corresponding author), Univ Maribor, Fac Econ &amp; Business, Razlagova 14, Maribor 2000, Slovenia.</t>
  </si>
  <si>
    <t>patricija.halilovic@gmail.com; franc.cankar@zrss.si; polona.tominc@uni-mb.si</t>
  </si>
  <si>
    <t>FAC TEACHER EDUCATION</t>
  </si>
  <si>
    <t>ZAGREB</t>
  </si>
  <si>
    <t>UNIV ZAGREB, SAVSKA CESTA 77, ZAGREB, 00000, CROATIA</t>
  </si>
  <si>
    <t>1848-5189</t>
  </si>
  <si>
    <t>1848-5197</t>
  </si>
  <si>
    <t>CROAT J EDUC</t>
  </si>
  <si>
    <t>Croat. J. Educ.</t>
  </si>
  <si>
    <t>AX4DO</t>
  </si>
  <si>
    <t>WOS:000346884300006</t>
  </si>
  <si>
    <t>Castro-Lucas, C; Diallo, MF; Leo, PY; Philippe, J</t>
  </si>
  <si>
    <t>Castro-Lucas, Cristina; Diallo, Mbaye Fall; Leo, Pierre-Yves; Philippe, Jean</t>
  </si>
  <si>
    <t>Do innovators perform abroad? Findings from two producer's service sectors</t>
  </si>
  <si>
    <t>structural equation modelling; B2B; innovation; international growth; performance assessment</t>
  </si>
  <si>
    <t>EXPORT PERFORMANCE; INTERNATIONALIZATION; TECHNOLOGY; CAPABILITIES; VARIABLES; IMPACT</t>
  </si>
  <si>
    <t>This research explores the relationship between service innovation and international development in producers' service firms. A theoretical model explaining how firms achieve international performance is tested using the partial least-squares (PLS) method. Data are obtained from a specific survey answered by 51 French top managers of internationalised business service firms. The result shows that service innovation plays a significant role in international performance but far less than international experience and even less than the mastery of Information and Communication Technology. International competence of the firm's personnel also enhances innovative behaviour. In this sample, these two kinds of skill seem to be the best drivers towards international performance.</t>
  </si>
  <si>
    <t>[Castro-Lucas, Cristina] Univ Brasilia, Inst Ciencias Biol IB, BR-70910900 Brasilia, DF, Brazil; [Diallo, Mbaye Fall] Univ Lille Nord France, Skema Business Sch, Lille Sch Management Res Ctr, IMMD, F-59051 Roubaix 1, France; [Leo, Pierre-Yves; Philippe, Jean] Aix Marseille Univ, CERGAM MI, Fac Econ &amp; Gest, F-13627 Aix En Provence 1, France</t>
  </si>
  <si>
    <t>Universidade de Brasilia; SKEMA Business School; Universite de Lille - ISITE; Universite de Lille; UDICE-French Research Universities; Aix-Marseille Universite</t>
  </si>
  <si>
    <t>Leo, PY (corresponding author), Aix Marseille Univ, CERGAM MI, Fac Econ &amp; Gest, 15-19 Allee Claude Forbin, F-13627 Aix En Provence 1, France.</t>
  </si>
  <si>
    <t>pyl199@gmail.com</t>
  </si>
  <si>
    <t>10.1080/02642069.2013.755173</t>
  </si>
  <si>
    <t>113HN</t>
  </si>
  <si>
    <t>WOS:000316657300009</t>
  </si>
  <si>
    <t>But, J; Nguyen, TTT; Armitage, G</t>
  </si>
  <si>
    <t>The brave new world of online digital home entertainment</t>
  </si>
  <si>
    <t>IEEE COMMUNICATIONS MAGAZINE</t>
  </si>
  <si>
    <t>The emergence of widespread broadband home Internet connectivity is leading to a change in patterns of home user online behavior. Innovative networked applications (e.g., online multimedia and gaming) are making their mark. Will the next killer Internet applications be new forms of online digital home entertainment? Can the Internet support a widespread explosion in the use of such applications? In this article we explore potential problems in running interactive multimedia and game applications over existing Internet and home access network infrastructures, We also discuss the issues both network and application developers should consider when designing new Internet entertainment applications such that widespread usage becomes a possibility.</t>
  </si>
  <si>
    <t>Monash Univ, Clayton, Vic 3168, Australia; Swinburne Univ Technol, CAIA, Melbourne, Vic, Australia; Bell Labs Res, Silicon Valley, CA USA</t>
  </si>
  <si>
    <t>Monash University; Swinburne University of Technology; Alcatel-Lucent; Lucent Technologies</t>
  </si>
  <si>
    <t>But, J (corresponding author), Monash Univ, Clayton, Vic 3168, Australia.</t>
  </si>
  <si>
    <t>jbut@swin.edu.au; tnguyeri@swin.edu.au; garmitage@swin.edu.au</t>
  </si>
  <si>
    <t>0163-6804</t>
  </si>
  <si>
    <t>1558-1896</t>
  </si>
  <si>
    <t>IEEE COMMUN MAG</t>
  </si>
  <si>
    <t>IEEE Commun. Mag.</t>
  </si>
  <si>
    <t>10.1109/MCOM.2005.1453427</t>
  </si>
  <si>
    <t>Engineering, Electrical &amp; Electronic; Telecommunications</t>
  </si>
  <si>
    <t>Engineering; Telecommunications</t>
  </si>
  <si>
    <t>924IJ</t>
  </si>
  <si>
    <t>WOS:000228972100004</t>
  </si>
  <si>
    <t>Likar, B</t>
  </si>
  <si>
    <t>Innovative excellence for youth - Creating a network to foster innovative behaviour among young Slovenes</t>
  </si>
  <si>
    <t>STROJNISKI VESTNIK-JOURNAL OF MECHANICAL ENGINEERING</t>
  </si>
  <si>
    <t>innovative society; innovativity; education; analyses; models</t>
  </si>
  <si>
    <t>SYSTEMS; MANAGEMENT</t>
  </si>
  <si>
    <t>A model for the competent encouragement of innovation among pupils and students has been designed according to an analysis of the situation regarding the innovative abilities of youth in Slovenia. The main objective behind constructing such a model is to bring about an increase in the innovative abilities of young people, teacher-tutores as well as others in the broader social environment. The goals tire to raise awareness amongst the target groups, to ensure the acquisition of knowledge and skills pertaining to innovation processes, as well a support for the most innovative in implementing actual projects. The project structure is pyramidal, deriving its critical mass from the activities which shall embrace a large number of students and further provide the conditions, interactions and stimuli that shall lead to the actual accomplishment of tangible innovation. The model itself based on support activities and projects already underway in Slovenia, is directed towards, achieving innovation in the context of projects realised by youth. Although students and their tutores are the main target groups which shall attain specific goals, this project actively embraces the many players which make lip Slovenia support environment together with the commercial and other end-users who shall become the beneficiaries of innovation. There tire two paths towards innovation: the accomplishment of personal ideas in an entrepreneurial sense, and the solution of actual extant problems defined by organisations and enterprises in which an idea is effected. It is of cardinal importance that this project is designed and managed in a systemic way - that it is started and co-ordinated at the national level, and effected via a network of teachers in conjunction with the regional institutions and companies which shall thus endow it with regional and local components. In effect, this means that individual activities shall be synergistically connected, and thus the red thread of activities leading to actual accomplished results will not be lost in the invention-innovation (I-I) chain. (C) 2004 Journal of Mechanical Engineering. All rights reserved.</t>
  </si>
  <si>
    <t>Univ Primorskem, Fak Management Koper, Koper 6000, Slovenia</t>
  </si>
  <si>
    <t>University of Primorska</t>
  </si>
  <si>
    <t>Likar, B (corresponding author), Univ Primorskem, Fak Management Koper, Cankarjeva 5, Koper 6000, Slovenia.</t>
  </si>
  <si>
    <t>borut.likar1@guest.arnes.si</t>
  </si>
  <si>
    <t>ASSOC MECHANICAL ENGINEERS TECHNICIANS SLOVENIA</t>
  </si>
  <si>
    <t>LJUBLJANA</t>
  </si>
  <si>
    <t>PO BOX 197-IV, LJUBLJANA 61001, SLOVENIA</t>
  </si>
  <si>
    <t>0039-2480</t>
  </si>
  <si>
    <t>STROJ VESTN-J MECH E</t>
  </si>
  <si>
    <t>Strojniski Vestn.-J. Mech. Eng.</t>
  </si>
  <si>
    <t>Engineering, Mechanical</t>
  </si>
  <si>
    <t>848ZX</t>
  </si>
  <si>
    <t>WOS:000223508000006</t>
  </si>
  <si>
    <t>Aretz, HJ</t>
  </si>
  <si>
    <t>Institutional contexts of technological innovations: The debate on genetic engineering in Germany and the USA</t>
  </si>
  <si>
    <t>SOZIALE WELT-ZEITSCHRIFT FUR SOZIALWISSENSCHAFTLICHE FORSCHUNG UND PRAXIS</t>
  </si>
  <si>
    <t>The article uses the example of the debate on genetic engineering in Germany and the USA to discuss the interrelation between institutional order, societal conflict settlement, and the political implementation of new technologies, The configuration of the institutional arrangement, which is the frame in which the settlement of conflicts takes place, is modeled in terms of center and periphery. It is argued that a dynamic relationship between center and periphery granting equal chances of access to the arena of conflict to all parties is more likely to produce some viable consensus among the actors involved than the institutionalized separation between center and periphery, which tends to create much more rigid and uncompromising positions. From such institutional configurations conclusions may be drawn as to the innovative behavior of a society.</t>
  </si>
  <si>
    <t>Univ Dusseldorf, Sozialwissensch Inst, D-4000 Dusseldorf, Germany</t>
  </si>
  <si>
    <t>Heinrich Heine University Dusseldorf</t>
  </si>
  <si>
    <t>Aretz, HJ (corresponding author), Univ Dusseldorf, Sozialwissensch Inst, D-4000 Dusseldorf, Germany.</t>
  </si>
  <si>
    <t>VERLAG OTTO SCHWARTZ &amp; CO</t>
  </si>
  <si>
    <t>ANNASTRABE 7, D-37075 GOTTINGEN, GERMANY</t>
  </si>
  <si>
    <t>0038-6073</t>
  </si>
  <si>
    <t>SOZ WELT</t>
  </si>
  <si>
    <t>Sozial Welt-Zeit. Sozialwiss. Forsch. Praxis</t>
  </si>
  <si>
    <t>409ZW</t>
  </si>
  <si>
    <t>WOS:000167416400002</t>
  </si>
  <si>
    <t>Nijkamp, P; Reggiani, A</t>
  </si>
  <si>
    <t>Drivers of innovation: A comparative study on innovation in European cities by means of multi-criteria analysis</t>
  </si>
  <si>
    <t>drivers; innovation; multi-criteria analysis; regime method; incubation; cities</t>
  </si>
  <si>
    <t>DYNAMICS</t>
  </si>
  <si>
    <t>This paper addresses the issue of innovative behaviour of firms in an urban European context. It aims to identify key factors for innovation at the local level, based on micro survey information from firms. In seeking prominent explanatory variables for entrepreneurial innovation in various classes of European cities, a particular multivariate method, Regime analysis, is employed. This special type of multi-criteria method appears to be a fruitful tool for comparative analysis and generates a wide range of interesting empirical results on innovation factors in European cities.</t>
  </si>
  <si>
    <t>Free Univ Amsterdam, Fac Econ, Dept Spatial Econ, NL-11081 HV Amsterdam, Netherlands; Univ Bologna, Fac Stat, Dept Econ, I-40126 Bologna, Italy</t>
  </si>
  <si>
    <t>Vrije Universiteit Amsterdam; University of Bologna</t>
  </si>
  <si>
    <t>Nijkamp, P (corresponding author), Free Univ Amsterdam, Fac Econ, Dept Spatial Econ, De Boelelaan 1105, NL-11081 HV Amsterdam, Netherlands.</t>
  </si>
  <si>
    <t>Nijkamp, Peter/0000-0002-4068-8132; Reggiani, Aura/0000-0002-8288-2187</t>
  </si>
  <si>
    <t>10.1111/1467-9663.00118</t>
  </si>
  <si>
    <t>361ET</t>
  </si>
  <si>
    <t>WOS:000089710500008</t>
  </si>
  <si>
    <t>Lopez-Sintas, J; Martinez-Ros, E</t>
  </si>
  <si>
    <t>The innovative behavior of Spanish enterprises and its impact on salaries</t>
  </si>
  <si>
    <t>TECHNOLOGICAL INNOVATION; COMPETITIVE ADVANTAGE; WAGE DETERMINATION; ADAPTATION; STRATEGIES; FIRMS</t>
  </si>
  <si>
    <t>Our aim was to analyze the effects of firms' innovative behavior on their employees' salaries in the Spanish manufacturing industry. We found a premium in the wage paid by innovative firms, regardless of size. However, when taking company size into account, we found that the effect of innovations was greater in small-medium enterprises (SME), contrary to what was expected. The inferences of the models estimated suggest that the higher the market concentration the weaker the appropriability regime, especially for SMEs. However, at the same time, a firm's innovations reduce the impact of market concentration on wages, making innovating firms more autonomous than non-innovating ones. Even more, to be able to innovate, firms have to isolate their employees' salaries from the product market. These results hold regardless of firm's size, but have a greater impact on the small-medium group of firms. Finally, our analysis backs the assumption that salaries in both large and small-medium firms are generated by two distinct economic regimes, supporting the proposition that an SME is not simply a scaled-down large firm.</t>
  </si>
  <si>
    <t>Univ Autonoma Barcelona, Fac Ciencies Econ &amp; Empresarials, Dept Business Adm, Bellaterra 08193, Spain; Univ Carlos III Madrid, Fac Ciencias Econ &amp; Empresariales, Dept Business Adm, Getafe 28903, Spain</t>
  </si>
  <si>
    <t>Autonomous University of Barcelona; Universidad Carlos III de Madrid</t>
  </si>
  <si>
    <t>Lopez-Sintas, J (corresponding author), Univ Autonoma Barcelona, Fac Ciencies Econ &amp; Empresarials, Dept Business Adm, Edifici B,Campus Bellaterra, Bellaterra 08193, Spain.</t>
  </si>
  <si>
    <t>Lopez-Sintas, Jordi/H-5417-2015; Ros, Ester Martinez/Q-5525-2018</t>
  </si>
  <si>
    <t>Lopez-Sintas, Jordi/0000-0001-5441-4039; Ros, Ester Martinez/0000-0003-0088-4611</t>
  </si>
  <si>
    <t>10.1023/A:1008175430501</t>
  </si>
  <si>
    <t>286TZ</t>
  </si>
  <si>
    <t>WOS:000085463900003</t>
  </si>
  <si>
    <t>SILVER, SD</t>
  </si>
  <si>
    <t>A SIMPLE MATHEMATICAL-THEORY OF INNOVATIVE BEHAVIOR - COMMENT</t>
  </si>
  <si>
    <t>SILVER, SD (corresponding author), UNIV CALIF BERKELEY,GRAD SCH BUSINESS ADM,BERKELEY,CA 94720, USA.</t>
  </si>
  <si>
    <t>10.1086/208983</t>
  </si>
  <si>
    <t>SH161</t>
  </si>
  <si>
    <t>WOS:A1984SH16100008</t>
  </si>
  <si>
    <t>Rao, Y; Fang, MJ; Liu, C</t>
  </si>
  <si>
    <t>Rao, Yong; Fang, Meijia; Liu, Chao</t>
  </si>
  <si>
    <t>Understanding the FLE-based organizational knowledge creation process in hospitality firms</t>
  </si>
  <si>
    <t>Organizational knowledge creation in hospitality; Front-line employees? knowledge; Triggering knowledge activities; Knowledge transformation; Knowledge management</t>
  </si>
  <si>
    <t>SERVICE-DOMINANT LOGIC; INDIVIDUAL ATTITUDES; INNOVATIVE BEHAVIOR; EMPIRICAL-ANALYSIS; MANAGEMENT; TOURISM; INDUSTRY; EMPLOYEES; PERFORMANCE; ORIENTATION</t>
  </si>
  <si>
    <t>This study explores how front-line employees' (FLE) knowledge is stepwise transformed into a hotel's organi-zational knowledge. It combines insights from organizational knowledge creation theory with empirical evidence from three Chinese five-star hotels. Qualitative data were collected through semi-structured interviews and reading archives, and analyzed using thematic analysis. We develop a novel framework comprising three types of FLEs' knowledge activities-knowledge demonstration (KD), knowledge justification (KJ), and knowledge re-contextualization (KRC)-which can routinely trigger the hotel's bottom-up organizational knowledge creation process. We also explain how FLEs' KD/KJ/KRC activities facilitate the hotel's organizational knowledge crea-tion practices by examining changes in the new knowledge's scope of application and the participant structure of knowledge-related interactions induced by these activities. This study contributes to knowledge management research in hospitality by proposing a new perspective that encompasses FLEs' knowledge activities and the concomitant knowledge transformation that occurs in hotels.</t>
  </si>
  <si>
    <t>[Rao, Yong; Fang, Meijia] Sun Yat Sen Univ, Sch Tourism Management, Guangzhou, Peoples R China; [Liu, Chao] Macau Univ Sci &amp; Technol, Fac Hospitality &amp; Tourism Management, Macau, Peoples R China; [Rao, Yong] Sun Yat sen Univ, Ctr Tourism Leisure &amp; Social Dev, Guangzhou, Peoples R China; [Liu, Chao] Macau Univ Sci &amp; Technol, Building O, O31, Taipa, Macao, Peoples R China</t>
  </si>
  <si>
    <t>Sun Yat Sen University; Macau University of Science &amp; Technology; Sun Yat Sen University; Macau University of Science &amp; Technology</t>
  </si>
  <si>
    <t>Liu, C (corresponding author), Macau Univ Sci &amp; Technol, Fac Hospitality &amp; Tourism Management, Macau, Peoples R China.;Liu, C (corresponding author), Macau Univ Sci &amp; Technol, Building O, O31, Taipa, Macao, Peoples R China.</t>
  </si>
  <si>
    <t>chao.liu.china@qq.com</t>
  </si>
  <si>
    <t>10.1016/j.tourman.2022.104660</t>
  </si>
  <si>
    <t>5F7FE</t>
  </si>
  <si>
    <t>WOS:000866476800002</t>
  </si>
  <si>
    <t>Qing, M; Zhang, JH</t>
  </si>
  <si>
    <t>Qing, Miao; Zhang, JinHua</t>
  </si>
  <si>
    <t>The Influence of Participative Leadership on the Voice Behavior of Public Servants</t>
  </si>
  <si>
    <t>public organization; participative leadership; organizational identification; power distance; voice behavior</t>
  </si>
  <si>
    <t>EMPLOYEE VOICE; EMPOWERING LEADERSHIP; ORGANIZATIONAL IDENTIFICATION; TRANSFORMATIONAL LEADERSHIP; SERVICE MOTIVATION; POWER DISTANCE; PSYCHOLOGICAL SAFETY; INNOVATIVE BEHAVIOR; PROHIBITIVE VOICE; JOB-SATISFACTION</t>
  </si>
  <si>
    <t>Determining how to stimulate public employees' voice behaviors has become a critical issue in both theory and practice. This article draws on the theories of participative management, leadership, role theory, and social identity theory and proposes a moderated mediation model to explore the mechanism by which participative leadership shapes public employees' voice behaviors. To test this study's hypotheses, we conduct a three-wave investigation of 739 public tax agency employees in the Yangtze River Delta area of China. The results show that participative leadership significantly predicts employees' voice behaviors by enhancing their organizational identification. Furthermore, power distance moderates the relationship between participative leadership and organizational identification. These findings advance our understanding of how to motivate employees' voice behaviors from the perspective of participative leadership in public organizations.</t>
  </si>
  <si>
    <t>[Qing, Miao; Zhang, JinHua] Zhejiang Univ, Hangzhou, Peoples R China; [Zhang, JinHua] Zhejiang Univ, Sch Publ Affairs, Zijingang Campus,Yuhangtang Rd 866, Hangzhou 310058, Zhejiang Provin, Peoples R China</t>
  </si>
  <si>
    <t>Zhejiang University; Zhejiang University</t>
  </si>
  <si>
    <t>Zhang, JH (corresponding author), Zhejiang Univ, Sch Publ Affairs, Zijingang Campus,Yuhangtang Rd 866, Hangzhou 310058, Zhejiang Provin, Peoples R China.</t>
  </si>
  <si>
    <t>zhangjinhua1@hotmail.com</t>
  </si>
  <si>
    <t>National Social Science Fund of China [21ZD184]</t>
  </si>
  <si>
    <t>The author(s) disclosed receipt of the following financial support for the research, authorship, and/or publication of this article: The authors received National Social Science Fund of China, Grant/Award Number: 21 &amp; ZD184.</t>
  </si>
  <si>
    <t>10.1177/00910260221147692</t>
  </si>
  <si>
    <t>JAN 2023</t>
  </si>
  <si>
    <t>7V0ZE</t>
  </si>
  <si>
    <t>WOS:000912549900001</t>
  </si>
  <si>
    <t>Shafaei, A; Nejati, M</t>
  </si>
  <si>
    <t>Shafaei, Azadeh; Nejati, Mehran</t>
  </si>
  <si>
    <t>Green human resource management and employee innovative behaviour: does inclusive leadership play a role?</t>
  </si>
  <si>
    <t>Green human resource management; Employee innovative behaviour; Inclusive leadership; Job satisfaction</t>
  </si>
  <si>
    <t>CORPORATE SOCIAL-RESPONSIBILITY; MEDIATING ROLE; FIRM PERFORMANCE; JOB-SATISFACTION; WORK BEHAVIOR; ENVIRONMENTAL PERFORMANCE; HRM PRACTICES; HEALTH-CARE; SUSTAINABILITY; SYSTEMS</t>
  </si>
  <si>
    <t>PurposeThis study examines the relationship between green human resource management (green HRM) and employee innovative behaviour. It also investigates the mediating role of job satisfaction to explore the mechanism through which green HRM is related to employee innovative behaviour. Additionally, it examines the moderating role of inclusive leadership to determine the boundary condition of the relationship between green HRM and employee innovative behaviour.Design/methodology/approachThe study used a quantitative research approach using survey and collected 508 responses from full-time employees in Australia.FindingsThe authors have found support for all the hypothesised relationships in the study. Specifically, green HRM is positively related to employee innovative behaviour. This relationship is mediated by job satisfaction and accentuated by inclusive leadership.Originality/valueGreen HRM promotes a green atmosphere in which employees can contribute to a safer and healthier environment. Despite the increasing attention to green HRM in the management literature, little is known about the mechanisms and boundary conditions explaining employees' responses to green HRM.</t>
  </si>
  <si>
    <t>[Shafaei, Azadeh; Nejati, Mehran] Edith Cowan Univ, Sch Business &amp; Law, Perth, Australia; [Shafaei, Azadeh] Edith Cowan Univ, Ctr Work Wellbeing, Perth, Australia; [Nejati, Mehran] Edith Cowan Univ, Ctr People Pl &amp; Planet, Perth, Australia</t>
  </si>
  <si>
    <t>Edith Cowan University; Edith Cowan University; Edith Cowan University</t>
  </si>
  <si>
    <t>Shafaei, A (corresponding author), Edith Cowan Univ, Sch Business &amp; Law, Perth, Australia.;Shafaei, A (corresponding author), Edith Cowan Univ, Ctr Work Wellbeing, Perth, Australia.</t>
  </si>
  <si>
    <t>a.shafaei@ecu.edu.au; m.nejati@ecu.edu.au</t>
  </si>
  <si>
    <t>Shafaei, Azadeh/D-3732-2016</t>
  </si>
  <si>
    <t>Shafaei, Azadeh/0000-0003-3329-6293</t>
  </si>
  <si>
    <t>10.1108/PR-04-2021-0239</t>
  </si>
  <si>
    <t>7O8UK</t>
  </si>
  <si>
    <t>WOS:000908291900001</t>
  </si>
  <si>
    <t>Tomas-Porres, J; Segarra-Blasco, A; Teruel, M</t>
  </si>
  <si>
    <t>Tomas-Porres, Josep; Segarra-Blasco, Agusti; Teruel, Mercedes</t>
  </si>
  <si>
    <t>Export and variability in the innovative status</t>
  </si>
  <si>
    <t>Innovation; Persistence; Export; Learning</t>
  </si>
  <si>
    <t>PRODUCT INNOVATION; PERSISTENCE; FIRMS; DETERMINANTS; PERFORMANCE; INTENSITY; SELECTION; DYNAMICS; TRADE</t>
  </si>
  <si>
    <t>The nature of innovation persistence is still open to debate. In this paper, we attempt to shed some light to the topic by providing a novel analysis of the impact of exporting strategies on changes in innovative status. We derive exhaustive information regarding the innovative behavior of firms using a large sample extracted from the Spanish Technological Innovation Panel. Applying both a multinomial and a random-effects probabilistic approach, we observe that exporting experience is relevant to guarantee stability in innovation activities. However, firms exporting only to the EU are comparatively less persistent than those with a broader geographical range, as nearer and safer markets provide less incentives to innovation activities than engaging in broader commercial ventures.</t>
  </si>
  <si>
    <t>[Tomas-Porres, Josep; Segarra-Blasco, Agusti; Teruel, Mercedes] Univ Rovira &amp; Virgili, Dept Econ GRIT &amp; ECOSOS, Ave Univ 1, Reus 43204, Spain</t>
  </si>
  <si>
    <t>Universitat Rovira i Virgili</t>
  </si>
  <si>
    <t>Tomas-Porres, J (corresponding author), Univ Rovira &amp; Virgili, Dept Econ GRIT &amp; ECOSOS, Ave Univ 1, Reus 43204, Spain.</t>
  </si>
  <si>
    <t>josep.tomas@urv.cat; agusti.segarra@urv.cat; mercedes.teruel@urv.cat</t>
  </si>
  <si>
    <t>Teruel, Mercedes/K-1355-2017</t>
  </si>
  <si>
    <t>Teruel, Mercedes/0000-0002-4104-7679; Segarra, Agusti/0000-0001-6316-3171</t>
  </si>
  <si>
    <t>Universitat Rovira i Virgili [2019PFR-URV-B2-80]; Marti i Franques programme [2021-PMF-PIPF-33]; Consolidated Group of Research [2014-SGR-1395]</t>
  </si>
  <si>
    <t>Universitat Rovira i Virgili; Marti i Franques programme; Consolidated Group of Research</t>
  </si>
  <si>
    <t>We thank the participants of the XXIV Applied Economics Meeting (Palma de Mallorca, 9?10 June 2022). This work received support by Universitat Rovira i Virgili [2019PFR-URV-B2-80], the Marti i Franques programme [2021-PMF-PIPF-33] and the Consolidated Group of Research [2014-SGR-1395]. The usual disclaimers apply.</t>
  </si>
  <si>
    <t>10.1007/s40821-022-00232-1</t>
  </si>
  <si>
    <t>D1GK4</t>
  </si>
  <si>
    <t>WOS:000920116400001</t>
  </si>
  <si>
    <t>Durst, S; Davila, A; Foli, S; Kraus, S; Cheng, CF</t>
  </si>
  <si>
    <t>Durst, Susanne; Davila, Andres; Foli, Samuel; Kraus, Sascha; Cheng, Cheng-Feng</t>
  </si>
  <si>
    <t>Antecedents of technological readiness in times of crises: A comparison between before and during COVID-19</t>
  </si>
  <si>
    <t>Technological readiness; Crisis; Digital self -efficacy; Workforce agility; Innovativeness; Commitment to change</t>
  </si>
  <si>
    <t>ORGANIZATIONAL-CHANGE; INNOVATIVE BEHAVIOR; WORKFORCE AGILITY; PLS-SEM; EMPLOYEES; ADOPTION; IMPACT; MODEL; WORK; EXPLORATION</t>
  </si>
  <si>
    <t>We examine how individual characteristics of employees such as digital self-efficacy, workforce agility, innovativeness, and commitment to change influence technological readiness in different stages of a crisis, i.e., before a crisis and during a crisis. We carried out a fuzzy set qualitative comparative analysis (fsQCA) on data from 2892 employees representing companies across several sectors and countries. Our results show that specific characteristics of employees can be beneficial for reaching technological readiness in organisations before a crisis and during a crisis. Our results, e.g., show that digital self-efficacy has a differential impact on technological readiness prior to a crisis and during a crisis while workforce agility is essential for both phases.</t>
  </si>
  <si>
    <t>[Durst, Susanne; Foli, Samuel] Tallinn Univ Technol, Dept Business Adm, Tallinn, Estonia; [Davila, Andres] ESCE Int Business Sch, F-75015 Paris, France; [Kraus, Sascha] Free Univ Bozen Bolzano, Fac Econ &amp; Management, Piazza Univ 1, I-39100 Bolzano, Italy; [Kraus, Sascha] Univ Johannesburg, Dept Business Management, Johannesburg, South Africa; [Cheng, Cheng-Feng] Natl Taichung Univ Sci &amp; Technol, Taichung, Taiwan</t>
  </si>
  <si>
    <t>Tallinn University of Technology; Free University of Bozen-Bolzano; University of Johannesburg; National Taichung University of Science &amp; Technology</t>
  </si>
  <si>
    <t>Kraus, S (corresponding author), Free Univ Bozen Bolzano, Fac Econ &amp; Management, Piazza Univ 1, I-39100 Bolzano, Italy.</t>
  </si>
  <si>
    <t>susanne.durst@taltech.ee; andres.davila@esce.fr; samuel.foli@taltech.ee; sascha.kraus@zfke.de; chengcf@nutc.edu.tw</t>
  </si>
  <si>
    <t>Durst, Susanne/J-8919-2017; VALDIVIEZO, Andrés AD DAVILA/J-7424-2017</t>
  </si>
  <si>
    <t>Durst, Susanne/0000-0001-8469-2427; VALDIVIEZO, Andrés AD DAVILA/0000-0003-0730-5459; Kraus, Sascha/0000-0003-4886-7482; Foli, Samuel/0000-0003-2938-7344</t>
  </si>
  <si>
    <t>10.1016/j.techsoc.2022.102195</t>
  </si>
  <si>
    <t>8F3OW</t>
  </si>
  <si>
    <t>WOS:000919576900001</t>
  </si>
  <si>
    <t>Karimi, S; Malek, FA; Farani, AY; Liobikiene, G</t>
  </si>
  <si>
    <t>Karimi, Saeid; Malek, Farzaneh Ahmadi; Farani, Ahmad Yaghoubi; Liobikiene, Genovaite</t>
  </si>
  <si>
    <t>The Role of Transformational Leadership in Developing Innovative Work Behaviors: The Mediating Role of Employees' Psychological Capital</t>
  </si>
  <si>
    <t>transformational leadership; psychological capital; innovative work behavior; agriculture expert; Iran</t>
  </si>
  <si>
    <t>CREATIVE SELF-EFFICACY; TRANSACTIONAL LEADERSHIP; PERFORMANCE; IMPACT; OPTIMISM; HOPE; DETERMINANTS; ANTECEDENTS; WORKPLACE; ATTITUDES</t>
  </si>
  <si>
    <t>Despite growing research on the significance of transformational leadership as a key contextual factor that determines innovative behavior, recent studies have not investigated the psychological mechanisms that link transformational leadership to employees' innovative behavior thoroughly. Thus, the main purpose of this study was to examine the mediating role the four dimensions of psychological capital-self-efficacy, hope, resilience, and optimism-play in the relationship between transformational leadership and employees' innovative work behavior. Data from 178 Iranian agriculture experts were collected and analyzed using structural equation modeling. The results indicated that transformational leadership was related to employees' innovative work behavior directly and positively. Furthermore, the results showed that hope and self-efficacy partially mediated the relationship. This study fills a gap in the literature by clarifying the way the dimensions of psychological capital influence transformational leadership's positive relationship to employees' innovative work behavior in the public sector of developing countries. The results imply that to be innovatively effective, organizations need to manage both employees' contextual (transformational leadership) and psychological (psychological capital) resources to enhance their innovative work behavior. The theoretical and practical implications were further discussed.</t>
  </si>
  <si>
    <t>[Karimi, Saeid; Malek, Farzaneh Ahmadi; Farani, Ahmad Yaghoubi] Bu Ali Sina Univ, Dept Agr Extens &amp; Educ, Hamadan 6517833131, Iran; [Liobikiene, Genovaite] Vytautas Magnus Univ Agr Acad, Dept Appl Econ Finance &amp; Accounting, LT-53361 Akademija, Lithuania</t>
  </si>
  <si>
    <t>Bu Ali Sina University; Vytautas Magnus University</t>
  </si>
  <si>
    <t>Karimi, S (corresponding author), Bu Ali Sina Univ, Dept Agr Extens &amp; Educ, Hamadan 6517833131, Iran.;Liobikiene, G (corresponding author), Vytautas Magnus Univ Agr Acad, Dept Appl Econ Finance &amp; Accounting, LT-53361 Akademija, Lithuania.</t>
  </si>
  <si>
    <t>skarimi@basu.ac.ir; genovaite.liobikiene@vdu.lt</t>
  </si>
  <si>
    <t>Liobikiene, Genovaite/0000-0002-9361-2609; Karimi, Saeid/0000-0003-2909-8016</t>
  </si>
  <si>
    <t>10.3390/su15021267</t>
  </si>
  <si>
    <t>7Z7DX</t>
  </si>
  <si>
    <t>WOS:000915716700001</t>
  </si>
  <si>
    <t>Mumford, MD; Fichtel, M; England, S; Newbold, TR</t>
  </si>
  <si>
    <t>Mumford, Michael D.; Fichtel, Mark; England, Samantha; Newbold, Tanner R.</t>
  </si>
  <si>
    <t>Leader Thinking, Follower Thinking: Leader Impacts on Follower Creative Performance</t>
  </si>
  <si>
    <t>ANNUAL REVIEW OF ORGANIZATIONAL PSYCHOLOGY AND ORGANIZATIONAL BEHAVIOR</t>
  </si>
  <si>
    <t>leadership; creativity; innovation; leader thinking skills; leader development</t>
  </si>
  <si>
    <t>RESEARCH-AND-DEVELOPMENT; LINKING TRANSFORMATIONAL LEADERSHIP; PROBLEM-SOLVING SKILLS; EMPLOYEE CREATIVITY; PRODUCT DEVELOPMENT; SELF-EFFICACY; MEDIATING ROLE; INNOVATIVE BEHAVIOR; MENTAL MODELS; TRANSACTIONAL LEADERSHIP</t>
  </si>
  <si>
    <t>Innovation, and the creative thinking that provides the basis for innovation, is of great value for organizations. In this article we describe what is needed for people to think creatively, noting that creative thinking is a complex, albeit voluntary, activity involving performance on certain types of problems. The ways leaders influence peoples' willingness to engage in, and ability to solve, creative problems are then described. Leaders of creative efforts must not only motivate creative work but also actively contribute to creative problem-solving both by engaging followers in creative problem-solving and by establishing the conditions that allow creative problem-solving at the individual, team, and firm levels. The implications of these observations for leader assessment and leader development are discussed.</t>
  </si>
  <si>
    <t>[Mumford, Michael D.; Fichtel, Mark; England, Samantha; Newbold, Tanner R.] Univ Oklahoma, Dept Psychol, Norman, OK 73019 USA</t>
  </si>
  <si>
    <t>University of Oklahoma System; University of Oklahoma - Norman</t>
  </si>
  <si>
    <t>Mumford, MD (corresponding author), Univ Oklahoma, Dept Psychol, Norman, OK 73019 USA.</t>
  </si>
  <si>
    <t>mmumford@ou.edu</t>
  </si>
  <si>
    <t>ANNUAL REVIEWS</t>
  </si>
  <si>
    <t>PALO ALTO</t>
  </si>
  <si>
    <t>4139 EL CAMINO WAY, PO BOX 10139, PALO ALTO, CA 94303-0139 USA</t>
  </si>
  <si>
    <t>2327-0608</t>
  </si>
  <si>
    <t>2327-0616</t>
  </si>
  <si>
    <t>ANNU REV ORGAN PSYCH</t>
  </si>
  <si>
    <t>Annu. Rev. Organ. Psychol. Organ. Behav.</t>
  </si>
  <si>
    <t>10.1146/annurev-orgpsych-120920-045553</t>
  </si>
  <si>
    <t>7Z2XF</t>
  </si>
  <si>
    <t>WOS:000915426900017</t>
  </si>
  <si>
    <t>Ma, QJ; Tang, NY</t>
  </si>
  <si>
    <t>Ma, Qijie; Tang, Ningyu</t>
  </si>
  <si>
    <t>Too much of a good thing: the curvilinear relation between inclusive leadership and team innovative behaviors</t>
  </si>
  <si>
    <t>Inclusive leadership; Team innovative behaviors; Team engagement; Curvilinear relation; TMGT effect; Team demographic diversity</t>
  </si>
  <si>
    <t>WORK ENGAGEMENT; COLLECTIVE EFFICACY; JOB-SATISFACTION; MEMBER EXCHANGE; MODERATING ROLE; MEDIATING ROLE; PERFORMANCE; DIVERSITY; CREATIVITY; MANAGEMENT</t>
  </si>
  <si>
    <t>Previous studies have found that inclusive leadership has positive effects on employees' behavior and performance in individuals and teams. Yet, there remains debate about whether increasing inclusive leadership is always beneficial in teams with high or low diversity. Following social exchange theory and the prior studies which put forward the potential drawbacks of inclusive leadership, we developed and tested a Too-Much-of-a-Good-Thing  (TMGT) model of an inverted U-shaped relation between inclusive leadership and team innovative behaviors. Using time-lagged and multi-source data collected from 65 team supervisors and 364 employees in China, we found an inverted U-shaped relation between inclusive leadership and team engagement, and team engagement mediated the inverted U-shaped relation between inclusive leadership and team innovative behaviors. Furthermore, results showed that team demographic diversity moderated this indirect curvilinear effect. The theoretical and practical implications are discussed at the end of the paper.</t>
  </si>
  <si>
    <t>[Ma, Qijie] Shanghai Jiao Tong Univ, Antai Coll Econ &amp; Management, 1954 Huashan Rd, Shanghai 200030, Peoples R China; [Tang, Ningyu] Shanghai Jiao Tong Univ, Antai Coll Econ &amp; Management, Shanghai, Peoples R China; [Tang, Ningyu] Hainan Univ, Management Sch, Hainan, Peoples R China</t>
  </si>
  <si>
    <t>Shanghai Jiao Tong University; Shanghai Jiao Tong University; Hainan University</t>
  </si>
  <si>
    <t>Tang, NY (corresponding author), Shanghai Jiao Tong Univ, Antai Coll Econ &amp; Management, Shanghai, Peoples R China.;Tang, NY (corresponding author), Hainan Univ, Management Sch, Hainan, Peoples R China.</t>
  </si>
  <si>
    <t>nytang@sjtu.edu.cn</t>
  </si>
  <si>
    <t>National Natural Science Foundation of China [71672114, 72072116]</t>
  </si>
  <si>
    <t>This study was funded by the National Natural Science Foundation of China under Grant [71672114] and Grant [72072116].</t>
  </si>
  <si>
    <t>10.1007/s10490-022-09862-5</t>
  </si>
  <si>
    <t>DEC 2022</t>
  </si>
  <si>
    <t>7B9DI</t>
  </si>
  <si>
    <t>WOS:000899425300001</t>
  </si>
  <si>
    <t>Wang, H; Chen, XS; Xie, MX</t>
  </si>
  <si>
    <t>Wang, Hui; Chen, Xueshuang; Xie, Mingxing</t>
  </si>
  <si>
    <t>Employee innovative behavior and workplace wellbeing: Leader support for innovation and coworker ostracism as mediators</t>
  </si>
  <si>
    <t>employee innovative behavior; workplace wellbeing; coworker ostracism; leader support for innovation; dual mediating model</t>
  </si>
  <si>
    <t>PERCEIVED ORGANIZATIONAL SUPPORT; JOB-PERFORMANCE; INDIVIDUAL INNOVATION; MEMBER EXCHANGE; MODERATING ROLE; WORK BEHAVIOR; DARK SIDE; CREATIVITY; MODEL; RESISTANCE</t>
  </si>
  <si>
    <t>IntroductionMost previous studies focused on the antecedents of employee innovative behavior but rarely examined the outcomes of employee innovative behavior. Moreover, previous studies ignored the relationship between employee innovative behavior and workplace wellbeing. Based on social comparison theory and social exchange theory, this study introduces coworker ostracism and leader support for innovation as mediating variables to explore the double-edged sword effect of employee innovative behavior on workplace wellbeing. MethodsBased on a sample of 319 employees from Chinese companies, this study used SPSS 26.0 and MPLUS 8.3 to examine the hypotheses. ResultsEmpirical results demonstrate that (a) employee innovative behavior is directly and positively related to workplace wellbeing, (b) employee innovative behavior is indirectly and positively related to workplace wellbeing through leader support for innovation, and (c) the negative association between employee innovative behavior and workplace wellbeing via coworker ostracism is unsupported. DiscussionThe findings of this study enrich the literature by exploring the double-edged sword effect of employee innovative behavior on workplace wellbeing. The practical implications of this study are that leaders in organizations should give employees innovation support.</t>
  </si>
  <si>
    <t>[Wang, Hui; Chen, Xueshuang] Xiangtan Univ, Business Sch, Xiangtan, Peoples R China; [Wang, Hui] Xiangtan Univ, Sch Publ Adm, Xiangtan, Peoples R China; [Xie, Mingxing] Shanghai Univ Finance &amp; Econ, Sch Humanity, Shanghai, Peoples R China</t>
  </si>
  <si>
    <t>Xiangtan University; Xiangtan University; Shanghai University of Finance &amp; Economics</t>
  </si>
  <si>
    <t>Wang, H (corresponding author), Xiangtan Univ, Business Sch, Xiangtan, Peoples R China.;Wang, H (corresponding author), Xiangtan Univ, Sch Publ Adm, Xiangtan, Peoples R China.</t>
  </si>
  <si>
    <t>wh19690525@163.com</t>
  </si>
  <si>
    <t>NOV 29</t>
  </si>
  <si>
    <t>10.3389/fpsyg.2022.1014195</t>
  </si>
  <si>
    <t>6Z5TC</t>
  </si>
  <si>
    <t>WOS:000897837800001</t>
  </si>
  <si>
    <t>Dai, YP; Zhuo, XZ; Hou, J; Lyu, B</t>
  </si>
  <si>
    <t>Dai, Yuping; Zhuo, Xiangzhi; Hou, Jie; Lyu, Bei</t>
  </si>
  <si>
    <t>Is not workplace gossip bad? The effect of positive workplace gossip on employee innovative behavior</t>
  </si>
  <si>
    <t>positive workplace gossip; employees' innovative behavior; employee loyalty; organizational trust; Chinese context</t>
  </si>
  <si>
    <t>ORGANIZATIONAL TRUST; INTERPERSONAL-TRUST; SATISFACTION; PERSPECTIVE; PERFORMANCE; EXCHANGE; TURNOVER; SYSTEMS; LOYALTY; MODEL</t>
  </si>
  <si>
    <t>PurposeThe purpose of this study is to examine the role of positive workplace gossip (PWG) in employee innovative behavior, whereby a mediating effect of employee loyalty is proposed in this relationship. The moderating effect of organizational trust (OT) is also examined on the indirect of PWG on employee innovative behavior through employee loyalty. Design/methodology/approachThis research used a survey data of 327 employees from the enterprises selected from the Pearl River and Yangtze River Delta region of China. Based on the literature review, five main hypotheses were formulated and explored. The SPSS-Process Macro Plugin was used to analyze the hypothesized model. FindingsResults show there is a positive and significant relationship between PWG and employee innovative behavior. This study also confirm that employee loyalty is an intervening variable and OT as a moderator. Practical implicationsOrganizations should pay more attention to workplace gossip phenomena, encourage employees to take appropriate part in positive workplace gossip and to communicate positive information about other colleagues, and build an inclusive, open, sincere, and interdependent platform in the organization. Originality/valueEmployee innovative behavior plays an essential role in organization's survival and development. Few studies have investigated PWG may promote employee innovative behavior through employee loyalty. The data, model, and findings of this research address the gap and complement the current state of knowledge.</t>
  </si>
  <si>
    <t>[Dai, Yuping] City Univ Macau, Fac Business, Macau, Peoples R China; [Zhuo, Xiangzhi; Lyu, Bei] Huaibei Normal Univ, Sch Econ &amp; Management, Huaibei, Anhui, Peoples R China; [Hou, Jie] Huaibei Normal Univ, Sch Foreign Languages, Huaibei, Anhui, Peoples R China; [Lyu, Bei] Panyapiwat Inst Management, Chinese Grad Sch, Nonthaburi, Thailand</t>
  </si>
  <si>
    <t>City University of Macau; Huaibei Normal University; Huaibei Normal University</t>
  </si>
  <si>
    <t>Lyu, B (corresponding author), Huaibei Normal Univ, Sch Econ &amp; Management, Huaibei, Anhui, Peoples R China.;Lyu, B (corresponding author), Panyapiwat Inst Management, Chinese Grad Sch, Nonthaburi, Thailand.</t>
  </si>
  <si>
    <t>Lyu, Bei/AAE-1496-2020</t>
  </si>
  <si>
    <t>Lyu, Bei/0000-0001-7023-6009</t>
  </si>
  <si>
    <t>NOV 24</t>
  </si>
  <si>
    <t>10.3389/fpsyg.2022.1017202</t>
  </si>
  <si>
    <t>6T5UL</t>
  </si>
  <si>
    <t>WOS:000893745100001</t>
  </si>
  <si>
    <t>Durrah, O</t>
  </si>
  <si>
    <t>Durrah, Omar</t>
  </si>
  <si>
    <t>Do we need friendship in the workplace? The effect on innovative behavior and mediating role of psychological safety</t>
  </si>
  <si>
    <t>Workplace friendship; Friendship opportunity; Friendship prevalence; Innovative behavior; Psychological safety; Oman</t>
  </si>
  <si>
    <t>TRANSFORMATIONAL LEADERSHIP; KNOWLEDGE CREATION; JOB-SATISFACTION; SELF-EFFICACY; METHOD BIAS; WORK; EXCHANGE; PERFORMANCE; QUALITY; ORGANIZATIONS</t>
  </si>
  <si>
    <t>Employees spend a huge time of their lives at work. As a result, friendships are often formed between individuals in the workplace. Workplace friendship is a fundamental value of human nature. Forming friendships in the workplace is vital to increase satisfaction and engagement at work. The present study proposes and tests a theoretical framework to explore the workplace friendship mechanisms and their impact on the innovative behavior of employees in the Omani service sector, and to clarify the mediating role of psychological safety. The data was gathered from the employees of private service sector in Oman. An online questionnaire form was distributed to the participants and 405 valid questionnaires were analyzed by SmartPLS software using structural equation modeling. The results indicated that workplace friendship aspects namely, friendship opportunity and friendship prevalence positively affected innovative behavior. Furthermore, friendship prevalence was positively correlated in relation to psychological safety. However, psychological safety did not have a mediating role between workplace friendship and innovative behavior. The findings are meaningful for the academic research and also give some practical suggestions for managers from a new viewpoint for the evaluation of workplace friendship in the context of the service sector, in order to achieve psychological safety, and to promote the innovative behavior of employees in this sector.</t>
  </si>
  <si>
    <t>[Durrah, Omar] Dhofar Univ, Coll Commerce &amp; Business Adm, Dept Management, Salalah, Oman</t>
  </si>
  <si>
    <t>Dhofar University</t>
  </si>
  <si>
    <t>Durrah, O (corresponding author), Dhofar Univ, Coll Commerce &amp; Business Adm, Dept Management, Salalah, Oman.</t>
  </si>
  <si>
    <t>odurrah@du.edu.om</t>
  </si>
  <si>
    <t>Durrah, Omar/0000-0002-8923-9450</t>
  </si>
  <si>
    <t>10.1007/s12144-022-03949-4</t>
  </si>
  <si>
    <t>NOV 2022</t>
  </si>
  <si>
    <t>6A3OE</t>
  </si>
  <si>
    <t>WOS:000880566100014</t>
  </si>
  <si>
    <t>Akkoc, I; Ture, A; Arun, K; Okun, O</t>
  </si>
  <si>
    <t>Akkoc, Irfan; Ture, Aysun; Arun, Korhan; Okun, Olcay</t>
  </si>
  <si>
    <t>Mediator effects of psychological empowerment between ethical climate and innovative culture on performance and innovation in nurses</t>
  </si>
  <si>
    <t>ethical climate; innovative behaviour; innovative culture; job performance; nurses; psychological empowerment</t>
  </si>
  <si>
    <t>JOB-PERFORMANCE; CITIZENSHIP; WORKPLACE</t>
  </si>
  <si>
    <t>Aims This study investigates the effects of ethical climate and innovative culture on the hospital nurses' job performance and innovative behaviour with the mediating factor of psychological empowerment. Background Hospital nurses have an opportunity to embrace innovative behaviours and increase their performance through a positive ethical climate and innovative culture. Understanding nurses' psychological empowerment in the workspace context that impacts innovation has not been a focus for hospital leadership. Methods A cross-sectional study based on a questionnaire design was used for data collection and analysis. The data are collected through a voluntary survey-selected by a convenience sampling method-of 393 nurses from University Hospital. The Structural Equation Model and Bootstrap method test the study's hypotheses. A STROBE checklist was used for reporting. Results Ethical climate and innovative culture predict job performance and innovative behaviour with the mediating role of psychological empowerment. Moreover, psychological empowerment decreases the predictive power of ethical climate and innovative culture separately but increases the nurses' job performance and innovative culture. Conclusions Ethical climate and innovative culture significantly positively affect job performance and innovative behaviour. Additionally, the mediating effect of psychological empowerment increases job performance and innovative behaviour more than the effects of ethical climate and innovative culture. Implications for Nursing Management Nurses need to be prepared to practice safely, accurately and compassionately by translating moral values into rules of the nursing profession, where innovation increases at an astonishing rate. Nurse leaders and hospital managers should establish ethical norms as the consensus of ultimate criteria of validity of the rational analysis of tasks or particular nursing practice concepts, with an innovative culture by empowering nurses exceedingly in their workplace.</t>
  </si>
  <si>
    <t>[Akkoc, Irfan] Izmir Tinaztepe Univ, Fac Hlth Sci, Izmir, Turkey; [Ture, Aysun] Eskisehir Osmangazi Univ, Fac Hlth Sci, Dept Nursing Management, Eskisehir, Turkey; [Arun, Korhan] Tekirdag Namik Kemal Univ, Fac Econ &amp; Adm Sci, Tekirdag, Turkey; [Okun, Olcay] Milli Savunma Univ, Org Behav, Ankara, Turkey</t>
  </si>
  <si>
    <t>Izmir Tinaztepe University; Eskisehir Osmangazi University; Namik Kemal University</t>
  </si>
  <si>
    <t>Arun, K (corresponding author), Tekirdag Namik Kemal Univ, Fac Econ &amp; Adm Sci, Tekirdag, Turkey.</t>
  </si>
  <si>
    <t>korhanarun@gmail.com</t>
  </si>
  <si>
    <t>AKKOÇ, İrfan/HPE-4677-2023; ARUN, KORHAN/I-4209-2019; okun, olcay/AAW-9561-2020</t>
  </si>
  <si>
    <t>ARUN, KORHAN/0000-0001-7494-9591; okun, olcay/0000-0002-7096-5794</t>
  </si>
  <si>
    <t>10.1111/jonm.13849</t>
  </si>
  <si>
    <t>OCT 2022</t>
  </si>
  <si>
    <t>7C2IJ</t>
  </si>
  <si>
    <t>WOS:000871424500001</t>
  </si>
  <si>
    <t>Mehta, AK; Thanki, H; Panda, R; Trivedi, P</t>
  </si>
  <si>
    <t>Mehta, Anushree Karani; Thanki, Heena; Panda, Rasananda; Trivedi, Payal</t>
  </si>
  <si>
    <t>Exploring the psychological contract during new normal: construction and validation of the revised psychological contract scale</t>
  </si>
  <si>
    <t>Psychological contract; Psychological contract fulfillment; breach; Scale development; Scale validation; New normal; Covid-19</t>
  </si>
  <si>
    <t>PERCEIVED ORGANIZATIONAL SUPPORT; LEADER-MEMBER EXCHANGE; MEDIATING ROLE; SUPERVISOR SUPPORT; SOCIAL-EXCHANGE; CITIZENSHIP BEHAVIOR; LIFE SATISFACTION; KNOWLEDGE WORKERS; JOB-SATISFACTION; BREACH</t>
  </si>
  <si>
    <t>Purpose The study aims to explore and validate the revised psychological contract scale in this new normal era. Design/methodology/approach To serve the purpose, four studies were conducted. Study 1 was conducted for item generation through the extant literature review and phenomenological study. Study 2 highlighted the expert review. Study 3 explained the confirmatory factor analysis. At the end of study 3, the new psychological contract content had 14 items along with 15 traditional psychological contract content items. The nomological study validated the scale with the help of antecedent, i.e. supervisor's support, and outcomes, i.e. well-being and innovative behavior. Findings The revised psychological contract was bifurcated into two categories: new and traditional. Further, the revised psychological contract scale was having two dimensions: content and breach/fulfillment. The new content was the outcome of changes in perceived obligations due to pandemic. The nomological study found that supervisor support had a positive impact on the content of the psychological contract and fulfillment/breach of the psychological contract. Further, it was found that the new content of psychological contract was impacting more on well-being and innovative behavior than the traditional psychological contract. Research limitations/implications In the new normal era, the working style and patterns have changed. Thus, it was important to capture changes in perceived obligations and employees' perception regarding to which extent their organizations were able to meet these altered perceived obligations. The study has direct implications for the practitioners as the revised psychological contract scale enlisted the perceived obligations of the employee and the extent to which these obligations were fulfilled by the employer. The study is also helpful in developing new normal HR policies and practices in the organization. Originality/value The study is original as it creates a new scale to measure the content of psychological contract and fulfillment/breach of psychological contract during new normal.</t>
  </si>
  <si>
    <t>[Mehta, Anushree Karani; Thanki, Heena] Shri Jairambhai Patel Inst Business Management &amp;, Gandhinagar, India; [Panda, Rasananda] MICA Sch Ideas, Ahmadabad, Gujarat, India; [Trivedi, Payal] NMIMS Deemed Univ, Mumbai Campus, Mumbai, Maharashtra, India</t>
  </si>
  <si>
    <t>MICA; SVKM's NMIMS (Deemed to be University)</t>
  </si>
  <si>
    <t>Mehta, AK (corresponding author), Shri Jairambhai Patel Inst Business Management &amp;, Gandhinagar, India.</t>
  </si>
  <si>
    <t>anushree.karani@gmail.com</t>
  </si>
  <si>
    <t>10.1108/IJM-05-2022-0201</t>
  </si>
  <si>
    <t>SEP 2022</t>
  </si>
  <si>
    <t>4W0DI</t>
  </si>
  <si>
    <t>WOS:000859838000001</t>
  </si>
  <si>
    <t>Xu, H; Jin, H; Li, H</t>
  </si>
  <si>
    <t>Xu, Hu; Jin, Hui; Li, Hui</t>
  </si>
  <si>
    <t>The Relationship between Leaders' Long-Term Orientation and Employees' Innovative Behaviors</t>
  </si>
  <si>
    <t>CEO TEMPORAL FOCUS; TEAM PERFORMANCE; EPISODIC FORESIGHT; REGULATORY FOCUS; MODERATING ROLE; WORK BEHAVIOR; CREATIVITY; TIME; CHALLENGE; ORGANIZATIONS</t>
  </si>
  <si>
    <t>Plain Language Summary This study demonstrates the importance of a comprehensive and dialectical view of leaders' long-term orientation to enterprises and leaders. First, leaders' long-term orientation is a positive leadership factor that drives employee innovation overall. Therefore, to obtain long-term development, companies should encourage their leaders to establish a broader time horizon. Thus, when leaders use long-term orientation to guide their work and subordinates, enterprises and leaders should foster strengths and circumvent weaknesses through various means. Second, findings of this study on leaders' long-term orientation and the indirect relationship with employees' innovative behaviors via employees' challenge and threat appraisals caution enterprises of the challenges and obstacles inherent to leaders' long-term orientation and offer suggestions on how to use them to their advantage. In summary, this study attempts to guide companies and leaders on how to maximize the positive effects of leaders' long-term orientation. Considering the real-world dilemma of leaders' high long-term orientation and employees' insufficient innovative behaviors in practice, this study systematically explored the relationship between leaders' long-term orientation and employees' innovative behaviors using challenge and threat appraisals as the mediating variables and promotion focus as the moderating variable. An empirical analysis was performed on 348 two-stage leader-employee matching questionnaires collected from emerging industries in China. Leaders' long-term orientation was positively related to employees' innovative behaviors overall, and had positive and negative indirect relationships with employees' innovative behaviors via employees' challenge and threat appraisals, respectively. Employees' promotion focus positively moderated the relationship between leaders' long-term orientation and employees' challenge appraisal, negatively moderated the relationship between leaders' long-term orientation and employees' threat appraisals, and further moderated the mediating role of challenge or threat appraisal in the relationship between leaders' long-term orientation and employees' innovative behaviors. This study revealed the relationship between leaders' long-term orientation on employees' innovative behaviors and its boundaries. It expands theoretical research on leaders' long-term orientation and employees' innovative behaviors.</t>
  </si>
  <si>
    <t>[Xu, Hu; Jin, Hui] Jiangsu Univ Sci &amp; Technol, Zhenjiang, Jiangsu, Peoples R China; [Li, Hui] Nanjing Tech Univ, Nanjing, Peoples R China</t>
  </si>
  <si>
    <t>Jiangsu University of Science &amp; Technology; Nanjing Tech University</t>
  </si>
  <si>
    <t>Xu, H (corresponding author), Jiangsu Univ Sci &amp; Technol, Sch Econ &amp; Management, Changhui Rd, Zhenjiang, Jiangsu, Peoples R China.</t>
  </si>
  <si>
    <t>2692886415@qq.com</t>
  </si>
  <si>
    <t>National Social Science Foundation of China [18BGL135]; Research Innovation Program for Postgraduate Students of Jiangsu Province [KYCX21_3432]</t>
  </si>
  <si>
    <t>National Social Science Foundation of China; Research Innovation Program for Postgraduate Students of Jiangsu Province</t>
  </si>
  <si>
    <t>This study was supported by the grants from the National Social Science Foundation of China (18BGL135) and the Research Innovation Program for Postgraduate Students of Jiangsu Province (KYCX21_3432).</t>
  </si>
  <si>
    <t>10.1080/10400419.2022.2124357</t>
  </si>
  <si>
    <t>4Y1SA</t>
  </si>
  <si>
    <t>WOS:000861310900001</t>
  </si>
  <si>
    <t>Walter, CE; Au-Yong-Oliveira, M</t>
  </si>
  <si>
    <t>Walter, Cicero Eduardo; Au-Yong-Oliveira, Manuel</t>
  </si>
  <si>
    <t>An exploratory study on the barriers to innovative behavior: the spiteful effect of envy</t>
  </si>
  <si>
    <t>Envy; Ostracism; Anti-innovative behavior; Counterproductive behaviors; Employee turnover</t>
  </si>
  <si>
    <t>LEADER-MEMBER EXCHANGE; WORKPLACE OSTRACISM; JOB-PERFORMANCE; MODERATING ROLE; TRANSFORMATIONAL LEADERSHIP; WORK BEHAVIOR; EMPLOYEES; MODEL; DETERMINANTS; CLIMATE</t>
  </si>
  <si>
    <t>Purpose The present investigation aimed to evaluate the influence of envy on the predisposition to innovative behavior, starting from a conceptual model that considers not only the direct influence of envy but its indirect influence through ostracism and alignment with the negative behaviors of superiors. Design/methodology/approach Using a survey applied to 168 individuals, a conceptual model was developed based on the relationship ignored in the literature between envy and innovative behavior. The model was validated using the multivariate statistical technique of structural equation modeling with partial least squares estimation (Partial least squares structural equation modeling [PLS-SEM]). Findings The results of the study suggest that envy not only has a direct positive influence on alignment with negative boss behaviors and ostracism, but also an indirect influence on ostracism mediated by alignment with negative boss behaviors. Another important result of the present investigation refers to the negative effect of envy on the predisposition to innovative behavior. The results suggest that the greater the envy, the lower the innovative behavior. Practical implications This research provides evidence that envy can act as a barrier to innovation by triggering counterproductive behaviors such as ostracism and a decrease in predisposition to innovative behaviors, either due to innovative individuals prematurely exiting the organization or due to them lessening/dampening their innovativeness to avoid the negative consequences. Given this scenario, it becomes necessary to increase managerial awareness on the subject to manage negative emotions to promote the conditions for organizational innovation. Originality/value The present research contributes in both practical and theoretical ways to understanding the effects of envy on the predisposition to innovative behavior. Adding to this, this research represents a conceptual advance by linking envy to innovative behavior, providing a promising avenue for extending the psychological relevance of the envy construct to organizational and management studies, which are generally positive, normative and outcome-oriented.</t>
  </si>
  <si>
    <t>[Walter, Cicero Eduardo] Fed Inst Educ Sci &amp; Technol Piaui, Teresina, Brazil; [Walter, Cicero Eduardo; Au-Yong-Oliveira, Manuel] Univ Aveiro, Dept Econ Management Ind Engn &amp; Tourism, GOVCOPP Res Unit Governance Competitiveness &amp; Pub, Aveiro, Portugal; [Au-Yong-Oliveira, Manuel] INESC TEC Inst Syst &amp; Comp Engn Technol &amp; Sci, Porto, Portugal</t>
  </si>
  <si>
    <t>Universidade de Aveiro; INESC TEC</t>
  </si>
  <si>
    <t>Walter, CE (corresponding author), Fed Inst Educ Sci &amp; Technol Piaui, Teresina, Brazil.;Walter, CE (corresponding author), Univ Aveiro, Dept Econ Management Ind Engn &amp; Tourism, GOVCOPP Res Unit Governance Competitiveness &amp; Pub, Aveiro, Portugal.</t>
  </si>
  <si>
    <t>eduardowalter@ifpi.edu.br</t>
  </si>
  <si>
    <t>Walter, Cicero Eduardo/0000-0002-5783-6613; Au-Yong-Oliveira, Manuel/0000-0002-2154-6171</t>
  </si>
  <si>
    <t>10.1108/JOCM-02-2022-0034</t>
  </si>
  <si>
    <t>5T2WK</t>
  </si>
  <si>
    <t>WOS:000858056100001</t>
  </si>
  <si>
    <t>Mustafa, MJ; Hughes, M; Ramos, HM</t>
  </si>
  <si>
    <t>Mustafa, Michael James; Hughes, Mathew; Ramos, Hazel Melanie</t>
  </si>
  <si>
    <t>Middle-managers' innovative behavior: the roles of psychological empowerment and personal initiative</t>
  </si>
  <si>
    <t>Psychological empowerment; middle managers; innovative behaviour; personal initiative; empowerment</t>
  </si>
  <si>
    <t>HUMAN-RESOURCE MANAGEMENT; WORK BEHAVIOR; DIMENSIONAL ANALYSIS; CREATIVE PROCESS; MEDIATING ROLE; SELF-EFFICACY; MODEL; ANTECEDENTS; LEADERSHIP; WORKPLACE</t>
  </si>
  <si>
    <t>Middle-managers are vital catalysts for organizational innovation, acting as a bridge between organizational strategy and goals set by senior-managers and the actions of lower-level employees. Their proactive motivation to engage in innovative work behavior is therefore central to organizational endeavor. However, the innovation literature is replete with studies focusing solely on organizational-level determinants of middle-managers' innovative behavior while the HRM literature focuses predominantly on the experiences of lower-level employees. Little is known about the psychological factors and processes which give rise to middle-managers innovative work behavior. Drawing on the proactive motivation model, this study examines whether middle-managers' personal initiative mediates the relationship between the four dimensions of their psychological empowerment and their innovative work behaviors. Drawing on a sample of 110 middle-manager-supervisor dyads, our study highlights personal initiative as the mechanism through which psychological empowerment influences innovative work behaviors. Our work further informs the HR literature about how HR practices and systems may be used to foster middle manager proactivity in the workplace. In total, our study seeks to take a step towards reducing the dearth in knowledge on the psychological determinants of middle-managers' innovative work behaviors.</t>
  </si>
  <si>
    <t>[Hughes, Mathew] Loughborough Univ, Sch Business &amp; Econ, Loughborough, Leics, England; [Mustafa, Michael James; Ramos, Hazel Melanie] Univ Nottingham Malaysia, Div Org &amp; Appl Psychol, Semenyih, Malaysia</t>
  </si>
  <si>
    <t>Loughborough University; University of Nottingham Malaysia</t>
  </si>
  <si>
    <t>Mustafa, MJ (corresponding author), Univ Nottingham Malaysia, Div Org &amp; Appl Psychol, Semenyih, Malaysia.</t>
  </si>
  <si>
    <t>Michael.mustafa@nottingham.edu.my</t>
  </si>
  <si>
    <t>mustafa, michael/0000-0003-3804-2532; Hughes, Mathew/0000-0001-6859-558X</t>
  </si>
  <si>
    <t>10.1080/09585192.2022.2126946</t>
  </si>
  <si>
    <t>4W3FP</t>
  </si>
  <si>
    <t>WOS:000860052000001</t>
  </si>
  <si>
    <t>van Assen, MF; Caniels, MCJ</t>
  </si>
  <si>
    <t>van Assen, Marcel F.; Caniels, Marjolein C. J.</t>
  </si>
  <si>
    <t>Economic and social LMX and innovative work behaviour: the moderating effect of paradox mindset</t>
  </si>
  <si>
    <t>Social and economic leader-member exchange; Paradox mindset; Innovative work behaviour</t>
  </si>
  <si>
    <t>LEADER-MEMBER EXCHANGE; TRANSFORMATIONAL LEADERSHIP; CREATIVE BEHAVIOR; MANAGEMENT; AMBIDEXTERITY; ANTECEDENTS; EXPLORATION; QUALITY; MODEL; DIFFERENTIATION</t>
  </si>
  <si>
    <t>Purpose In this study the authors investigate the relationship of both social (SLMX) and economic (ELMX) leader-member exchange with innovative work behaviour (IWB) and the potential moderating effect of having a paradox mindset. A paradox mindset facilitates the recognition of tensions and the integration of competing demands and goals, which may fuel IWB. Design/methodology/approach At two points in time the authors gathered survey data from employees working in the mid and back office of a Dutch bank. Findings SLMX associates with innovative behaviour, whilst ELMX does not. However, when paradox mindset is included as a moderator, the authors find negative interaction effects of paradox mindset with both ELMX and SLMX. Practical implications The findings indicate that management should be aware of the impact that having a paradox mindset has on the innovative work behaviour of employees. Managers are well advised to assess the extent to which an employee entertains a paradox mindset and adjust the type of leadership appropriate to the situation, and in particular adjust the intensity of their exchange relationship with these employees. Originality/value Paradox mindset acts as a substitute for an employee's social relationship with the leader, as paradox mindset captures most of the variation in IWB, thereby drawing influence away from SLMX. This finding complements studies showing that a person's mindset can greatly influence innovative work behaviour.</t>
  </si>
  <si>
    <t>[van Assen, Marcel F.] Tilburg Univ, Sch Business &amp; Soc, TIAS, Tilburg, Netherlands; [Caniels, Marjolein C. J.] Open Univ, Fac Management, Heerlen, Netherlands</t>
  </si>
  <si>
    <t>Tilburg University; Open University Netherlands</t>
  </si>
  <si>
    <t>van Assen, MF (corresponding author), Tilburg Univ, Sch Business &amp; Soc, TIAS, Tilburg, Netherlands.</t>
  </si>
  <si>
    <t>m.vanassen@tias.edu</t>
  </si>
  <si>
    <t>Raharisoa, Emérancia/HOH-8694-2023</t>
  </si>
  <si>
    <t>Caniels, Marjolein/0000-0002-4206-4083</t>
  </si>
  <si>
    <t>KLM (Royal Dutch Airlines)</t>
  </si>
  <si>
    <t>Funding: Prof. Van Assen's chair was funded by KLM (Royal Dutch Airlines).</t>
  </si>
  <si>
    <t>SEP 20</t>
  </si>
  <si>
    <t>10.1108/EJIM-05-2022-0234</t>
  </si>
  <si>
    <t>4Z1PT</t>
  </si>
  <si>
    <t>WOS:000861989800001</t>
  </si>
  <si>
    <t>Oh, SY; Lee, J</t>
  </si>
  <si>
    <t>Oh, Seok-Young; Lee, Jinhee</t>
  </si>
  <si>
    <t>Knowledge acquisitions and group reflexivity for innovative behaviours of SME workers: the moderating role of learning climates</t>
  </si>
  <si>
    <t>Tacit knowledge; group reflexivity; innovative behaviour; learning climate; small and medium-sized enterprises</t>
  </si>
  <si>
    <t>ORGANIZATIONAL KNOWLEDGE; TEAM; PERFORMANCE; MANAGEMENT; STRATEGY; DETERMINANTS; EXPLOITATION; PRODUCTIVITY; REFLECTIONS; EXPLORATION</t>
  </si>
  <si>
    <t>This study investigates explicit and tacit knowledge acquisition influences on group reflexivity and innovation behaviour in small and medium-sized enterprises (SMEs) and examines how relationships are moderated according to learning climate types, for example, structured or autonomous. This study provides a strategic view on how to link group reflexivity to innovative behaviour, according to learning climate types in SME contexts. Data were derived from participants employed in SMEs, enrolled in the Human Resource Development Council, and registered as panel informants of Korea research. In the hypotheses model, 335 responses were analysed, and group comparison analysis between structured and autonomous learning climates extracted 162 and 155 responses, respectively. The results show that tacit knowledge acquisition relates more highly than explicit knowledge to all relationships in promoting group reflexivity and innovative behaviours. Mediation effects strengthen under autonomous learning climates and disappear under structured learning climates.</t>
  </si>
  <si>
    <t>[Oh, Seok-Young; Lee, Jinhee] Yonsei Univ, Dept Educ, 50 Yonsei Ro, Seoul 03722, South Korea</t>
  </si>
  <si>
    <t>Oh, SY (corresponding author), Yonsei Univ, Dept Educ, 50 Yonsei Ro, Seoul 03722, South Korea.</t>
  </si>
  <si>
    <t>syoh@yonsei.ac.kr</t>
  </si>
  <si>
    <t>Yonsei University Research Grant</t>
  </si>
  <si>
    <t>This work was supported by the Yonsei University Research Grant of 2021.</t>
  </si>
  <si>
    <t>10.1080/14778238.2022.2113346</t>
  </si>
  <si>
    <t>AUG 2022</t>
  </si>
  <si>
    <t>3Z0AD</t>
  </si>
  <si>
    <t>WOS:000844082800001</t>
  </si>
  <si>
    <t>Zhang, GN; Zhang, XX; Wang, YY</t>
  </si>
  <si>
    <t>Zhang, Guangning; Zhang, Xinxin; Wang, Yingying</t>
  </si>
  <si>
    <t>Perceived insider status and employees' innovative behavior: the role of knowledge sharing and organizational innovation climate</t>
  </si>
  <si>
    <t>Perceived insider status; Employees' innovative behavior; Knowledge sharing; Organizational innovation climate</t>
  </si>
  <si>
    <t>MODERATING ROLE; GOAL ORIENTATIONS; INDIVIDUAL INNOVATION; MEDIATING ROLE; TRANSFORMATIONAL LEADERSHIP; CREATIVE CLIMATE; TACIT KNOWLEDGE; WORK BEHAVIOR; PERFORMANCE; MANAGEMENT</t>
  </si>
  <si>
    <t>Purpose This study aims to investigate the effect of perceived insider status to employees' innovative behavior, the mediating role of knowledge sharing and the moderating role of organizational innovation climate in the relationship between knowledge sharing and employees' innovative behavior. Design/methodology/approach This study adopted questionnaires to gather data. The sample of 341 employees working in diverse organizations in China was applied to examine the hypotheses. Findings The results indicate that perceived insider status is positively related to employees' innovative behavior and knowledge sharing mediates the relationship between perceived insider status and employees' innovative behavior. In addition, organizational innovation climate enhances the relationship of knowledge sharing and employees' innovative behavior. Originality/value This study builds a system from psychological aspect to behavior, which includes the mechanism of the influence of perceived insider status on employees' innovative behavior and a cross-level analysis of the influence of organizational innovation climate on employees' innovative behavior, breaking through the previous research paradigm of a single level of climate and employee behavior.</t>
  </si>
  <si>
    <t>[Zhang, Guangning; Zhang, Xinxin; Wang, Yingying] Liaoning Univ, Shenyang, Peoples R China</t>
  </si>
  <si>
    <t>Liaoning University</t>
  </si>
  <si>
    <t>Zhang, XX (corresponding author), Liaoning Univ, Shenyang, Peoples R China.</t>
  </si>
  <si>
    <t>13081861862@163.com</t>
  </si>
  <si>
    <t>Wang, Yingying/HOA-6227-2023; Wang, Ying/HJI-2509-2023; wang, yingying/GRS-3058-2022; wang, yan/GSE-6489-2022; wang, yi/GVT-8516-2022; wang, yi/HOF-6668-2023</t>
  </si>
  <si>
    <t>Zhang, Xinxin/0000-0002-8989-2177</t>
  </si>
  <si>
    <t>National Social Science Fund of China [19BGL080]</t>
  </si>
  <si>
    <t>The authors are grateful for the generous support of the Projects of the National Social Science Fund of China (Grant number: 19BGL080).</t>
  </si>
  <si>
    <t>10.1108/EJIM-03-2022-0123</t>
  </si>
  <si>
    <t>3R2JO</t>
  </si>
  <si>
    <t>WOS:000838745100001</t>
  </si>
  <si>
    <t>Hur, WM; Shin, Y; Shin, G</t>
  </si>
  <si>
    <t>Hur, Won-Moo; Shin, Yuhyung; Shin, Gyeongpyo</t>
  </si>
  <si>
    <t>Daily relationships between customer incivility, organizational control, self-efficacy, and service performance</t>
  </si>
  <si>
    <t>JOURNAL OF RETAILING AND CONSUMER SERVICES</t>
  </si>
  <si>
    <t>Customer incivility; Self -efficacy; Service performance; Organizational control; Experience sampling method</t>
  </si>
  <si>
    <t>JOB DEMANDS; WORKPLACE INCIVILITY; SALESPERSON PERFORMANCE; INNOVATIVE BEHAVIOR; MULTILEVEL MODELS; CONTROL-SYSTEMS; EMPLOYEE; ENGAGEMENT; RESOURCES; WORK</t>
  </si>
  <si>
    <t>Despite increasing research regarding the buffering conditions of customer incivility, little attention has been paid regarding how firm-driven tactics can serve as buffers between customer incivility and work outcomes. To fill this gap in the literature, our research assessed the relationship between daily customer incivility, next -morning self-efficacy as it related to next-day service performance, and the cross-level moderating effect of perceived organizational control. Using the experience sampling method, we collected diary data from 135 South Korean service employees over five consecutive working days. The results of our multilevel analyses showed that customer incivility from one day had a significant indirect effect on next-day service performance through next -morning self-efficacy. Employees' perceptions of behavior-based organizational control mitigated the negative relationship between daily customer incivility and next-morning self-efficacy. However, perceived outcome -based organizational control did not moderate the daily customer incivility-self-efficacy relationship. These findings suggest that managing service employees with behavior-based control is more effective than using outcome-based control when helping them cope with daily customer incivility.</t>
  </si>
  <si>
    <t>[Hur, Won-Moo; Shin, Gyeongpyo] Inha Univ, Incheon, South Korea; [Shin, Yuhyung] Hanyang Univ, Seoul, South Korea</t>
  </si>
  <si>
    <t>Inha University; Hanyang University</t>
  </si>
  <si>
    <t>Shin, Y (corresponding author), Hanyang Univ, Seoul, South Korea.</t>
  </si>
  <si>
    <t>yuhyung@hanyang.ac.kr</t>
  </si>
  <si>
    <t>Shin, Yuhyung/P-1626-2015</t>
  </si>
  <si>
    <t>Shin, Yuhyung/0000-0002-3279-5333; Hur, Won-Moo/0000-0002-8042-2603</t>
  </si>
  <si>
    <t>Hanyang University [HY-2022]; Ministry of Education of the Republic of Korea; National Research Foundation of Korea [2021S1A5A2A01061642]</t>
  </si>
  <si>
    <t>Hanyang University; Ministry of Education of the Republic of Korea(Ministry of Education (MOE), Republic of Korea); National Research Foundation of Korea(National Research Foundation of Korea)</t>
  </si>
  <si>
    <t>This work was supported by the research fund of Hanyang University (HY-2022), the Ministry of Education of the Republic of Korea, and the National Research Foundation of Korea (2021S1A5A2A01061642)</t>
  </si>
  <si>
    <t>0969-6989</t>
  </si>
  <si>
    <t>1873-1384</t>
  </si>
  <si>
    <t>J RETAIL CONSUM SERV</t>
  </si>
  <si>
    <t>J. Retail. Consum. Serv.</t>
  </si>
  <si>
    <t>10.1016/j.jretconser.2022.103092</t>
  </si>
  <si>
    <t>5C2JP</t>
  </si>
  <si>
    <t>WOS:000864092100001</t>
  </si>
  <si>
    <t>Gao, C; Han, JY</t>
  </si>
  <si>
    <t>Gao, Chao; Han, Jiying</t>
  </si>
  <si>
    <t>Sustainable Development of Mastery Goals and Innovative Behavior: Evidence from Chinese Faculty Members</t>
  </si>
  <si>
    <t>research motivation; mastery goals; innovative behavior; Chinese faculty members; achievement goal theory; sustainable development</t>
  </si>
  <si>
    <t>MEDIATING ROLE; ORIENTATIONS; MOTIVATION; TEACHERS; PERSPECTIVE; LEADERSHIP; EXCHANGE; MODEL</t>
  </si>
  <si>
    <t>It is well-acknowledged that organizational sustainability largely depends on employees' innovative behavior, which is the same case with higher education institutions. This study aimed to explore the characteristics of and relationships between faculty members' mastery goals and innovative behavior under the framework of achievement goal theory in the research context. Results from an anonymous questionnaire survey of 621 Chinese faculty members revealed a four-dimensional structure of mastery goals (task-approach goals, task-avoidance goals, learning-approach goals, and learning-avoidance goals) and a five-dimensional structure of innovative research behavior (opportunity exploration, generativity, formative investigation, championing, and application). The faculty members reported a high level of mastery goals for research and a moderate level of innovative research behavior respectively. Male faculty scored higher on opportunity exploration, formative investigation, championing, and application than their female counterparts. Innovative research behavior showed significantly positive associations with task-approach goals, negative associations with learning-approach goals, and no significant association with mastery-avoidance goals except the positive link of learning-avoidance goals to championing. These results have implications for understanding faculty research motivations and behaviors and effectively stimulating their innovativeness in research for sustainable development of higher education institutions.</t>
  </si>
  <si>
    <t>[Gao, Chao; Han, Jiying] Shandong Univ, Sch Foreign Languages &amp; Literature, Jinan 250100, Peoples R China; [Gao, Chao] Shandong Womens Univ, Sch Foreign Languages, Jinan 250300, Peoples R China</t>
  </si>
  <si>
    <t>Shandong University; Shandong Womens University</t>
  </si>
  <si>
    <t>Han, JY (corresponding author), Shandong Univ, Sch Foreign Languages &amp; Literature, Jinan 250100, Peoples R China.</t>
  </si>
  <si>
    <t>202020201@mail.sdmedu.cn; jyhan@sdu.edu.cn</t>
  </si>
  <si>
    <t>Gao, Chao/0000-0003-4108-2199; Han, Jiying/0000-0002-8916-7821</t>
  </si>
  <si>
    <t>High-level Cultivation Project of Shandong Women's University [2021GSPSJ09]</t>
  </si>
  <si>
    <t>High-level Cultivation Project of Shandong Women's University</t>
  </si>
  <si>
    <t>This work was supported by the High-level Cultivation Project of Shandong Women's University under Grant No. 2021GSPSJ09.</t>
  </si>
  <si>
    <t>10.3390/su14158989</t>
  </si>
  <si>
    <t>3T2WW</t>
  </si>
  <si>
    <t>WOS:000840142200001</t>
  </si>
  <si>
    <t>Chen, C; Liu, XM</t>
  </si>
  <si>
    <t>Chen, Chao; Liu, Xinmei</t>
  </si>
  <si>
    <t>Relative team-member exchange, affective organizational commitment and innovative behavior: The moderating role of team-member exchange differentiation</t>
  </si>
  <si>
    <t>relative team-member exchange; team-member exchange differentiation; affective organizational commitment; innovative behavior; social comparison theory</t>
  </si>
  <si>
    <t>INSIDER STATUS; WORK; LEADERSHIP; IDENTIFICATION; PERCEPTIONS; PERFORMANCE; IMPACT; SELF</t>
  </si>
  <si>
    <t>Based upon social comparison theory, a multilevel moderated-mediation theoretical model was built up to explore the influence mechanism of relative team-member exchange (RTMX) on innovative behavior. We tested the proposed hypotheses using a sample of 260 individual members within 51 teams in a two-wave survey study. Controlling for team-member exchange (TMX), results showed that RTMX was positively related to innovative behavior, and the relationship above was mediated by affective organizational commitment. Moreover, team-level TMX differentiation played a moderating role in the mediated relationship between RTMX and innovative behavior through affective organizational commitment. This study also emphasizes the significance of conceptualizing TMX as concurrently implementing at multiple levels.</t>
  </si>
  <si>
    <t>[Chen, Chao] Hohai Univ, Business Sch, Nanjing, Peoples R China; [Liu, Xinmei] Xi An Jiao Tong Univ, Sch Management, Xian, Peoples R China</t>
  </si>
  <si>
    <t>Hohai University; Xi'an Jiaotong University</t>
  </si>
  <si>
    <t>Chen, C (corresponding author), Hohai Univ, Business Sch, Nanjing, Peoples R China.</t>
  </si>
  <si>
    <t>chaochen@hhu.edu.cn</t>
  </si>
  <si>
    <t>Fundamental Research Funds for the Central Universities [B220201049]</t>
  </si>
  <si>
    <t>Funding This research was funded by the Fundamental Research Funds for the Central Universities (B220201049).</t>
  </si>
  <si>
    <t>10.3389/fpsyg.2022.948578</t>
  </si>
  <si>
    <t>3O8XP</t>
  </si>
  <si>
    <t>WOS:000837118200001</t>
  </si>
  <si>
    <t>Asim, M; Liu, ZY; Ghani, U; Nadeem, MA; Hashmi, UF; Xu, Y</t>
  </si>
  <si>
    <t>Asim, Muhammad; Liu, Zhiying; Ghani, Usman; Nadeem, Muhammad Athar; Hashmi, Umme Farva; Xu, Yi</t>
  </si>
  <si>
    <t>How appreciative leadership affects employees' helping behaviors? The mediating role of emotions and the moderating role of organizational trust</t>
  </si>
  <si>
    <t>INTERNATIONAL JOURNAL OF EMERGING MARKETS</t>
  </si>
  <si>
    <t>Appreciative leadership; Helping behaviors; Emotions (pride; anxiety); Organizational trust</t>
  </si>
  <si>
    <t>TRANSFORMATIONAL LEADERSHIP; MEMBER EXCHANGE; POWER DISTANCE; CITIZENSHIP BEHAVIOR; AUTHENTIC LEADERSHIP; INNOVATIVE BEHAVIOR; ABUSIVE SUPERVISION; WORK; COMMITMENT; LEVEL</t>
  </si>
  <si>
    <t>Purpose This study, based on social exchange theory, aims to explore the association between appreciative leadership and employees' helping behaviors by investigating the mediation role of emotional reactions (pride, anxiety), and choosing organizational trust as a boundary condition between appreciative leadership and helping behaviors. Design/methodology/approach A total sample of 285 reliable questionnaires were collected in three time lags from employees working in the Pakistani education and banking sectors. PROCESS macro using SPSS and AMOS are employed for data analyses of the proposed model. Findings The findings reveal that appreciative leadership has positive impacts on employees' helping behaviors and emotional reactions (pride, anxiety) mediate the relationship of appreciative leadership and employees' helping behaviors. In addition, the results show that high organizational trust strengthens the positive relationship between appreciative leadership and employees' helping behaviors. Practical implications This research has provided empirical proof between the relationship of appreciative leadership and helping behaviors and the findings are of great significance for managers, employees, and organizations. The study proposes that leaders should have appreciative behavior while treating their subordinates. Moreover, it is revealed that the role of organizational trust should be given more attention and importance because it is a factor moderating the employees' helping behaviors. Originality/value The present study, among the first empirical efforts investigating the relationship between appreciative leadership and helping behaviors, organizational trust as a moderator, enriches the existing academic literature of and provides worthy insight into the research on appreciative leadership and helping behaviors.</t>
  </si>
  <si>
    <t>[Asim, Muhammad; Liu, Zhiying] Univ Sci &amp; Technol China, Sch Management, Hefei, Peoples R China; [Ghani, Usman] Iqra Univ Karachi, Dept Business Adm, Karachi, Pakistan; [Nadeem, Muhammad Athar; Xu, Yi] Univ Sci &amp; Technol China, Sch Management, Int Inst Finance, Hefei, Peoples R China; [Hashmi, Umme Farva] Govt Coll Univ Faisalabad, Faisalabad, Pakistan</t>
  </si>
  <si>
    <t>Chinese Academy of Sciences; University of Science &amp; Technology of China, CAS; Chinese Academy of Sciences; University of Science &amp; Technology of China, CAS; Government College University Faisalabad</t>
  </si>
  <si>
    <t>Xu, Y (corresponding author), Univ Sci &amp; Technol China, Sch Management, Int Inst Finance, Hefei, Peoples R China.</t>
  </si>
  <si>
    <t>xuyi@ustc.edu.cn</t>
  </si>
  <si>
    <t>Asim, Muhammad/0000-0002-7217-7724; Ghani, Usman/0000-0001-8470-0984</t>
  </si>
  <si>
    <t>National Natural Science Foundation of China [71472172]</t>
  </si>
  <si>
    <t>This research is supported by the National Natural Science Foundation of China (Project Fund No. 71472172).</t>
  </si>
  <si>
    <t>1746-8809</t>
  </si>
  <si>
    <t>1746-8817</t>
  </si>
  <si>
    <t>INT J EMERG MARK</t>
  </si>
  <si>
    <t>Int. J. Emerg. Mark.</t>
  </si>
  <si>
    <t>10.1108/IJOEM-04-2021-0487</t>
  </si>
  <si>
    <t>2Y1DG</t>
  </si>
  <si>
    <t>WOS:000825632400001</t>
  </si>
  <si>
    <t>Ok, C; Lim, S</t>
  </si>
  <si>
    <t>Ok, Chihyung Michael; Lim, SangGon (Edward)</t>
  </si>
  <si>
    <t>Job crafting to innovative and extra-role behaviors: A serial mediation through fit perceptions and work engagement</t>
  </si>
  <si>
    <t>Job crafting; Perceived fit; Work engagement; Innovative behavior; Extra -role behavior</t>
  </si>
  <si>
    <t>PERSON-JOB; DISCRIMINANT VALIDITY; TOURISM INDUSTRY; BUILD THEORY; SAMPLE-SIZE; RESOURCES; PERFORMANCE; CREATIVITY; LEADERSHIP; CONSEQUENCES</t>
  </si>
  <si>
    <t>Although job crafting enhances work environment fit perceptions and work-related attitudes and behavior, few scholars have examined the relationships between these two constructs in hospitality settings. This study explicates the relationships between both constructs by categorizing job crafting across four subdimensions and three aspects of fit perceptions. Work engagement and two behavioral outcomes for hospitality organizations-innovative and extra-role behaviors-are also considered. A two-wave survey (n = 288) was performed to evaluate the proposed structural model. Results indicated that employees experienced higher fit perceptions with (a) increasing structural/social job resources and challenging job demands and (b) decreasing hindering job demands. Enhanced fit perceptions inspired more intense work engagement along with innovative and extra-role behavior. The job resource and demand domains of job crafting had serial indirect effects on innovative and extra-role behaviors through needs-supplies fit and work engagement. Theoretical and practical implications are summarized in closing.</t>
  </si>
  <si>
    <t>[Ok, Chihyung Michael] Temple Univ, Sch Sport Tourism &amp; Hospitality Management, 331 Speakman Hall,1810 N 13th St, Philadelphia, PA 19122 USA; [Lim, SangGon (Edward)] Temple Univ, Fox Sch Business, Sch Sport Tourism &amp; Hospitality Management, 390d Speakman Hall,1810 N 13th St, Philadelphia, PA 19122 USA</t>
  </si>
  <si>
    <t>Pennsylvania Commonwealth System of Higher Education (PCSHE); Temple University; Pennsylvania Commonwealth System of Higher Education (PCSHE); Temple University</t>
  </si>
  <si>
    <t>Lim, S (corresponding author), Temple Univ, Fox Sch Business, Sch Sport Tourism &amp; Hospitality Management, 390d Speakman Hall,1810 N 13th St, Philadelphia, PA 19122 USA.</t>
  </si>
  <si>
    <t>cok@temple.edu; edward.lim@temple.edu</t>
  </si>
  <si>
    <t>10.1016/j.ijhm.2022.103288</t>
  </si>
  <si>
    <t>4X9SD</t>
  </si>
  <si>
    <t>WOS:000861175100015</t>
  </si>
  <si>
    <t>Hussain, I; Ali, S; Shahzad, F; Irfan, M; Wan, Y; Fareed, Z; Sun, L</t>
  </si>
  <si>
    <t>Hussain, Iftikhar; Ali, Shahab; Shahzad, Farrukh; Irfan, Muhammad; Wan, Yong; Fareed, Zeeshan; Sun, Li</t>
  </si>
  <si>
    <t>Abusive Supervision Impact on Employees' Creativity: A Mediated-Moderated Perspective</t>
  </si>
  <si>
    <t>abusive supervision; employment insecurity; creativity; locus of control</t>
  </si>
  <si>
    <t>EMOTIONAL EXHAUSTION; INNOVATIVE BEHAVIOR; JOB INSECURITY; LOCUS; WORK; PERFORMANCE; PATH; IDENTIFICATION; CONSERVATION; ANTECEDENTS</t>
  </si>
  <si>
    <t>The drive for the current study was to describe the findings carried out to understand abusive supervision and employees' creativity in business organizations. This research investigated the effect of abusive supervision on employees' creativity. The influence of employment insecurity as a mediating variable and the moderating role of locus of control has also been examined. The study was based on Hobfoll's conservation of resources theory. The data were collected using a self-administered questionnaire from 500 employees working in different business organizations in Pakistan. To analyze the data, the study employed path analytic approaches using multilevel modeling in Mplus 7.1. The empirical analysis has confirmed that abusive supervision and employment insecurity have a significant negative impact on employees' creativity. Employment infectivity partially mediates the effect of abusive supervision on employees' creativity. Moderation analysis was performed and established that the locus of control moderates the effect of abusive supervision on employment insecurity as well as the effect of employment insecurity on employees' creativity. The current research has contributed towards developing a better understanding of the studied variables, i.e., abusive supervision, employment insecurity, locus of control, and employees' creativity. To the best of authors' knowledge these variables have been studied together here for the first time. The study also forwarded practical recommendations for managers and entrepreneurs.</t>
  </si>
  <si>
    <t>[Hussain, Iftikhar] Univ Kotli Azad Jammu &amp; Kashmir, Fac Management Sci, Dept Publ Adm, Kotli 11100, Pakistan; [Ali, Shahab] Univ Kotli Azad Jammu &amp; Kashmir, Fac Management Sci, Dept Business Adm, Kotli 11100, Pakistan; [Shahzad, Farrukh; Wan, Yong; Sun, Li] Guangdong Univ Petrochem Technol, Sch Econ &amp; Management, Maoming 525000, Peoples R China; [Irfan, Muhammad] Beijing Inst Technol, Sch Management &amp; Econ, Beijing 100081, Peoples R China; [Irfan, Muhammad] Beijing Inst Technol, Ctr Energy &amp; Environm Policy Res, Beijing 100081, Peoples R China; [Irfan, Muhammad] ILMA Univ, Dept Business Adm, Karachi 75190, Pakistan; [Fareed, Zeeshan] Huzhou Univ, Sch Econ &amp; Management, Huzhou 313000, Peoples R China</t>
  </si>
  <si>
    <t>Guangdong University of Petrochemical Technology; Beijing Institute of Technology; Beijing Institute of Technology; Huzhou University</t>
  </si>
  <si>
    <t>Shahzad, F (corresponding author), Guangdong Univ Petrochem Technol, Sch Econ &amp; Management, Maoming 525000, Peoples R China.</t>
  </si>
  <si>
    <t>iftikhar_raja@live.com; rajashahabali@gmail.com; farrukh.hailian@gmail.com; irfansahar@bit.edu.cn; wanyongxmnn@163.com; zeeshanfareed@hotmail.com; sunli-gyjgj@gdupt.edu.cn</t>
  </si>
  <si>
    <t>Irfan, Muhammad/AAL-9371-2020; Hussain, Iftikhar/Q-8413-2019; Fareed, Zeeshan/AAK-1306-2021</t>
  </si>
  <si>
    <t>Irfan, Muhammad/0000-0003-1446-583X; Hussain, Iftikhar/0000-0001-5063-6267; Fareed, Zeeshan/0000-0003-1971-8867; Shahzad, Farrukh/0000-0002-1095-7207</t>
  </si>
  <si>
    <t>Fundamental Research Start-up Funds from Guangdong University of Petrochemical Technology [702-72100003004, 702/5210012, 2020rc059]</t>
  </si>
  <si>
    <t>Fundamental Research Start-up Funds from Guangdong University of Petrochemical Technology</t>
  </si>
  <si>
    <t>This research was funded by the Fundamental Research Start-up Funds from Guangdong University of Petrochemical Technology (Project No. 702-72100003004 and 702/5210012) (Grant No. 2020rc059) and the APC was funded by Farrukh Shahzad.</t>
  </si>
  <si>
    <t>10.3390/su14148648</t>
  </si>
  <si>
    <t>3H9NX</t>
  </si>
  <si>
    <t>WOS:000832356200001</t>
  </si>
  <si>
    <t>Xia, NN; Sun, NQ; Ding, SC</t>
  </si>
  <si>
    <t>Xia, Nini; Sun, Naiqi; Ding, Sichao</t>
  </si>
  <si>
    <t>How Psychological Capital Drives the Initiative of Project Managers in the Chinese Construction Industry: The Roles of Work Engagement and Decision Authority</t>
  </si>
  <si>
    <t>JOURNAL OF MANAGEMENT IN ENGINEERING</t>
  </si>
  <si>
    <t>Psychological capital; Initiative behavior; Work engagement; Decision authority</t>
  </si>
  <si>
    <t>DEMANDS-RESOURCES MODEL; JOB DEMANDS; CITIZENSHIP BEHAVIOR; EMPLOYEE CREATIVITY; INNOVATIVE BEHAVIOR; SAFETY BEHAVIOR; TEMPORARY ORGANIZATIONS; TURNOVER INTENTIONS; CONTEXTUAL FACTORS; MEDIATING ROLE</t>
  </si>
  <si>
    <t>The initiative of project managers gives organizations competitive advantages. This study investigated the role of personal resources (i.e., psychological capital) in driving such behavior. We considered the intervening mechanism of the influence of psychological capital on initiative behavior by treating work engagement as a mediator, and treating job resources (i.e., decision authority) as a reinforcing variable in this relationship. Hypotheses are proposed integrating the literature of psychological capital and the job demands-resources theory. Using a 1-month time-lag questionnaire design, data were collected from 150 project managers responsible for construction projects. It was found that psychological capital has a positive influence on project initiative behavior, and work engagement mediates this influence. Decision authority reinforces the direct influence of psychological capital on work engagement and its indirect influence on project initiative behavior. This research contributes to that on antecedents and formation mechanisms of project initiative behavior and brings new insight to the job demands-resources theory by confirming the reinforcing interaction between psychological capital and decision authority.</t>
  </si>
  <si>
    <t>[Xia, Nini; Sun, Naiqi; Ding, Sichao] Southeast Univ, Sch Civil Engn, Dept Construct &amp; Real Estate, 2 Southeast Univ Rd, Nanjing 211189, Peoples R China</t>
  </si>
  <si>
    <t>Southeast University - China</t>
  </si>
  <si>
    <t>Ding, SC (corresponding author), Southeast Univ, Sch Civil Engn, Dept Construct &amp; Real Estate, 2 Southeast Univ Rd, Nanjing 211189, Peoples R China.</t>
  </si>
  <si>
    <t>ninixia@seu.edu.cn; 220211568@seu.edu.cn; 220201380@seu.edu.cn</t>
  </si>
  <si>
    <t>Ding, Sichao/0000-0003-1768-4114</t>
  </si>
  <si>
    <t>National Natural Science Foundation of China [72002030, 71772136]; Natural Science Foundation of Jiangsu Province [BK20200383]; Humanities and Social Sciences Fund of the Ministry of Education of China [20YJCZH183]</t>
  </si>
  <si>
    <t>National Natural Science Foundation of China(National Natural Science Foundation of China (NSFC)); Natural Science Foundation of Jiangsu Province(Natural Science Foundation of Jiangsu Province); Humanities and Social Sciences Fund of the Ministry of Education of China(Ministry of Education, China)</t>
  </si>
  <si>
    <t>This work was supported by the National Natural Science Foundation of China (Grant Nos. 72002030 and 71772136), the Natural Science Foundation of Jiangsu Province (Grant No. BK20200383), and Humanities and Social Sciences Fund of the Ministry of Education of China (Grant No. 20YJCZH183). Special thanks are given to the participants of our survey. We also are indebted to the editor and the reviewers for their effort in developing this research.</t>
  </si>
  <si>
    <t>0742-597X</t>
  </si>
  <si>
    <t>1943-5479</t>
  </si>
  <si>
    <t>J MANAGE ENG</t>
  </si>
  <si>
    <t>J. Manage. Eng.</t>
  </si>
  <si>
    <t>10.1061/(ASCE)ME.1943-5479.0001066</t>
  </si>
  <si>
    <t>Engineering, Industrial; Engineering, Civil</t>
  </si>
  <si>
    <t>1G8BH</t>
  </si>
  <si>
    <t>WOS:000796074900008</t>
  </si>
  <si>
    <t>You, YT; Hu, ZF; Li, JW; Wang, YH; Xu, ML</t>
  </si>
  <si>
    <t>You, Yutian; Hu, Zhongfeng; Li, Jiawei; Wang, Youhan; Xu, Mingli</t>
  </si>
  <si>
    <t>The Effect of Organizational Innovation Climate on Employee Innovative Behavior: The Role of Psychological Ownership and Task Interdependence</t>
  </si>
  <si>
    <t>organizational innovation climate; employee innovative behavior; psychological ownership; task interdependence; moderated mediator</t>
  </si>
  <si>
    <t>INDIVIDUAL CREATIVITY; TRANSFORMATIONAL LEADERSHIP; MODERATING ROLE; WORK BEHAVIOR; LEVEL; JOB; PERFORMANCE; MULTILEVEL; ATTITUDES; TEAMS</t>
  </si>
  <si>
    <t>In today's era of rapid development of science and technology, organizations are confronted with unprecedented opportunities and challenges. Employee innovative behavior has become the key element to promote organizational innovation and achieve sustainable competitive advantages. This study examines the relationship between organizational innovation climate and employee innovative behavior by focusing on the mediating role of psychological ownership and the moderating role of task interdependence. The survey data were collected from the matched samples of 326 employees and their direct supervisors from 13 enterprises in Guangdong Province, China. The results indicate that organizational innovation climate is positively related to employee innovative behavior and that psychological ownership plays a fully mediating role between them. For the moderating effects, task interdependence positively moderates the relationship between organizational innovation climate and employees' psychological ownership. The results also reveal an indirect effect of organizational innovation climate on employee innovative behavior through psychological ownership. Theoretical and practical implications are also discussed.</t>
  </si>
  <si>
    <t>[You, Yutian; Hu, Zhongfeng; Wang, Youhan; Xu, Mingli] South China Normal Univ, Sch Polit &amp; Publ Adm, Guangzhou, Peoples R China; [You, Yutian] Guangdong Ind Poytech, Sch Finance &amp; Trade, Guangzhou, Peoples R China; [Hu, Zhongfeng; Xu, Mingli] Res Ctr Educ &amp; Social Integrat Guangdong Hong Kon, Guangzhou, Peoples R China; [Li, Jiawei] Michigan State Univ, Coll Educ, E Lansing, MI 48824 USA; [Wang, Youhan] Guangdong Polytech Normal Univ, Sch Innovat &amp; Entrepreneurship, Guangzhou, Peoples R China</t>
  </si>
  <si>
    <t>South China Normal University; Michigan State University; Guangdong Polytechnic Normal University</t>
  </si>
  <si>
    <t>Xu, ML (corresponding author), South China Normal Univ, Sch Polit &amp; Publ Adm, Guangzhou, Peoples R China.;Xu, ML (corresponding author), Res Ctr Educ &amp; Social Integrat Guangdong Hong Kon, Guangzhou, Peoples R China.</t>
  </si>
  <si>
    <t>minglixu@m.scnu.edu.cn</t>
  </si>
  <si>
    <t>Xu, Mingli/0000-0002-5526-4324</t>
  </si>
  <si>
    <t>National Social Science Fund of China [BFA210064]</t>
  </si>
  <si>
    <t>This work was supported by the National Social Science Fund of China (General Project of Education), Research on Theory and Practice of Value-Added Evaluation Based on Students' Development (Project No. BFA210064).</t>
  </si>
  <si>
    <t>10.3389/fpsyg.2022.856407</t>
  </si>
  <si>
    <t>6G2OW</t>
  </si>
  <si>
    <t>WOS:000884597500001</t>
  </si>
  <si>
    <t>Yuan, KS; Ng, T; Wu, TJ</t>
  </si>
  <si>
    <t>Yuan, Kuo-Shu; Ng, Tung; Wu, Tung-Ju</t>
  </si>
  <si>
    <t>How Do Employees Understand Negative Leadership? The Non-linear Relationship Between Abusive Supervision and Employee Innovation Behavior: Job Performance as a Moderator</t>
  </si>
  <si>
    <t>abusive supervision; job performance; employee innovation behavior; cognitive view of emotion; non-linear relationship</t>
  </si>
  <si>
    <t>CREATIVITY; WORK; MODEL; ORGANIZATIONS; CONSEQUENCES; SUBSTITUTES; PERCEPTIONS; APPRAISALS; OUTCOMES; EMOTION</t>
  </si>
  <si>
    <t>This study aims to investigate the non-linear relationship between abusive supervision and employee innovation behavior and further examine how job performance moderates this relationship. Two hundred and seventy-six employees across three industries (restaurant service, tourism, and financial service) in China participated in this study and completed the survey at two time points. The results of curve regression show as follows: (1) There exists a non-linear relationship between abusive supervision and innovation behavior, and (2) job performance moderates the non-linear relationship between abusive supervision and employee innovation behavior. For employees who perform well at work, there exists a U-shaped relationship between abusive supervision and innovative behavior. Whereas, for employees with poor job performance, when abusive supervision reaches a certain level, it will promote employee innovation behavior; and the excess of abusive supervision will inhibit employee innovation behavior, showing an inverted U-shaped curve relationship. The finding suggests it is important for managers to understand the stakes arising from abusive supervision. That is, managers should manipulate the right level of abuse supervision to promote employee innovation behavior.</t>
  </si>
  <si>
    <t>[Yuan, Kuo-Shu] Huaqiao Univ, Sch Business, Dept Human Resources Management, Quanzhou, Peoples R China; [Ng, Tung] Huaqiao Univ, Sch Business, Quanzhou, Peoples R China; [Wu, Tung-Ju] Harbin Inst Technol, Sch Management, Harbin, Peoples R China</t>
  </si>
  <si>
    <t>Huaqiao University; Huaqiao University; Harbin Institute of Technology</t>
  </si>
  <si>
    <t>Wu, TJ (corresponding author), Harbin Inst Technol, Sch Management, Harbin, Peoples R China.</t>
  </si>
  <si>
    <t>tjwu@hit.edu.cn</t>
  </si>
  <si>
    <t>Huaqiao Universitys Academic Project - Fundamental Research Funds for the Central Universities [20SKGC-QT02]</t>
  </si>
  <si>
    <t>Huaqiao Universitys Academic Project - Fundamental Research Funds for the Central Universities</t>
  </si>
  <si>
    <t>Funding was provided by Huaqiao Universitys Academic Project Supported by the Fundamental Research Funds for the Central Universities (20SKGC-QT02).</t>
  </si>
  <si>
    <t>JUN 16</t>
  </si>
  <si>
    <t>10.3389/fpsyg.2022.867862</t>
  </si>
  <si>
    <t>2O7KA</t>
  </si>
  <si>
    <t>WOS:000819232300001</t>
  </si>
  <si>
    <t>Lin, CH; Shipton, H; Teng, WL; Kitt, A; Do, H; Chadwick, C</t>
  </si>
  <si>
    <t>Lin, Caihui (Veronica); Shipton, Helen; Teng, Weili; Kitt, Adam; Do, Hoa; Chadwick, Clint</t>
  </si>
  <si>
    <t>Sparking creativity using extrinsic rewards: A self-determination theory perspective</t>
  </si>
  <si>
    <t>boundary conditions; creativity; creativity-contingent extrinsic rewards; intrinsic motivation; manufacturing jobs; self-determination theory</t>
  </si>
  <si>
    <t>LEADER-MEMBER EXCHANGE; HUMAN-RESOURCE PRACTICES; EMPLOYEE CREATIVITY; PSYCHOLOGICAL EMPOWERMENT; INNOVATIVE BEHAVIOR; METHOD BIAS; PERFORMANCE; ANTECEDENTS; MOTIVATION; EFFICACY</t>
  </si>
  <si>
    <t>The relationship between extrinsic rewards and creativity has been subject to ongoing debate within the human resource management and creativity literatures. More research on the mechanisms and boundary conditions has been called for. In this study, using 187 employee-supervisor dyads in an electronics manufacturing company, we investigated how and when creativity-contingent extrinsic rewards (CER) may foster creativity among manufacturing employees. Drawing on self-determination theory, we hypothesized, and found that employee intrinsic motivation mediated the relationship between CER and employee creativity. This relationship was the strongest when employees rated their leader-member exchange (LMX) as high. The findings reveal the important role of CER in guiding manufacturing employees' intrinsic motivation and stimulating creativity. The identification of LMX as a moderator uncovers crucial boundary conditions of this relationship. Theoretical and practical implications are discussed.</t>
  </si>
  <si>
    <t>[Lin, Caihui (Veronica)] Univ Queensland, Business Sch, Brisbane, Qld, Australia; [Shipton, Helen; Kitt, Adam] Nottingham Trent Univ, Nottingham Business Sch, Ctr People Work &amp; Organisat Practice, Nottingham, England; [Teng, Weili; Do, Hoa] Aston Univ, Aston Business Sch, Birmingham, W Midlands, England; [Chadwick, Clint] Univ Kansas, Management &amp; Entrepreneurship, Lawrence, KS 66045 USA</t>
  </si>
  <si>
    <t>University of Queensland; Nottingham Trent University; RLUK- Research Libraries UK; University of Nottingham; Aston University; University of Kansas</t>
  </si>
  <si>
    <t>Shipton, H (corresponding author), Nottingham Trent Univ, Nottingham, England.</t>
  </si>
  <si>
    <t>helen.shipton@ntu.ac.uk; weili.teng@ntu.ac.uk; adam.kitt@ntu.ac.uk; doh2@aston.ac.uk; clint.chadwick@ku.edu</t>
  </si>
  <si>
    <t>Shipton, Helen/0000-0003-4006-7923; Do, Hoa/0000-0001-5442-507X</t>
  </si>
  <si>
    <t>British Academy [SG171397]</t>
  </si>
  <si>
    <t>British Academy</t>
  </si>
  <si>
    <t>British Academy, Grant/Award Number: SG171397</t>
  </si>
  <si>
    <t>10.1002/hrm.22128</t>
  </si>
  <si>
    <t>WOS:000808346100001</t>
  </si>
  <si>
    <t>Winton, BG; Sabol, MA</t>
  </si>
  <si>
    <t>Winton, Bradley G.; Sabol, Misty A.</t>
  </si>
  <si>
    <t>Opening up to innovation: emotional intelligence as an intrapersonal resource</t>
  </si>
  <si>
    <t>Emotional intelligence; Innovation; Openness to experience; Creativity; PLS-SEM</t>
  </si>
  <si>
    <t>EMPLOYEE CREATIVITY; MECHANICAL TURK; POSITIVE AFFECT; WORK; BEHAVIOR; IMPLEMENTATION; DETERMINANTS; OPENNESS; LEADER; MODEL</t>
  </si>
  <si>
    <t>Purpose There is no innovation without ideas. More than ever before, these ideas are increasingly difficult to express in a changing environment ripe with emotions. Today's organizations need to understand why their employees may or may not develop, voice and implement innovative ideas in the face of this emotional tension. Current literature focuses on external factors that empower employees to innovate. This research attempts to shift the focus to the individual by investigating the relationship between emotional intelligence, openness to experience and innovation voicing behavior. Design/methodology/approach This study employs a quantitative survey among 288 US-based workers to test a mediated model of emotional intelligence, openness to experience and innovation-focused promotive voice. The authors assessed both the measurement and structural models through partial least squares structural equation modeling (PLS-SEM), while controlling for a range of variables with the potential to confound construct measurements. Findings The findings validated the positive effect of emotional intelligence on openness to experience, while also finding a significant impact of openness to experience on innovation-focused promotive voice. More importantly, evidence suggests that openness to experience mediates the relationship between emotional intelligence and innovation focused promotive voice. Originality/value These findings shed new light on why employees might start the innovation process by developing and, ultimately, voicing innovative ideas. Further, this new insight focuses on the impact of intrapersonal factors as it relates to innovation and attempts to fill a gap in what is known about innovative behavior.</t>
  </si>
  <si>
    <t>[Winton, Bradley G.] Univ Southern Mississippi, Hattiesburg, MS 39406 USA; [Sabol, Misty A.] Univ S Alabama, Mobile, AL USA</t>
  </si>
  <si>
    <t>University of Southern Mississippi; University of South Alabama</t>
  </si>
  <si>
    <t>Winton, BG (corresponding author), Univ Southern Mississippi, Hattiesburg, MS 39406 USA.</t>
  </si>
  <si>
    <t>bradley.winton@usm.edu</t>
  </si>
  <si>
    <t>Winton, Bradley/0000-0003-0120-7321</t>
  </si>
  <si>
    <t>10.1108/EJIM-12-2021-0597</t>
  </si>
  <si>
    <t>1S1YS</t>
  </si>
  <si>
    <t>WOS:000803854600001</t>
  </si>
  <si>
    <t>Ahmad, MK; Abdulhamid, A; Abd Wahab, S; Nazir, MU</t>
  </si>
  <si>
    <t>Ahmad, Muhammad Khalique; Abdulhamid, Abu Bakar; Abd Wahab, Sazali; Nazir, Muhammad Umair</t>
  </si>
  <si>
    <t>Impact of the project manager's transformational leadership, influenced by mediation of self-leadership and moderation of empowerment, on project success</t>
  </si>
  <si>
    <t>Project manager; Project management; Transformational leadership; Project success; Empowerment; Self-leadership; Soft and hard skills; Covid-19; Social cognitive theory</t>
  </si>
  <si>
    <t>PSYCHOLOGICAL EMPOWERMENT; SHARED LEADERSHIP; PLS-SEM; TRANSACTIONAL LEADERSHIP; HORIZONTAL LEADERSHIP; INNOVATIVE BEHAVIOR; CURRENT TRENDS; PERFORMANCE; WORK; MODEL</t>
  </si>
  <si>
    <t>Purpose In times of crisis and volatility, especially in the Covid-19 scenario, project organisations are facing multifaceted threats. Project organisations are inclining towards flatter organisational structures. Employees are demanding more decision-making authority due to the changing working scenario. Despite the advancement in project management, a hard skill side, project organisations are still struggling to achieve successful projects. The project manager's leadership, employee self-leadership and soft skills are presented as the solution to these aggravated problems. This article attempts to determine whether a transformational leadership style can influence project success, directly and indirectly through employee self-leadership. Design/methodology/approach The author raises the hypothesis, supported by social cognitive theory, that transformational leadership impacts project success directly and indirectly through self-leadership. Data were collected from 289 project team members in the IT sector, and the proposed relationships were assessed through Partial least squares structural equation modelling PLS-SEM. Findings Results show that a project manager's transformational leadership behaviour and employee self-leadership positively impact project success. Additionally, self-leadership mediates the relationship between transformational leadership and project success. Lastly, empowerment demonstrated significant moderation for self-leadership and project success, and for transformational leadership and project success. Research limitations/implications In this study, one obvious methodological limitation is a cross-sectional design. Future research can be performed while adopting a longitudinal research design. Another conceptual limitation of the model is that the authors did not include all transformational leadership dimensions, which can be considered for future studies while replicating this research model. Another future front can be by examining other leadership styles. Another research limitation may be the single source data collection, a future study may be conducted by several sources for data collection to adequately test both of the leadership styles at different hierarchies and for project success. Originality/value The paper contributes to the literature by finding that, in crises, a project manager's transformational leadership style enhances project success. In practice, project managers are needed to adopt transformational behaviour and encourage employee self-leadership and empowerment.</t>
  </si>
  <si>
    <t>[Ahmad, Muhammad Khalique; Abdulhamid, Abu Bakar; Abd Wahab, Sazali; Nazir, Muhammad Umair] Putra Business Sch, Serdang, Malaysia</t>
  </si>
  <si>
    <t>Ahmad, MK (corresponding author), Putra Business Sch, Serdang, Malaysia.</t>
  </si>
  <si>
    <t>khalique.721@gmail.com; abu.bakar@putrabs.edu.my; sazali@putrabs.edu.my; umairizan@hotmail.com</t>
  </si>
  <si>
    <t>Nazir, Muhammad Umair/AEG-4896-2022</t>
  </si>
  <si>
    <t>Nazir, Muhammad Umair/0000-0003-2626-8016; Ahmad, Muhammad Khalique/0000-0002-5192-7100</t>
  </si>
  <si>
    <t>JUN 30</t>
  </si>
  <si>
    <t>10.1108/IJMPB-03-2021-0066</t>
  </si>
  <si>
    <t>2L7WI</t>
  </si>
  <si>
    <t>WOS:000803061600001</t>
  </si>
  <si>
    <t>Lin, YE; Yu, JQ; Chih, HH; Ho, KC</t>
  </si>
  <si>
    <t>Lin, Yu-En; Yu, Jia-Qi; Chih, Hsiang-Hsuan; Ho, Kung-Cheng</t>
  </si>
  <si>
    <t>Near is more: learning efficiency in research and development innovation among interlocking firms</t>
  </si>
  <si>
    <t>FINANCIAL INNOVATION</t>
  </si>
  <si>
    <t>Geographical distance; Interlocking directorates; R&amp;D; Learning efficiency</t>
  </si>
  <si>
    <t>GEOGRAPHIC DISPERSION; CORPORATE GOVERNANCE; NETWORK ANALYSIS; CASH HOLDINGS; SMALL WORLD; BOARD; LOCATION; DIRECTORATES; INFORMATION; EUROPE</t>
  </si>
  <si>
    <t>Research question/issue This study examines whether geographic proximity produces a proximity preference as interlocking firms observe each other and learn innovative behaviors through information transmission among interlocking directors. Research findings/insights We study the performance of A-share-listed companies in China from 2007 to 2017 on the basis of resource dependence theory, agglomeration effect theory, and Porter's competitive theory. When target firms learn about research and development-related innovation behaviors from interlocking firms closer to them, they experience more efficient learning effects and have improved convergent traits. Moreover, this proximity advantage increases the willingness of the target firm to communicate with and learn from interlocking firms closer to them. Highly developed areas and research and development-intensive industries positively affect the learning efficiency of interlocking firms. Theoretical/academic implications Our conclusion is consistent with resource dependence theory; target firms in highly developed areas are more willing to imitate and study nearby interlocking firms to maintain their peer relations, innovation potential, and competitiveness. Our conclusion is also consistent with competition theory, which states that the exchange of information between target firms in highly research and development-intensive industries and distant interlocking firms increases innovation differentiation, innovation potential, and competitiveness, even when such exchange has a high cost. Practitioner/policy implications The results support resource dependence theory and peers' effects. The information obtained by interlocking directorates through external social relations guides firm decision-making, and closer distances reveal more obvious effects.</t>
  </si>
  <si>
    <t>[Lin, Yu-En] Jilin Univ, Ctr Quantitat Econ, Changchun, Peoples R China; [Yu, Jia-Qi] Jilin Univ, Sch Businesses &amp; Management, Changchun, Peoples R China; [Chih, Hsiang-Hsuan] Natl Dong Hwa Univ, Dept Finance, Hualien, Taiwan; [Ho, Kung-Cheng] Zhongnan Univ Econ &amp; Law, Sch Finance, Wuhan, Peoples R China</t>
  </si>
  <si>
    <t>Jilin University; Jilin University; National Dong Hwa University; Zhongnan University of Economics &amp; Law</t>
  </si>
  <si>
    <t>Ho, KC (corresponding author), Zhongnan Univ Econ &amp; Law, Sch Finance, Wuhan, Peoples R China.</t>
  </si>
  <si>
    <t>Kcho731101@163.com</t>
  </si>
  <si>
    <t>Ho, Kung-Cheng/0000-0002-3475-2089</t>
  </si>
  <si>
    <t>NSFC [71903199]; NSSFC [19ZDA061, 19AJY027]; Innovation and Talent Base for Digital Technology and Finance [B21038]</t>
  </si>
  <si>
    <t>NSFC(National Natural Science Foundation of China (NSFC)); NSSFC; Innovation and Talent Base for Digital Technology and Finance</t>
  </si>
  <si>
    <t>The authors were funded by the NSFC number (71903199), NSSFC number (19ZDA061, 19AJY027), and Financial support from the Innovation and Talent Base for Digital Technology and Finance (B21038).</t>
  </si>
  <si>
    <t>2199-4730</t>
  </si>
  <si>
    <t>FINANC INNOV</t>
  </si>
  <si>
    <t>Financ. Innov.</t>
  </si>
  <si>
    <t>10.1186/s40854-022-00357-2</t>
  </si>
  <si>
    <t>Business, Finance; Social Sciences, Mathematical Methods</t>
  </si>
  <si>
    <t>1S2XN</t>
  </si>
  <si>
    <t>WOS:000803919300002</t>
  </si>
  <si>
    <t>Deng, BJ; Cao, JJ; Huang, JQ; Wu, J</t>
  </si>
  <si>
    <t>Deng, Baijun; Cao, Jijuan; Huang, Jieqi; Wu, Jun</t>
  </si>
  <si>
    <t>The Influence of Innovation Climate on Creative Role Identity: The Mediating Role of Flow</t>
  </si>
  <si>
    <t>innovation climate; creative role identity; flow; situational strength theory; entrepreneurship education</t>
  </si>
  <si>
    <t>SELF-EFFICACY; TRANSFORMATIONAL LEADERSHIP; EMPLOYEE CREATIVITY; TEAM CLIMATE; EXPERIENCE; STUDENTS; BEHAVIOR; WORK; PERFORMANCE; ENVIRONMENT</t>
  </si>
  <si>
    <t>Creative role identity is an important antecedent of innovative behaviors. Both the mechanism of how external factors and individual factors affect the formation of creative role identity and details of this process have yet to be discovered. Based on data collected from 226 students in 6 classes at a university in Guangdong during the development of innovative projects, the influence of innovation climate on the students' creative role identity, especially the mediating effect of flow, was investigated. The results show that the innovation climate has a positive impact on creative role identity and that flow plays a partial mediating role in this relationship.</t>
  </si>
  <si>
    <t>[Deng, Baijun; Cao, Jijuan; Huang, Jieqi; Wu, Jun] Guangzhou Panyu Polytech, Sch Innovat &amp; Entrepreneurship, Guangzhou, Peoples R China; [Deng, Baijun] Montpellier Business Sch, Programs Dev Dept, DBA Off, Montpellier, France</t>
  </si>
  <si>
    <t>Guangzhou Panyu Polytechnic; Montpellier Business School</t>
  </si>
  <si>
    <t>Wu, J (corresponding author), Guangzhou Panyu Polytech, Sch Innovat &amp; Entrepreneurship, Guangzhou, Peoples R China.</t>
  </si>
  <si>
    <t>wujune@163.com</t>
  </si>
  <si>
    <t>Deng, Baijun/HPG-7772-2023</t>
  </si>
  <si>
    <t>Innovation and Entrepreneurship Project of Guangzhou Education Bureau [2020KC018, 2019PT102]; Youth Innovation Talents Project of Guangdong Provincial Department of Education [2019GWQNCX081]; Characteristic Innovation Projects of Colleges and Universities in Guangdong Province [2018GWTSCX057]</t>
  </si>
  <si>
    <t>Innovation and Entrepreneurship Project of Guangzhou Education Bureau; Youth Innovation Talents Project of Guangdong Provincial Department of Education; Characteristic Innovation Projects of Colleges and Universities in Guangdong Province</t>
  </si>
  <si>
    <t>Funding This work was supported by Innovation and Entrepreneurship Project of Guangzhou Education Bureau (2020KC018 and 2019PT102), Youth Innovation Talents Project of Guangdong Provincial Department of Education (2019GWQNCX081), and Characteristic Innovation Projects of Colleges and Universities in Guangdong Province (2018GWTSCX057).</t>
  </si>
  <si>
    <t>10.3389/fpsyg.2022.866464</t>
  </si>
  <si>
    <t>1X4VM</t>
  </si>
  <si>
    <t>WOS:000807453400001</t>
  </si>
  <si>
    <t>Zhao, GL; Luan, YX; Ding, H; Zhou, ZX</t>
  </si>
  <si>
    <t>Zhao, Guolong; Luan, Yuxiang; Ding, He; Zhou, Zixiang</t>
  </si>
  <si>
    <t>Job Control and Employee Innovative Behavior: A Moderated Mediation Model</t>
  </si>
  <si>
    <t>job control; employee innovative behavior; moderated mediation model; mindfulness; creative self-efficacy</t>
  </si>
  <si>
    <t>SELF-DETERMINATION THEORY; PSYCHOLOGICAL EMPOWERMENT; INTRINSIC MOTIVATION; ETHICAL LEADERSHIP; WORK ENGAGEMENT; EFFICACY; PERFORMANCE; AUTONOMY; MINDFULNESS; INVOLVEMENT</t>
  </si>
  <si>
    <t>The revolution of self-management and organizational democracy is gaining momentum with the development of new technologies. How to stimulate high employee innovation behavior is critical to an organization's success. In this study, we built and verified a theoretical model to explore the effect of job control (JC) on employee innovative behavior (EIB), the mediating effect of creative self-efficacy (CSE), and the moderating effect of mindfulness (MF), based on the self-determination theory (SDT). For this quantitative study, a 31-item questionnaire was used to collect data from five Internet companies with 329 Chinese employees. AMOS 24.0 software was used to calculate CFA. SPSS26.0 software was used to calculate means, standard deviations, correlations, and regression analysis. The results indicate that a moderated mediation model among JC, CSE, EIB, and MF is supported. Further, JC was positively related to EIB via CSE. Moreover, MF moderated the relationship between JC and EIB and the mediating role of CSE.</t>
  </si>
  <si>
    <t>[Zhao, Guolong; Luan, Yuxiang; Zhou, Zixiang] Renmin Univ China, Sch Lab &amp; Human Resources, Beijing, Peoples R China; [Ding, He] North China Elect Power Univ, Sch Econ &amp; Management, Beijing, Peoples R China</t>
  </si>
  <si>
    <t>Luan, YX (corresponding author), Renmin Univ China, Sch Lab &amp; Human Resources, Beijing, Peoples R China.</t>
  </si>
  <si>
    <t>lyxslhr@163.com</t>
  </si>
  <si>
    <t>ZHAO, Guolong/0000-0002-8144-9015</t>
  </si>
  <si>
    <t>10.3389/fpsyg.2022.720654</t>
  </si>
  <si>
    <t>1K6KX</t>
  </si>
  <si>
    <t>WOS:000798708300001</t>
  </si>
  <si>
    <t>Li, H; Sun, SS; Wang, P; Yang, YT</t>
  </si>
  <si>
    <t>Li, Huan; Sun, Saisai; Wang, Pu; Yang, Yating</t>
  </si>
  <si>
    <t>Examining the Inverted U-Shaped Relationship Between Benevolent Leadership and Employees' Work Initiative: The Role of Work Engagement and Growth Need Strength</t>
  </si>
  <si>
    <t>benevolent leadership; work engagement; work initiative; growth need strength; inverted-U effect</t>
  </si>
  <si>
    <t>PATERNALISTIC LEADERSHIP; JOB CHARACTERISTICS; MEMBER EXCHANGE; MODERATING ROLE; MEDIATING ROLE; ORGANIZATIONAL RESEARCH; INDIRECT RECIPROCITY; INNOVATIVE BEHAVIOR; TEAM PERFORMANCE; SELF-EFFICACY</t>
  </si>
  <si>
    <t>Benevolent leadership is generally considered to be beneficial for work initiative. However, based on social exchange theory, this paper explores an inverted U-shaped relationship between benevolent leadership and work initiative. Using a multilevel structural equation model that analyzed the data from 596 employees and 139 supervisors in multiple technology companies, our findings show that benevolent leadership had an indirect, negative curvilinear relationship with work initiative via work engagement at both the individual and team levels. Furthermore, we also indicate that growth need strength moderates the positive relationship between benevolent leadership and work engagement at the individual level. Theoretical and practical implications and future research directions are discussed.</t>
  </si>
  <si>
    <t>[Li, Huan; Sun, Saisai; Yang, Yating] Shanghai Int Studies Univ, Sch Business &amp; Management, Shanghai, Peoples R China; [Wang, Pu] Linyang Grp, Shanghai, Peoples R China</t>
  </si>
  <si>
    <t>Shanghai International Studies University</t>
  </si>
  <si>
    <t>Sun, SS (corresponding author), Shanghai Int Studies Univ, Sch Business &amp; Management, Shanghai, Peoples R China.</t>
  </si>
  <si>
    <t>0203100542@shisu.edu.cn</t>
  </si>
  <si>
    <t>MAY 5</t>
  </si>
  <si>
    <t>10.3389/fpsyg.2022.699366</t>
  </si>
  <si>
    <t>1J9YC</t>
  </si>
  <si>
    <t>WOS:000798266100001</t>
  </si>
  <si>
    <t>Han, SH; Liu, DW; Lv, YL</t>
  </si>
  <si>
    <t>Han, Shenghao; Liu, Dewen; Lv, Yiliang</t>
  </si>
  <si>
    <t>The Influence of Psychological Safety on Students' Creativity in Project-Based Learning: The Mediating Role of Psychological Empowerment</t>
  </si>
  <si>
    <t>project-based learning; psychological safety; fault-tolerance culture; psychological empowerment; creativity</t>
  </si>
  <si>
    <t>INNOVATIVE BEHAVIOR; SELF-DETERMINATION; ERROR MANAGEMENT; MODERATING ROLE; ORIENTATION; PERSPECTIVE; PERFORMANCE; STRATEGIES; LEADERSHIP</t>
  </si>
  <si>
    <t>Creative-oriented new educational model will shape the direction and appearance of world development. This study focuses on the role of psychological safety and psychological empowerment in improving students' creativity in the context of project-based learning from the perspective of student empowerment. Based on self-determination theory, we propose that psychological safety positively affects students' creativity through psychological empowerment, and fault-tolerant culture plays a positive role in it. In this study, 238 students who participated in project-based learning were randomly selected to conduct a questionnaire survey. The results show that there is a positive correlation between psychological safety and creativity, and psychological empowerment plays an intermediary role in the relationship between them. The fault-tolerant culture enhances the direct influence of psychological safety on psychological empowerment and the indirect influence of psychological safety on creativity. Theoretical and practical implications were also discussed.</t>
  </si>
  <si>
    <t>[Han, Shenghao] Shanghai Univ Finance &amp; Econ, Coll Business, Shanghai, Peoples R China; [Liu, Dewen] Nanjing Univ Posts &amp; Telecommun, Sch Management, Nanjing, Peoples R China; [Lv, Yiliang] Guizhou Univ Commerce, Sch Management, Guiyang, Peoples R China</t>
  </si>
  <si>
    <t>Shanghai University of Finance &amp; Economics; Nanjing University of Posts &amp; Telecommunications; Guizhou University of Commerce</t>
  </si>
  <si>
    <t>Lv, YL (corresponding author), Guizhou Univ Commerce, Sch Management, Guiyang, Peoples R China.</t>
  </si>
  <si>
    <t>954248138@qq.com</t>
  </si>
  <si>
    <t>National Social Science Foundation of China [21CGL019]; General Project of Philosophy and Social Science Project of Guizhou Province [20GZYB09]</t>
  </si>
  <si>
    <t>National Social Science Foundation of China; General Project of Philosophy and Social Science Project of Guizhou Province</t>
  </si>
  <si>
    <t>This work was supported by the National Social Science Foundation of China under grant 21CGL019 and General Project of Philosophy and Social Science Project of Guizhou Province under grant 20GZYB09.</t>
  </si>
  <si>
    <t>10.3389/fpsyg.2022.865123</t>
  </si>
  <si>
    <t>2T7ZT</t>
  </si>
  <si>
    <t>WOS:000822688800001</t>
  </si>
  <si>
    <t>Xu, YH; Wang, QL; Zhang, DM; Lin, PY</t>
  </si>
  <si>
    <t>Xu, Yanhua; Wang, Qiaoling; Zhang, Dongmei; Lin, Peiying</t>
  </si>
  <si>
    <t>The Influence of Sense of Place on Elementary School Students' Creativity During the COVID-19 Pandemic: The Mediating and Buffering Effects of Psychological Resilience</t>
  </si>
  <si>
    <t>sense of place; creativity; psychological resilience; mediating and buffering effects; COVID-19</t>
  </si>
  <si>
    <t>POSITIVE EMOTIONS; ENVIRONMENT; ADVERSITY; RESIDENTS; ATTITUDES; IMPACTS; MODEL; BACK</t>
  </si>
  <si>
    <t>PurposeTo understand the relationship between sense of place and creativity and the mechanisms that affect this relationship, the researchers constructed a mediation model to examine the effect of sense of place on creativity and the mediating role of psychological resilience in elementary school students during the COVID-19 pandemic. MethodsA total of 1,711 students in an elementary school in Beijing, China, were surveyed using Chinese-language versions of the Sense of Place Scale, the Psychological Resilience Scale-Short Version, and the Innovative Behavior Inventory. SPSS (version 23) and PROCESS plug-in (version 3.3) were used for correlation and mediation analyses. Results(1) Correlation analysis revealed that sense of place was positively related to psychological resilience (r = 0.445, p &lt; 0.01) and creativity (r = 0.590, p &lt; 0.01). (2) Psychological resilience was also positively correlated with creativity (r = 0.625, p &lt; 0.01). (3) Further, after controlling for gender and grade level, it was found that sense of place directly predicted creativity and that sense of place also indirectly predicted creativity through psychological resilience. The direct effect (0.45) and the mediating effect (0.23) accounted for 65.95 and 34.05% of the total effect, respectively. ConclusionThe results demonstrate that sense of place is a positive predictor of creativity and can play a facilitating role to some extent. Moreover, psychological resilience is a mediating factor, acting as a buffer between sense of place and creativity. These results contribute to a more comprehensive understanding of the mechanisms influencing creativity.</t>
  </si>
  <si>
    <t>peilincnuedu@foxmail.com</t>
  </si>
  <si>
    <t>10.3389/fpsyg.2022.775624</t>
  </si>
  <si>
    <t>1V2XC</t>
  </si>
  <si>
    <t>WOS:000805958000001</t>
  </si>
  <si>
    <t>Guo, B; Khan, SA; Khan, MI; El-Zahar, ER; Malik, MY; Alqahtani, AS; Chu, YM</t>
  </si>
  <si>
    <t>Guo, Bing; Khan, Sohail A.; Khan, M. Ijaz; El-Zahar, Essam Roshdy; Malik, M. Y.; Alqahtani, A. S.; Chu, Yu-Ming</t>
  </si>
  <si>
    <t>Entropy optimized analysis for the radiative flow of a nanofluid: the Darcy-Forchheimer model</t>
  </si>
  <si>
    <t>WAVES IN RANDOM AND COMPLEX MEDIA</t>
  </si>
  <si>
    <t>Unsteady flow; Darcy-Forchheimer model; joule heating; entropy generation and viscous dissipation</t>
  </si>
  <si>
    <t>STAGNATION-POINT FLOW; THERMAL-CONDUCTIVITY; HEAT-TRANSFER; STRETCHING SURFACE; NANOMATERIAL FLOW; GENERATION; CONVECTION; FLUID; NANOPARTICLES; SIMULATION</t>
  </si>
  <si>
    <t>Nanofluids have higher motivation to develop innovative thermal transport, and significant attempts have been made in this area during the last decades. Currently various researchers have concentrated their effort on the study of nanofluidy. Nanomaterials' innovative behaviors make them significant in various applications such as hybrid-power engines, refrigerators, regenerative medicines, heat exchangers, engine cooling pharmaceutical processes, electronics cooling and vehicle thermal management, etc. Here entropy generation in the hydromagnetic flow of the timedependent DarcyForchheimer nanoliquid over a stretched porous surface is scrutinized. Magnetic force and dissipation are addressed in heat equation. Here copper (CuO) oxide and aluminum (Al2O3) oxide are considered nanoparticles and water (H2O) is used as the base liquid. Nonlinear dimensionless equations are developed through the implementation of similarity variables. To get the numerical solution here, we employed the bvp4c technique. The influences of sundry variables on temperature, fluid flow, and entropy rate are discussed. The performance of fluid friction and heat transport rate against flow variables are studied. Higher porosity variable reduces the velocity profile. An opposite effect is noted for entropy rate and velocity. The Larger Brinkman number corresponds to augments' entropy rate and temperature. Drag force and the Nusselt number have decaying trends for the magnetic field. An opposite of thermal transport rate and drag force for unsteadiness parameter is noticed.</t>
  </si>
  <si>
    <t>[Guo, Bing] Jishou Univ, Sch Math &amp; Stat, Jishou, Peoples R China; [Khan, Sohail A.] Quaid I Azam Univ, Dept Math, Islamabad, Pakistan; [Khan, M. Ijaz] Riphah Int Univ, Dept Math &amp; Stat, Islamabad, Pakistan; [El-Zahar, Essam Roshdy] Prince Sattam Bin Abdulaziz Univ, Coll Sci &amp; Humanities Al Kharj, Dept Math, Al Kharj, Saudi Arabia; [El-Zahar, Essam Roshdy] Menoufia Univ, Fac Engn, Dept Basic Engn Sci, Shibin Al Kawm, Egypt; [Malik, M. Y.; Alqahtani, A. S.] King Khalid Univ, Coll Sci, Dept Math, Abha, Saudi Arabia; [Chu, Yu-Ming] Huzhou Univ, Dept Math, Huzhou, Peoples R China</t>
  </si>
  <si>
    <t>Jishou University; Quaid I Azam University; Prince Sattam Bin Abdulaziz University; Egyptian Knowledge Bank (EKB); Menofia University; King Khalid University; Huzhou University</t>
  </si>
  <si>
    <t>Chu, YM (corresponding author), Huzhou Univ, Dept Math, Huzhou, Peoples R China.</t>
  </si>
  <si>
    <t>chuyuming@zjhu.edu.cn</t>
  </si>
  <si>
    <t>El-Zahar, Essam R/A-9497-2013; Ijaz Khan, Muhammad/B-2744-2018</t>
  </si>
  <si>
    <t>El-Zahar, Essam R/0000-0001-7266-1893; Ijaz Khan, Muhammad/0000-0002-9041-3292</t>
  </si>
  <si>
    <t>King Khalid University, Abha, Saudi Arabia [RGP-2/176/1443]; Natural Science Foundation of Hunan province [2018JJ3018, 17C0292]</t>
  </si>
  <si>
    <t>King Khalid University, Abha, Saudi Arabia; Natural Science Foundation of Hunan province(Natural Science Foundation of Hunan Province)</t>
  </si>
  <si>
    <t>The authors extend their appreciation to the Deanship of Scientific Research at King Khalid University, Abha 61413, Saudi Arabia for funding this work through research groups program under grant number RGP-2/176/1443, and also this work was supported by the Natural Science Foundation of Hunan province (grant numbers 2018JJ3018 and 17C0292).</t>
  </si>
  <si>
    <t>1745-5030</t>
  </si>
  <si>
    <t>1745-5049</t>
  </si>
  <si>
    <t>WAVE RANDOM COMPLEX</t>
  </si>
  <si>
    <t>Waves Random Complex Media</t>
  </si>
  <si>
    <t>10.1080/17455030.2022.2061082</t>
  </si>
  <si>
    <t>0O3BE</t>
  </si>
  <si>
    <t>WOS:000783403700001</t>
  </si>
  <si>
    <t>Xu, S; Yang, Z; Liu, PQ; Yang, F</t>
  </si>
  <si>
    <t>Xu, Shuang; Yang, Zheng; Liu, Pingqing; Yang, Fang</t>
  </si>
  <si>
    <t>How does mentoring affect mentees innovation behavior: The role of self-expansion and social face consciousness</t>
  </si>
  <si>
    <t>Mentoring; Innovation behavior; Self-expansion; Social face consciousness</t>
  </si>
  <si>
    <t>MODERATING ROLE; MEDIATING ROLE; JOB RESOURCES; PREDICTORS; COMMITMENT; DEMANDS; SAFETY; SCALE; POWER; NEED</t>
  </si>
  <si>
    <t>A better understanding of how the mentoring affects mentees' innovation behavior is crucial to improve mentees' innovative work, so as to enhance the competitiveness of enterprises. Yet existing literature pays little attention to mentoring and mentees' innovation behavior from the self-expansion view. This study applies self-expansion theory to examine the link between mentoring and mentee innovation behavior (as rated by mentors) based on 430 dyads of mentors and mentees data from Chinese organizations. We further classify the roles of mentees self-expansion on this link. The results show that mentoring can stimulate mentees innovative behavior and self-expansion plays a mediating effect on this positive relationship. This paper also explores the role of social face consciousness (namely, desire to gain face and fear of losing face) in self-expansion and mentoring. It finds that mentees fear of losing face can moderate the mediating effect of their self-expansion. These empirical findings have implications for understanding how mentoring improves mentees' innovation behavior from individual heterogeneity perspective, which enriches mentoring and self-expansion theory.</t>
  </si>
  <si>
    <t>[Xu, Shuang; Yang, Zheng; Liu, Pingqing; Yang, Fang] Beijing Inst Technol, Sch Management &amp; Econ, 5 South Zhongguancun St, Beijing 10081, Peoples R China; [Liu, Pingqing] Beijing Inst Technol, Sch Management &amp; Econ, Dept Org &amp; Human Resource Management, Beijing, Peoples R China</t>
  </si>
  <si>
    <t>Liu, PQ (corresponding author), Beijing Inst Technol, Sch Management &amp; Econ, 5 South Zhongguancun St, Beijing 10081, Peoples R China.;Liu, PQ (corresponding author), Beijing Inst Technol, Sch Management &amp; Econ, Dept Org &amp; Human Resource Management, Beijing, Peoples R China.</t>
  </si>
  <si>
    <t>xushuang8510@163.com; liupingqing@bit.edu.cn</t>
  </si>
  <si>
    <t>National Office for Philosophy and Social Sciences [20BGL136]; National Natural Science Foundation of China [71172173]</t>
  </si>
  <si>
    <t>National Office for Philosophy and Social Sciences; National Natural Science Foundation of China(National Natural Science Foundation of China (NSFC))</t>
  </si>
  <si>
    <t>The authors gratefully acknowledge the National Office for Philosophy and Social Sciences (Grant No. 20BGL136), National Natural Science Foundation of China (Grant No. 71172173). The responsibility for any error rests solely with the authors. The contents of this paper reflect the views of the authors and do not necessarily indicate acceptance by the sponsors.</t>
  </si>
  <si>
    <t>10.1007/s12144-022-02977-4</t>
  </si>
  <si>
    <t>0B4EF</t>
  </si>
  <si>
    <t>WOS:000774589300006</t>
  </si>
  <si>
    <t>Chen, LY; Luo, XZ; Zhou, F; Zhang, TQ</t>
  </si>
  <si>
    <t>Chen, Liangyong; Luo, Xiaozhen; Zhou, Fei; Zhang, Tianqi</t>
  </si>
  <si>
    <t>Knowledge Hiding and Hider's Innovative Behavior in Chinese Organizations: The Mediating Role of Silence Behavior and the Moderating Role of Zhongyong Thinking</t>
  </si>
  <si>
    <t>MANAGEMENT AND ORGANIZATION REVIEW</t>
  </si>
  <si>
    <t>innovative behavior; knowledge hiding; silence behavior; theory of territorial behavior; Zhongyong thinking</t>
  </si>
  <si>
    <t>EMPLOYEE SILENCE; WORK; CREATIVITY; MODEL; LEADERSHIP; ANTECEDENTS; MULTILEVEL; WORKPLACE; YONG; TERRITORIALITY</t>
  </si>
  <si>
    <t>Drawing from the theory of territorial behavior, this article predicts the explanatory role of silence behavior in the relationship between knowledge hiding and hider's innovative behavior in Chinese organizations, and the potential of Zhongyong thinking in mitigating the detrimental effect of knowledge hiding. Results derived from a time-lagged and multi-source survey support our hypotheses. Specifically, knowledge hiding is negatively associated with the innovative behavior of the hider. Silence behavior mediates the relationship between knowledge hiding and innovative behavior. Meanwhile, Zhongyong thinking moderates the positive relationship between knowledge hiding and silence behavior, as well as the indirect relationship between knowledge hiding and innovative behavior through silence behavior. Theoretical and practical implications are discussed based on these findings.</t>
  </si>
  <si>
    <t>[Chen, Liangyong; Luo, Xiaozhen; Zhang, Tianqi] Huaqiao Univ, Sch Business Adm, Quanzhou, Fujian, Peoples R China; [Zhou, Fei] Huaqiao Univ, Sch Business Adm, Management, Quanzhou, Fujian, Peoples R China</t>
  </si>
  <si>
    <t>Huaqiao University; Huaqiao University</t>
  </si>
  <si>
    <t>Chen, LY (corresponding author), Huaqiao Univ, Sch Business Adm, Quanzhou, Fujian, Peoples R China.</t>
  </si>
  <si>
    <t>clyong@hqu.edu.cn; 10549122401@qq.com; abczf1013@163.com; 1137071325@qq.com</t>
  </si>
  <si>
    <t>1740-8776</t>
  </si>
  <si>
    <t>1740-8784</t>
  </si>
  <si>
    <t>MANAGE ORGAN REV</t>
  </si>
  <si>
    <t>Manag. Organ. Rev.</t>
  </si>
  <si>
    <t>PII S1740877621000760</t>
  </si>
  <si>
    <t>10.1017/mor.2021.76</t>
  </si>
  <si>
    <t>2Y9RI</t>
  </si>
  <si>
    <t>WOS:000773142700001</t>
  </si>
  <si>
    <t>Mao, JY; Xiao, JC; Liu, X; Qing, T; Xu, HL</t>
  </si>
  <si>
    <t>Mao, Jih-Yu; Xiao, Jincen; Liu, Xin; Qing, Tao; Xu, Hongling</t>
  </si>
  <si>
    <t>Emulating Coworkers: How and When Coworker Ideation Facilitates Employee Ideation</t>
  </si>
  <si>
    <t>CREATIVE SELF-EFFICACY; LEADER-MEMBER EXCHANGE; INNOVATIVE BEHAVIOR; TRANSFORMATIONAL LEADERSHIP; MEDIATING ROLE; WORK; PERFORMANCE; PERSPECTIVE; PERCEPTIONS; CONTEXT</t>
  </si>
  <si>
    <t>In this research, we explore how coworker ideation levels or, more specifically, the average ideation levels of coworkers within a workgroup affect a focal employee's ideation. We examine an underlying mechanism and a boundary condition of this influence process. Drawing on social cognitive theory, we argue that high coworker ideation levels are likely to stimulate a focal employee's ideation by enhancing their creative self-efficacy. Furthermore, we suggest that this positive influence is likely to be strengthened when the focal employee has a higher than lower quality of exchange with their coworkers. The results of two field studies provide support for all of the hypotheses. Contributions to theory and insights into practice and future research are discussed.</t>
  </si>
  <si>
    <t>[Mao, Jih-Yu; Qing, Tao; Xu, Hongling] Southwestern Univ Finance &amp; Econ, Fac Business Adm, Sch Business Adm, Chengdu, Peoples R China; [Xiao, Jincen] Xihua Univ, Sch Management, 9999 Hongguang Ave, Chengdu 610039, Sichuan, Peoples R China; [Liu, Xin] Renmin Univ China, Renmin Business Sch, Beijing, Peoples R China</t>
  </si>
  <si>
    <t>Southwestern University of Finance &amp; Economics - China; Xihua University; Renmin University of China</t>
  </si>
  <si>
    <t>Xiao, JC (corresponding author), Xihua Univ, Sch Management, 9999 Hongguang Ave, Chengdu 610039, Sichuan, Peoples R China.</t>
  </si>
  <si>
    <t>xjincen@mail.xhu.edu.cn</t>
  </si>
  <si>
    <t>Liu, Xin/0000-0001-7600-4858; Xiao, Jincen/0000-0002-9057-5945</t>
  </si>
  <si>
    <t>National Natural Science Foundation of China [72002214]</t>
  </si>
  <si>
    <t>This research was supported by National Natural Science Foundation of China (Grant Number: 72002214, awarded to Xin Liu).</t>
  </si>
  <si>
    <t>10.1080/10400419.2022.2049533</t>
  </si>
  <si>
    <t>A0ZE1</t>
  </si>
  <si>
    <t>WOS:000772370100001</t>
  </si>
  <si>
    <t>Tolkamp, G; Vriend, T; Verwaeren, B; Reiter-Palmon, R; Nijstad, B</t>
  </si>
  <si>
    <t>Tolkamp, Gerben; Vriend, Tim; Verwaeren, Bart; Reiter-Palmon, Roni; Nijstad, Bernard</t>
  </si>
  <si>
    <t>Disentangling the Creative Process: an Examination of Differential Antecedents and Outcomes for Specific Process Elements</t>
  </si>
  <si>
    <t>Employee creativity; Creative process; Sensemaking; Job autonomy; Leader creative expectations</t>
  </si>
  <si>
    <t>COMMON METHOD VARIANCE; INTRINSIC MOTIVATION; EMPLOYEE CREATIVITY; PSYCHOLOGICAL EMPOWERMENT; WORKPLACE CREATIVITY; INNOVATIVE BEHAVIOR; WORK; LEADERSHIP; MODEL; ORGANIZATIONS</t>
  </si>
  <si>
    <t>Building on theories of sensemaking, this study demonstrates the importance of disentangling the creative process. Specifically, we show that the specific elements of the creative process (problem construction, information search and encoding, and idea generation) are differentially related to both antecedents and specific types of creative outcomes. Using survey data from employees and their supervisors from a wide variety of organizations, we found that leader creative expectations were more strongly related to idea generation than to problem construction and to information search and encoding. Job autonomy, in contrast, was significantly related to problem construction, but not to information search and encoding or idea generation. Furthermore, we found that although idea generation is positively related to both radical and incremental creativity, problem construction is only positively related to radical creativity. We discuss implications for the study of creative processes and creativity more generally.</t>
  </si>
  <si>
    <t>[Tolkamp, Gerben; Vriend, Tim; Nijstad, Bernard] Univ Groningen, Fac Econ &amp; Business, Dept Human Resources &amp; Org Behav, Groningen, Netherlands; [Vriend, Tim] Hanze Univ Appl Sci, Int Business Sch, Groningen, Netherlands; [Verwaeren, Bart] Aarhus Univ, Dept Management, Aarhus BSS, Aarhus, Denmark; [Reiter-Palmon, Roni] Univ Nebraska, Dept Psychol, Coll Arts &amp; Sci, Omaha, NE 68182 USA</t>
  </si>
  <si>
    <t>University of Groningen; Aarhus University; University of Nebraska System</t>
  </si>
  <si>
    <t>Tolkamp, G (corresponding author), Univ Groningen, Fac Econ &amp; Business, Dept Human Resources &amp; Org Behav, Groningen, Netherlands.</t>
  </si>
  <si>
    <t>g.h.j.tolkamp@rug.nl</t>
  </si>
  <si>
    <t>Reiter-Palmon, Roni/0000-0001-8259-4516; Tolkamp, Gerben/0000-0003-2666-2048</t>
  </si>
  <si>
    <t>Netherlands Organization for Scientific Research (NWO) [453-15-002]</t>
  </si>
  <si>
    <t>This study was funded by Netherlands Organization for Scientific Research (NWO; grant number 453-15-002).</t>
  </si>
  <si>
    <t>10.1007/s10869-022-09808-0</t>
  </si>
  <si>
    <t>5N7JQ</t>
  </si>
  <si>
    <t>WOS:000772716600002</t>
  </si>
  <si>
    <t>Chen, LY; Liu, Y; Hu, SM; Zhang, S</t>
  </si>
  <si>
    <t>Chen, Liangyong; Liu, Yu; Hu, Sanman; Zhang, Sai</t>
  </si>
  <si>
    <t>Perception of organizational politics and innovative behavior in the workplace: The roles of knowledge-sharing hostility and mindfulness</t>
  </si>
  <si>
    <t>Perception of organizational politics; Knowledge-sharing hostility; Innovative behavior; Mindfulness; Perception of organizational politics; Knowledge-sharing hostility; Innovative behavior; Mindfulness</t>
  </si>
  <si>
    <t>MEDIATING ROLE; WORK BEHAVIOR; CREATIVITY; PERFORMANCE; EXCHANGE; CLIMATE; MODEL; TEAM; MECHANISMS; ENGAGEMENT</t>
  </si>
  <si>
    <t>Perceptions of organizational politics and innovation have been widely studied. However, their relationship is not well understood. Drawing on the social exchange and conservation of resources theories, this study examined their relationship and explored the mediating role of knowledge-sharing hostility and the moderating role of mindfulness. Data were collected through a time-lagged and multi-source survey that included 239 employees and their supervisors. Hierarchical multiple regression and bootstrap analyses were performed to test our hypotheses. The results showed that knowledge-sharing hostility mediated the relationship between the perception of organizational politics and innovative behavior. Moreover, mindfulness moderated both processes with which perception of organizational politics directly and, through knowledge-sharing hostility, indirectly related to innovative behavior. Managers are advised to formulate and adhere to clear regulations and policies to reduce their perception of organizational politics. They can also offer mindfulness training programs to buffer the detrimental effect of the perception of organizational politics.</t>
  </si>
  <si>
    <t>[Chen, Liangyong; Liu, Yu; Hu, Sanman; Zhang, Sai] Huaqiao Univ, Sch Business Adm, Quanzhou 362021, Peoples R China; [Chen, Liangyong] 269, Chenghua North Rd, Quanzhou 362021, Fujian, Peoples R China</t>
  </si>
  <si>
    <t>Chen, LY (corresponding author), Huaqiao Univ, Sch Business Adm, Quanzhou 362021, Peoples R China.;Chen, LY (corresponding author), 269, Chenghua North Rd, Quanzhou 362021, Fujian, Peoples R China.</t>
  </si>
  <si>
    <t>clyong@hqu.edu.cn; 2368419975@qq.com; husanman@hqu.edu.cn; chiniesee@foxmail.com</t>
  </si>
  <si>
    <t>National Natural Science Founda-tion of China [71701072, 71972139]</t>
  </si>
  <si>
    <t>National Natural Science Founda-tion of China(National Natural Science Foundation of China (NSFC))</t>
  </si>
  <si>
    <t>Acknowledgement This research was funded by the National Natural Science Founda-tion of China [grant number 71701072, 71972139] .</t>
  </si>
  <si>
    <t>10.1016/j.jbusres.2022.03.006</t>
  </si>
  <si>
    <t>1T0UU</t>
  </si>
  <si>
    <t>WOS:000804455800001</t>
  </si>
  <si>
    <t>Kim, K</t>
  </si>
  <si>
    <t>Kim, Kyungmin</t>
  </si>
  <si>
    <t>Supervisor Leadership and Subordinates' Innovative Work Behaviors: Creating a Relational Context for Organizational Sustainability</t>
  </si>
  <si>
    <t>innovative work behavior; relational leadership; psychological contract; sustainability</t>
  </si>
  <si>
    <t>PSYCHOLOGICAL CONTRACT; INDIVIDUAL INNOVATION; JOB DEMANDS; MODEL; SOCIALIZATION; ANTECEDENTS; PERCEPTIONS; MANAGEMENT; WORKPLACE; FAIRNESS</t>
  </si>
  <si>
    <t>Under turbulent environmental changes during the pandemic, organizational sustainability requires employees of all levels to perform innovative work behaviors in their daily jobs. Since virtual work environments could deteriorate the quality of collaborative interactions and interpersonal bonds among employees, organizations need to create more relation-focused contexts to trigger innovative behaviors from people. This study aims to explore the influence of supervisors' relational leadership on the contexts in which subordinates are drawn to innovative work behaviors. Particularly, this study explains the process of this relationship by considering the psychological contract construct as the mediating variable, assuming that the social exchange between employees and the organization influences their decision to perform innovative behaviors. A total of 237 newcomers from a Korean conglomerate participated in the study, and surveys were conducted at two time points for the same participant to detect changes over time. The results showed that the perception of supervisors' relational leadership was positively related to employees' performance in innovative work behaviors over time. This relationship was partially mediated by an individual's perception of employee promises, implying that a sense of obligation towards the organization could be an essential condition for innovative work behaviors. The theoretical and practical implications are discussed.</t>
  </si>
  <si>
    <t>[Kim, Kyungmin] Hanshin Univ, Dept Business Adm, Osan Si 18101, South Korea</t>
  </si>
  <si>
    <t>Hanshin University</t>
  </si>
  <si>
    <t>Kim, K (corresponding author), Hanshin Univ, Dept Business Adm, Osan Si 18101, South Korea.</t>
  </si>
  <si>
    <t>kyungmin@hs.ac.kr</t>
  </si>
  <si>
    <t>Kim, Kyungmin/0000-0001-8513-5315</t>
  </si>
  <si>
    <t>Hanshin University in 2022</t>
  </si>
  <si>
    <t>This research was funded by Hanshin University in 2022.</t>
  </si>
  <si>
    <t>10.3390/su14063230</t>
  </si>
  <si>
    <t>0B1CV</t>
  </si>
  <si>
    <t>WOS:000774381100001</t>
  </si>
  <si>
    <t>Sun, YB; Qiu, ZC</t>
  </si>
  <si>
    <t>Sun, Yongbo; Qiu, Zichen</t>
  </si>
  <si>
    <t>Perceived Overqualification and Innovative Behavior: High-Order Moderating Effects of Length of Service</t>
  </si>
  <si>
    <t>perceived overqualification; innovation behavior; felt trust; ability face pressure; length of service; sustainable development</t>
  </si>
  <si>
    <t>JOB-ATTITUDES; METAANALYSIS; EMPLOYEES; OUTCOMES; TRUST; MODEL; FACE</t>
  </si>
  <si>
    <t>Perceived overqualification has been a hot topic in the field of organizational behavior in recent years and has become very common with the spread of education. In addition, in the current era of open innovation, the demand for innovative behaviors by enterprises is increasing day by day. Therefore, this study intended to link the two to explore the relationship between them. Based on self-evaluation theory and face theory, taking enterprise employees as the research object, this paper discusses the impact of perceived overqualifications on employees' innovative behavior and the internal mechanism and examines the first-order and high-order moderating effects of ability-face pressure and length of service in turn. The results showed that perceived overqualifications had a positive impact on employees' innovation behavior, and felt trust had a mediating role in the relationship. Ability face pressure played a negative moderating role in the impact of felt trust on innovative behavior and played a negative moderating role in the impact of perceived overqualifications on innovative behavior. With the increase in the length of service, the negative moderating effect of ability face pressure on the relationship between perceived overqualifications and employees' innovative behavior weakened. It is expected that these results will enable companies to understand the internal mechanisms of employee perceived overqualification, enlighten leaders to give more trust to employees, help companies to improve employees' innovative behavior, and pay attention to the psychological factors of employees, which will help to create a sustainable work environment and promote sustainable business development.</t>
  </si>
  <si>
    <t>[Sun, Yongbo; Qiu, Zichen] Beijing Technol &amp; Business Univ, Business Sch, Fucheng Rd, Beijing 100048, Peoples R China</t>
  </si>
  <si>
    <t>Beijing Technology &amp; Business University</t>
  </si>
  <si>
    <t>Qiu, ZC (corresponding author), Beijing Technol &amp; Business Univ, Business Sch, Fucheng Rd, Beijing 100048, Peoples R China.</t>
  </si>
  <si>
    <t>sunyb@th.btbu.edu.cn; qiuzichen0102@163.com</t>
  </si>
  <si>
    <t>National Social Science Fund of China [18BGL083]; Beijing Natural Science Foundation of China [9172007]</t>
  </si>
  <si>
    <t>National Social Science Fund of China; Beijing Natural Science Foundation of China(Beijing Natural Science Foundation)</t>
  </si>
  <si>
    <t>This research was supported by the National Social Science Fund of China (grant number 18BGL083) and the Beijing Natural Science Foundation of China (grant number 9172007).</t>
  </si>
  <si>
    <t>10.3390/su14063493</t>
  </si>
  <si>
    <t>0B1WU</t>
  </si>
  <si>
    <t>WOS:000774433200001</t>
  </si>
  <si>
    <t>Li, H; So, CW; Chen, HX; Wang, YT; Sun, SS</t>
  </si>
  <si>
    <t>Li, Huan; So, Chungwai; Chen, Hanxiao; Wang, Yating; Sun, Saisai</t>
  </si>
  <si>
    <t>Examining the mechanisms linking responsible leadership and work engagement: the mediating roles of general distributive justice climate and perceived supervisor support</t>
  </si>
  <si>
    <t>Responsible leadership; Perceived supervisor support; General distributive justice climate; Work engagement; Creativity</t>
  </si>
  <si>
    <t>ORGANIZATIONAL CITIZENSHIP BEHAVIOR; PROCEDURAL JUSTICE; JOB DEMANDS; INNOVATIVE BEHAVIOR; TURNOVER INTENTION; STAKEHOLDER THEORY; MODERATING ROLE; SELF-EFFICACY; TRANSACTIONAL LEADERSHIP; EMPLOYEE CREATIVITY</t>
  </si>
  <si>
    <t>Based on stakeholder theory, our study tested whether responsible leadership would influence employees' work engagement through two different mechanisms-general distributive justice climate and perceived supervisor support-and whether work engagement would lead to employees' creativity. We collected sampling data over eight weeks from 116 employees (Level 1, n = 519) who work in different companies in China. Growth modeling analysis was employed to test the hypotheses. Results indicated that work engagement was predicted by responsible leadership. The responsible leadership-work engagement relationship was also found to be mediated by general distributive justice climate and perceived supervisor support. Moreover, we found that work engagement was positively related to employees' creativity in dynamic nature. We discussed the theoretical and practical implications and suggested some directions for future research.</t>
  </si>
  <si>
    <t>[Li, Huan; So, Chungwai; Sun, Saisai] Shanghai Int Studies Univ, Sch Business &amp; Management, Shanghai 201620, Peoples R China; [Chen, Hanxiao] Southwestern Univ Finance &amp; Econ, Sch Foreign Languages Business, Chengdu 611130, Peoples R China; [Wang, Yating] Southwest Jiaotong Univ, Sch Econ &amp; Management, Chengdu 610031, Peoples R China</t>
  </si>
  <si>
    <t>Shanghai International Studies University; Southwestern University of Finance &amp; Economics - China; Southwest Jiaotong University</t>
  </si>
  <si>
    <t>So, CW (corresponding author), Shanghai Int Studies Univ, Sch Business &amp; Management, Shanghai 201620, Peoples R China.</t>
  </si>
  <si>
    <t>0194101313@shisu.edu.cn; 2038@shisu.edu.cn; hation@smail.swufe.edu.cn; wangyating@my.switu.edu.cn; 0203100542@shisu.edu.cn</t>
  </si>
  <si>
    <t>10.1007/s12144-022-02855-z</t>
  </si>
  <si>
    <t>YW3IQ</t>
  </si>
  <si>
    <t>WOS:000753309900004</t>
  </si>
  <si>
    <t>Yu, Y; Yang, GD</t>
  </si>
  <si>
    <t>Yu, Yue; Yang, Guodong</t>
  </si>
  <si>
    <t>Zhongyong thinking, leader-member exchange, and employee innovative behavior</t>
  </si>
  <si>
    <t>Zhongyong thinking; harmony; Confucian culture; leader-member exchange; employee innovative behavior; supervisor-subordinate relationship; creativity</t>
  </si>
  <si>
    <t>ASIAN CULTURE CONFUCIANISM; CREATIVITY; CONFLICT; MODEL; LMX</t>
  </si>
  <si>
    <t>Innovative and creative employees are crucial for increasing organizations' competitive advantage. This study examined the relationship between Zhongyong thinking and employee innovative behavior, along with the mediating role of leader-member exchange (LMX). Participants were 275 subordinates and 6i supervisors employed at a large enterprise in China. We tested the proposed hypotheses with structural equation modeling based on a time-lagged survey. The results show that, as predicted, both Zhongyong thinking and LMX were positively related to subordinates' innovative behavior. Furthermore, LMX partially mediated the relationship between Zhongyong thinking and subordinates' innovative behavior. These findings point to the importance of both Zhongyong thinking and LMX for innovative behavior in an organization. Implications are discussed for research and practice.</t>
  </si>
  <si>
    <t>[Yu, Yue] Northeastern Univ, Sch Humanities &amp; Law, Shenyang, Peoples R China; [Yang, Guodong] Dalian Maritime Univ, Coll Publ Adm &amp; Humanities, 1 Linghai Rd, Dalian 116026, Liaoning, Peoples R China</t>
  </si>
  <si>
    <t>Northeastern University - China; Dalian Maritime University</t>
  </si>
  <si>
    <t>Yang, GD (corresponding author), Dalian Maritime Univ, Coll Publ Adm &amp; Humanities, 1 Linghai Rd, Dalian 116026, Liaoning, Peoples R China.</t>
  </si>
  <si>
    <t>yangguodong@dlmu.edu.cn</t>
  </si>
  <si>
    <t>Ministry of Education of Humanities and Social Science project Research on Organizational Model Construction and Application of Government Data Governance Process [21YJCZH196]</t>
  </si>
  <si>
    <t>Ministry of Education of Humanities and Social Science project Research on Organizational Model Construction and Application of Government Data Governance Process</t>
  </si>
  <si>
    <t>This research was supported by The Ministry of Education of Humanities and Social Science project Research on Organizational Model Construction and Application of Government Data Governance Process (21YJCZH196).</t>
  </si>
  <si>
    <t>e10986</t>
  </si>
  <si>
    <t>10.2224/sbp.10986</t>
  </si>
  <si>
    <t>ZF2PO</t>
  </si>
  <si>
    <t>WOS:000759413900008</t>
  </si>
  <si>
    <t>Wu, WW; Yu, L; Li, HY; Zhang, TY</t>
  </si>
  <si>
    <t>Wu, Weiwei; Yu, Li; Li, Haiyan; Zhang, Tianyi</t>
  </si>
  <si>
    <t>Perceived Environmental Corporate Social Responsibility and Employees' Innovative Behavior: A Stimulus-Organism-Response Perspective</t>
  </si>
  <si>
    <t>environmental corporate social responsibility; employees' innovative behavior; organizational identification; organizational trust; S-O-R model</t>
  </si>
  <si>
    <t>ORGANIZATIONAL TRUST; MODERATING ROLE; MEDIATING ROLE; FINANCIAL PERFORMANCE; CUSTOMER ORIENTATION; IMPACT; IDENTIFICATION; ENGAGEMENT; MODEL; CSR</t>
  </si>
  <si>
    <t>Drawing from the stimulus-organism-response (S-O-R) model, this study examines how and under what circumstances perceived environmental corporate social responsibility (ECSR) affects innovative behavior of employees in the context of environmental protection. Using a sample of 398 employees from different firms in the high energy-consuming industry of China, the results indicate that, at first, perceived ECSR provides a positive effect on organizational identification. Secondly, organizational identification has a positive influence on the innovative behavior of employees. Thirdly, organizational identification plays an important mediating effect between perceived ECSR and the innovative behavior of employees. Fourthly, both the effect of perceived ECSR on organizational identification and the indirect effect of perceived ECSR on the innovative behavior of the employees via organizational identification will be stronger when the levels of organizational trust are high. These findings add new insights into the perceived ECSR-employees' innovative behavior relationship and provide important managerial implications for enhancing ECSR perception to improve the innovative behavior of employees.</t>
  </si>
  <si>
    <t>[Wu, Weiwei; Yu, Li; Zhang, Tianyi] Harbin Inst Technol, Sch Management, Harbin, Peoples R China; [Li, Haiyan] Shantou Univ, Business Sch, Shantou, Peoples R China; [Li, Haiyan] Shantou Univ, Res Ctr Chaoshang Innovat &amp; Entrepreneurship, Shantou, Peoples R China</t>
  </si>
  <si>
    <t>Harbin Institute of Technology; Shantou University; Shantou University</t>
  </si>
  <si>
    <t>Yu, L (corresponding author), Harbin Inst Technol, Sch Management, Harbin, Peoples R China.</t>
  </si>
  <si>
    <t>yuli9853@163.com</t>
  </si>
  <si>
    <t>National Natural Science Foundation of China [72072047]; Heilongjiang Philosophy and Social Science Research Project [19GLB087]; Humanities and Social Sciences Project of Ministry of Education in China [20YJC630090]; Fundamental Research Funds for the Central Universities [HIT.HSS.202102]; China Scholarship Council [202106120213]</t>
  </si>
  <si>
    <t>National Natural Science Foundation of China(National Natural Science Foundation of China (NSFC)); Heilongjiang Philosophy and Social Science Research Project; Humanities and Social Sciences Project of Ministry of Education in China; Fundamental Research Funds for the Central Universities(Fundamental Research Funds for the Central Universities); China Scholarship Council(China Scholarship Council)</t>
  </si>
  <si>
    <t>&amp; nbsp;This work was supported by the National Natural Science Foundation of China (72072047), Heilongjiang Philosophy and Social Science Research Project (19GLB087), the Humanities and Social Sciences Project of Ministry of Education in China (20YJC630090), the Fundamental Research Funds for the Central Universities (HIT.HSS.202102), and the China Scholarship Council (CSC NO. 202106120213).</t>
  </si>
  <si>
    <t>JAN 31</t>
  </si>
  <si>
    <t>10.3389/fpsyg.2021.777657</t>
  </si>
  <si>
    <t>ZB0OQ</t>
  </si>
  <si>
    <t>WOS:000756552800001</t>
  </si>
  <si>
    <t>Nourafkan, NJ; Tanova, C; Gokmenoglu, KK</t>
  </si>
  <si>
    <t>Nourafkan, Nadia Jobbehdar; Tanova, Cem; Gokmenoglu, Korhan K.</t>
  </si>
  <si>
    <t>Can Mindfulness Improve Organizational Citizenship and Innovative Behaviors Through its Impact on Well-Being Among Academics?</t>
  </si>
  <si>
    <t>PSYCHOLOGICAL REPORTS</t>
  </si>
  <si>
    <t>Mindfulness; organizational citizenship behavior; innovative work behavior; Eudaimonic well-being; academics; COVID-19</t>
  </si>
  <si>
    <t>SELF-DETERMINATION THEORY; WORKPLACE MINDFULNESS; WORK; PERFORMANCE; ATTENTION; HAPPINESS; BENEFITS; PEOPLE; NEEDS</t>
  </si>
  <si>
    <t>Mindfulness has received considerable interest due to its positive outcomes for individuals however our understanding of how it may also result in positive outcomes for organizations is not fully understood. Using data collected from university academics (N = 255) in Northern Cyprus, we examine mindfulness as a factor that leads to Organizational Citizenship Behavior (OCB) and Innovative Work Behaviors (IWB). We expect that eudaimonic well-being serves as the mechanism that links mindfulness to IWB and OCB. Our results show mindfulness improves eudaimonic well-being. Eudaimonic well-being fully mediates the Mindfulness-IWB relationship and partially mediates the Mindfulness-OCB relationship. Since the COVID-19 pandemic has highlighted the importance of OCB and IWB for universities, our study has important implications for university managers and policymakers.</t>
  </si>
  <si>
    <t>[Nourafkan, Nadia Jobbehdar; Tanova, Cem] Eastern Mediterranean Univ, Dept Business Adm, Famagusta, Turkey; [Gokmenoglu, Korhan K.] Eastern Mediterranean Univ, Dept Banking &amp; Finance, Famagusta, Turkey</t>
  </si>
  <si>
    <t>Nourafkan, NJ (corresponding author), Eastern Mediterranean Univ, Fac Business &amp; Econ, Mersin 10, Famagusta, Turkey.</t>
  </si>
  <si>
    <t>nadia.nourafkan@emu.edu.tr</t>
  </si>
  <si>
    <t>Gokmenoglu, Korhan/T-3596-2019; Tanova, Cem/A-7255-2012</t>
  </si>
  <si>
    <t>Gokmenoglu, Korhan/0000-0002-2013-6867; Tanova, Cem/0000-0003-4600-8852; Jobbehdar Nourafkan, Nadia/0000-0001-6544-0160</t>
  </si>
  <si>
    <t>0033-2941</t>
  </si>
  <si>
    <t>1558-691X</t>
  </si>
  <si>
    <t>PSYCHOL REP</t>
  </si>
  <si>
    <t>Psychol. Rep.</t>
  </si>
  <si>
    <t>10.1177/00332941211069517</t>
  </si>
  <si>
    <t>ZO0SZ</t>
  </si>
  <si>
    <t>WOS:000765440000001</t>
  </si>
  <si>
    <t>Wu, D; Zhou, C; Liang, XF; Li, YT; Chen, M</t>
  </si>
  <si>
    <t>Wu, Di; Zhou, Chi; Liang, Xingfang; Li, Yating; Chen, Min</t>
  </si>
  <si>
    <t>Integrating technology into teaching: Factors influencing rural teachers' innovative behavior</t>
  </si>
  <si>
    <t>EDUCATION AND INFORMATION TECHNOLOGIES</t>
  </si>
  <si>
    <t>Innovative behavior; Innovative teaching; Integrating technology into teaching; Rural teacher; Influencing factors</t>
  </si>
  <si>
    <t>SELF-EFFICACY; INFORMATION LITERACY; IMPACT; TECHNOSTRESS; WORK; ICT; RECOMMENDATIONS; COLLABORATION; COMMUNITY; CLIMATE</t>
  </si>
  <si>
    <t>The importance of rural teachers' innovative behavior of integrating technology into teaching (ITT) has been well recognized. Nevertheless, rural teachers' innovative behavior of ITT is far from satisfactory. In order to promote rural teachers' innovative behavior of ITT, it is necessary to better understand what factors are related to it. This study developed a research model of factors related to rural teachers' innovation behavior of ITT based on social cognitive theory (SCT). To verify the model, this study collected surveys from 4090 primary and secondary school teachers in rural areas of China, adopted structural equation modeling to analyze the data. The results indicated that organizational environment, peer support, and information literacy contributed to rural teachers' innovative behavior of ITT, while technostress hindered rural teachers' innovative behavior of ITT. In addition, information literacy mediated the effect of organizational environment and peer support on innovative behavior of ITT, and technostress mediated the effect of peer support and information literacy on innovative behavior of ITT. These findings provide valuable information for teacher training and professional development to promote rural teachers' innovative behavior of ITT.</t>
  </si>
  <si>
    <t>[Wu, Di; Zhou, Chi; Liang, Xingfang; Li, Yating; Chen, Min] Cent China Normal Univ, Natl Engn Res Ctr E Learning, 152 LuoYu St, Wuhan 430079, Peoples R China</t>
  </si>
  <si>
    <t>Central China Normal University</t>
  </si>
  <si>
    <t>Chen, M (corresponding author), Cent China Normal Univ, Natl Engn Res Ctr E Learning, 152 LuoYu St, Wuhan 430079, Peoples R China.</t>
  </si>
  <si>
    <t>minchen@mail.ccnu.edu.cn</t>
  </si>
  <si>
    <t>Zhou, Chi/0000-0002-5124-0851</t>
  </si>
  <si>
    <t>1360-2357</t>
  </si>
  <si>
    <t>1573-7608</t>
  </si>
  <si>
    <t>EDUC INF TECHNOL</t>
  </si>
  <si>
    <t>Educ. Inf. Technol.</t>
  </si>
  <si>
    <t>10.1007/s10639-021-10815-6</t>
  </si>
  <si>
    <t>1U7MK</t>
  </si>
  <si>
    <t>WOS:000744872500005</t>
  </si>
  <si>
    <t>Namono, R; Musenze, IA; Mayende, TS</t>
  </si>
  <si>
    <t>Namono, Rehema; Musenze, Ibrahim Abaasi; Mayende, Thomas Sifuna</t>
  </si>
  <si>
    <t>Activating creative behaviour of academic knowledge workers in selected public universities in Uganda: The role of hope</t>
  </si>
  <si>
    <t>NEW IDEAS IN PSYCHOLOGY</t>
  </si>
  <si>
    <t>Creative behavior; Universities; Hope; Academic knowledge workers; Uganda; Dual pathway to creativity model</t>
  </si>
  <si>
    <t>SELF-EFFICACY; POSITIVE AFFECT; EMPLOYEE CREATIVITY; INNOVATIVE BEHAVIOR; DUAL PATHWAY; PERFORMANCE; MODEL; IMPACT; STAFF</t>
  </si>
  <si>
    <t>The current constantly volatile and dynamic work environment on the global scene requires education institutions as knowledge dissemination platforms to enhance staff creativity to thrive. But empirical studies about creativity in the service sector and, more particularly, in education settings are limited. And studies that seek to establish the link between hope and creativity have not considered how hope enhances the different behaviors that make up creative behavior, although scholars have revealed that creativity involves different activities. We used a sample drawn from the academic staff of three public Universities in Uganda located in Kampala city to establish how hope influences creative behavior. The research employed a cross-sectional study design to assess the hypothesized linkage between hope and creative behavior. The results establish that hope has a significant effect on the three dimensions of creativity. Regarding control variables, apart from Education which significantly influenced idea exploration, idea generation, and idea championing, age, gender and tenure did not significantly influence the three facets of creative behavior. The results build on the theory of hope by demonstrating the impact of hope on various aspects of creative behavior. The findings support the dual pathway to creativity model's arguments that individuals with high hope levels are cognitively flexible to work towards the achievement of creative targets and, when befallen by failure, can devise other solutions to tackle work related challenges.</t>
  </si>
  <si>
    <t>[Namono, Rehema] Kyambogo Univ, Sch Management &amp; Entrepreneurship, Dept Management Sci, Kampala, Uganda; [Namono, Rehema; Musenze, Ibrahim Abaasi; Mayende, Thomas Sifuna] Busitema Univ, Fac Management Sci, Dept Econ &amp; Management, Pallisa, Uganda</t>
  </si>
  <si>
    <t>Namono, R (corresponding author), Kyambogo Univ, Sch Management &amp; Entrepreneurship, Dept Management Sci, Kampala, Uganda.</t>
  </si>
  <si>
    <t>rehemanamono01@gmail.com; ibramusenze@yahoo.com; mayendetom@gmail.com</t>
  </si>
  <si>
    <t>0732-118X</t>
  </si>
  <si>
    <t>1873-3522</t>
  </si>
  <si>
    <t>NEW IDEAS PSYCHOL</t>
  </si>
  <si>
    <t>New Ideas Psychol.</t>
  </si>
  <si>
    <t>10.1016/j.newideapsych.2021.100930</t>
  </si>
  <si>
    <t>Psychology, Multidisciplinary; Psychology, Experimental</t>
  </si>
  <si>
    <t>ZZ0FA</t>
  </si>
  <si>
    <t>WOS:000772951600005</t>
  </si>
  <si>
    <t>Dai, QW; Dai, YH; Zhang, CY; Meng, ZM; Chen, ZY; Hu, SL</t>
  </si>
  <si>
    <t>Dai, Qiwen; Dai, Yanhong; Zhang, Chunyu; Meng, Zhiming; Chen, Zeyu; Hu, Senlin</t>
  </si>
  <si>
    <t>The Influence of Personal Motivation and Innovative Climate on Innovative Behavior: Evidence from University Students in China</t>
  </si>
  <si>
    <t>innovative behavior; personal motivation; innovative climate; university students</t>
  </si>
  <si>
    <t>ANTECEDENTS; SATISFACTION; SUPPORT; IMPACT</t>
  </si>
  <si>
    <t>Purpose: Drawing on the motivation theory, this study investigated the effect and consequences of personal motivation and innovative climate on innovative behavior among university students in mainland China. The study also examined whether the effect of personal motivation and innovative climate on Chinese university students' innovative behavior is heterogeneous between disciplines and place of residence.Methods: A quantitative study was conducted to test the hypotheses. Data were collected from 245 undergraduate students at Chinese universities with paper-based questionnaires. Self-report scales were used to measure levels of personal motivation, innovative climate, and innovative behaviors. A confirmatory factor analysis was used to test the scale and questionnaire's reliability and validity. The logistic model was applied to analyze the data and test the hypotheses. Results: Personal motivation and innovative climate have significant effects on Chinese university students' innovative behavior. The effect of personal motivation and innovative climate on students' innovative behavior is heterogeneous between disciplines and place of residence. Further, extrinsic motivation serves as a positive incentive. Mentor support, good academic climate, and knowledge sharing affect students' innovative behavior positively. However, insufficient guaranteed resources has a significant negative influence. The data demonstrated no statistically significant difference between intrinsic motivation and students' innovative behavior.Conclusion: This study contributes to the empirical literature on mechanisms that influence innovative behavior by testing the relation between personal motivation, innovative climate, and innovative behavior on the part of Chinese university students. In addition, these findings also provide evidence for ways to improve university students' innovative consciousness and innovative ability, as well as universities' management practice of innovative education.</t>
  </si>
  <si>
    <t>[Dai, Qiwen; Dai, Yanhong; Zhang, Chunyu; Chen, Zeyu] Guangxi Normal Univ, Sch Econ &amp; Management, Guilin, Peoples R China; [Meng, Zhiming] Guangxi Normal Univ, Sch Innovat &amp; Entrepreneurship, Guilin, Peoples R China; [Hu, Senlin] East China Normal Univ, Sch Urban Dev Res, Shanghai, Peoples R China; [Zhang, Chunyu] Guangxi Normal Univ, Sch Econ &amp; Management, Guilin 541004, Guangxi, Peoples R China</t>
  </si>
  <si>
    <t>Guangxi Normal University; Guangxi Normal University; East China Normal University; Guangxi Normal University</t>
  </si>
  <si>
    <t>Zhang, CY (corresponding author), Guangxi Normal Univ, Sch Econ &amp; Management, Guilin 541004, Guangxi, Peoples R China.</t>
  </si>
  <si>
    <t>468160345@qq.com</t>
  </si>
  <si>
    <t>Zhang, Chunyu/AEK-2946-2022; Zhang, Chun-yu/HDP-5776-2022</t>
  </si>
  <si>
    <t xml:space="preserve">Zhang, Chunyu/0000-0002-7008-0742; </t>
  </si>
  <si>
    <t>National Natural Science Foundation of China [42061027]; Science and Technology Plan Foundation of Guangxi [Guike AD20159071]; Philosophy and Social Science Planning Foundation of Guangxi [20CJY004]; Degree and Graduate Education Reform Foundation of Guangxi Normal University [XJGY2021015]; Guangxi Educational Science 14th Five -Year Plan~Special Project for 2021, Empirical Research on the Influence of Teacher Characteristics on University students~Innovative Ability [2021ZJY1526]; Project of Guangxi Social Science Think Tank [Zkzxkt202208]</t>
  </si>
  <si>
    <t>National Natural Science Foundation of China(National Natural Science Foundation of China (NSFC)); Science and Technology Plan Foundation of Guangxi; Philosophy and Social Science Planning Foundation of Guangxi; Degree and Graduate Education Reform Foundation of Guangxi Normal University; Guangxi Educational Science 14th Five -Year Plan~Special Project for 2021, Empirical Research on the Influence of Teacher Characteristics on University students~Innovative Ability; Project of Guangxi Social Science Think Tank</t>
  </si>
  <si>
    <t>This work was supported financially by the National Natural Science Foundation of China (42061027) ; the Science and Technology Plan Foundation of Guangxi (Guike AD20159071) ; the Philosophy and Social Science Planning Foundation of Guangxi (20CJY004) ; the Degree and Graduate Education Reform Foundation of Guangxi Normal University (XJGY2021015) ; Guangxi Educational Science 14th Five -Year Plan Special Project for 2021, Empirical Research on the Influence of Teacher Characteristics on University students' Innovative Ability (2021ZJY1526) ; Project of Guangxi Social Science Think Tank in 2022 (Zkzxkt202208) .</t>
  </si>
  <si>
    <t>10.2147/PRBM.S381494</t>
  </si>
  <si>
    <t>5R8XH</t>
  </si>
  <si>
    <t>WOS:000874788000001</t>
  </si>
  <si>
    <t>Godlewska, M; Banasik, P; Morawska, S</t>
  </si>
  <si>
    <t>Godlewska, Malgorzata; Banasik, Przemyslaw; Morawska, Sylwia</t>
  </si>
  <si>
    <t>THE IMPACT OF INSTITUTIONS ON INNOVATION NETWORKS: EMPIRICAL EVIDENCE FROM POLAND</t>
  </si>
  <si>
    <t>TECHNOLOGICAL AND ECONOMIC DEVELOPMENT OF ECONOMY</t>
  </si>
  <si>
    <t>innovation networks; innovations; institutions; institutional analysis; parametric and non-parametric statistics; empirical research; Poland; the Kruskal-Wallis H test; regression analysis</t>
  </si>
  <si>
    <t>RESEARCH-AND-DEVELOPMENT; KNOWLEDGE; DYNAMICS; PERFORMANCE; MANAGEMENT; GOVERNMENT; CAPABILITIES; CHALLENGES; EFFICIENCY; REGIONS</t>
  </si>
  <si>
    <t>Innovation networks may accelerate and improve the innovation process, while institutional pathologies may hamper it. This study employs the Kruskal-Wallis H test and regression analysis to determine if the relationship between institutions and innovation networks does exist among the investigated variables. The purpose of the study was to find out whether cooperation with special local institutions influences the innovative behaviour of local governments manifested by participation in innovation networks or innovation networks based on formal institutions limit institutional pathologies better than informal ones. Current paper presents results of an empirical study conducted through survey among all local governments in Poland. The findings show that previous cooperation with special local institutions influences the innovation behaviour of local governments or innovation networks based on formal rules limit the institutional pathologies of innovation networks better than those based on sanctions, common values, codes of ethics, governance codes or culture. The investigated problem is significant, as properly functioning innovation networks may generate incremental innovations, which may help to solve the contemporary challenges. The practical implications for national regulatory bodies highlight the need for an enforcement mechanism which may support the formalisation of innovation networks.</t>
  </si>
  <si>
    <t>[Godlewska, Malgorzata; Morawska, Sylwia] SGH Warsaw Sch Econ, Dept Adm &amp; Financial Corp Law, Warsaw, Poland; [Banasik, Przemyslaw] Gdansk Univ Technol, Dept Entrepreneurship, Gdansk, Poland</t>
  </si>
  <si>
    <t>Warsaw School of Economics; Fahrenheit Universities; Gdansk University of Technology</t>
  </si>
  <si>
    <t>Godlewska, M (corresponding author), SGH Warsaw Sch Econ, Dept Adm &amp; Financial Corp Law, Warsaw, Poland.</t>
  </si>
  <si>
    <t>mgodlews@sgh.waw.pl</t>
  </si>
  <si>
    <t>Godlewska, Malgorzata/X-5357-2018</t>
  </si>
  <si>
    <t>Godlewska, Malgorzata/0000-0001-7413-0674</t>
  </si>
  <si>
    <t>Polish National Science Centre [2019/03/X/HS4/01020]</t>
  </si>
  <si>
    <t>This work was supported by the Polish National Science Centre through a grant entitled MINIATURA 3 Comparison of institutional pathologies of innovation networks in Poland and Hungary number 2019/03/X/HS4/01020.</t>
  </si>
  <si>
    <t>2029-4913</t>
  </si>
  <si>
    <t>2029-4921</t>
  </si>
  <si>
    <t>TECHNOL ECON DEV ECO</t>
  </si>
  <si>
    <t>Technol. Econ. Dev. Econ.</t>
  </si>
  <si>
    <t>10.3846/tede.2022.16781</t>
  </si>
  <si>
    <t>2A7PK</t>
  </si>
  <si>
    <t>WOS:000809689100009</t>
  </si>
  <si>
    <t>Cunha, AM; Marques, CS; Santos, G</t>
  </si>
  <si>
    <t>Moreno Cunha, Ariana; Marques, Carla Susana; Santos, Gina</t>
  </si>
  <si>
    <t>Organizational and Personal Factors That Boost Innovation: The Case of Nurses during COVID-19 Pandemic Based on Job Demands-Resources Model</t>
  </si>
  <si>
    <t>stress; anxiety; work engagement; organizational support; innovative behaviour; innovation outputs; job demands-resources model; nurses; COVID-19</t>
  </si>
  <si>
    <t>LEADER-MEMBER EXCHANGE; WORK ENGAGEMENT; HEALTH-CARE; PSYCHOLOGICAL EMPOWERMENT; EMPLOYEE INNOVATION; GOAL ORIENTATIONS; BUILD THEORY; BEHAVIOR; PERFORMANCE; HOSPITALS</t>
  </si>
  <si>
    <t>Since 2019, the world has been experiencing a pandemic period due to the COVID-19 virus, which has brought the need for organizations in general, healthcare organizations and their professionals in particular, to focus on innovation as a way to fight an utterly unknown virus. Thus, this study aims to understand how nurses and their personal factors (stress, anxiety, work engagement, organizational support) impact their innovative behaviour and innovation outputs, contributing to innovation in the current pandemic period through changes in thoughts, values, behaviours and relationships among healthcare professionals and their organizations. For this purpose, the Job Demands-Resources model was used as a reference, and the measurement instrument was applied to 738 nurses working in healthcare units in Portugal. Therefore, it was found that the nurses' personal factors have a positive effect on the nurses' innovative behaviour and innovation outputs, with the innovative behaviour having the most significant impact on innovation outputs, which will benefit healthcare organizations and the healthcare provided to patients during the pandemic, through innovative behaviours and products. It is also possible to understand how the available resources and the demands imposed on nurses interfere with their innovative behaviour (Job Demands-Resources model).</t>
  </si>
  <si>
    <t>[Moreno Cunha, Ariana] Ctr Hosp Tras Os Montes &amp; Alto Douro CHTMAD, Hepatol Day Care Hosp, P-5000508 Vila Real, Portugal; [Marques, Carla Susana] Univ Tras Os Montes &amp; Alto Douro UTAD, Dept Econ Sociol &amp; Management, CETRAD Res Ctr, P-5000801 Vila Real, Portugal; [Santos, Gina] Lusofona Univ, CETRAD Res Ctr, P-5000801 Vila Real, Portugal</t>
  </si>
  <si>
    <t>University of Tras-os-Montes &amp; Alto Douro; Lusofona University</t>
  </si>
  <si>
    <t>Cunha, AM (corresponding author), Ctr Hosp Tras Os Montes &amp; Alto Douro CHTMAD, Hepatol Day Care Hosp, P-5000508 Vila Real, Portugal.</t>
  </si>
  <si>
    <t>ariana-moreno@hotmail.com; smarques@utad.pt; gina.santos@utad.pt</t>
  </si>
  <si>
    <t>Santos, Gina/L-4304-2019; Marques, Ana/GRR-9117-2022; Marques, Carla Susana/U-2410-2018</t>
  </si>
  <si>
    <t>Santos, Gina/0000-0003-3467-6204; Marques, Carla Susana/0000-0003-1557-1319; Moreno Cunha, Ariana/0000-0002-9274-4888</t>
  </si>
  <si>
    <t>national funds, through the FCT--Portuguese Foundation for Science and Technology [UIDB/04011/2020]</t>
  </si>
  <si>
    <t>national funds, through the FCT--Portuguese Foundation for Science and Technology(Fundacao para a Ciencia e a Tecnologia (FCT))</t>
  </si>
  <si>
    <t>The paper was funded by national funds, through the FCT--Portuguese Foundation for Science and Technology under the project UIDB/04011/2020.</t>
  </si>
  <si>
    <t>10.3390/su14010458</t>
  </si>
  <si>
    <t>YH9RF</t>
  </si>
  <si>
    <t>WOS:000743495800001</t>
  </si>
  <si>
    <t>Yang, J; Qin, YJ</t>
  </si>
  <si>
    <t>Yang, Jie; Qin, Yuanjian</t>
  </si>
  <si>
    <t>Influence of work pressure and psychological distance on innovation behavior of employees in the sports industry</t>
  </si>
  <si>
    <t>REVISTA DE PSICOLOGIA DEL DEPORTE</t>
  </si>
  <si>
    <t>Working pressure; Psychological distance; Sports staff; Innovative behavior</t>
  </si>
  <si>
    <t>CREATIVE MOTIVATION</t>
  </si>
  <si>
    <t>This study examines the effects of work pressure and psychological distance on employees' innovative behavior in the sports industry. This study carried out a questionnaire survey to collect primary data. This paper systematically analyzed the influence mechanism and ways of job stress, goal orientation, and self-efficacy on employees' innovative behavior using a questionnaire survey. This relationship is analyzed by using primary data through a statistical tool. Results of the study highlighted that work pressure has a significant relationship with the innovation behavior of employees in the sports industry. Furthermore, it is found that psychological distance has a significant relationship with employees' innovative behavior in the sports industry. In enterprise management, managers should pay attention to the importance of innovation and build a cultural mechanism conducive to employee innovation; Improve the scientific management level of pressure, maintain appropriate work pressure and moderately exert challenging pressure; Guide employees to set work goals and pay attention to providing employees with a working atmosphere conducive to learning; Enhance employees' innovative self-efficacy to promote the long-term development of the enterprise.</t>
  </si>
  <si>
    <t>[Yang, Jie; Qin, Yuanjian] Wuhan Univ Technol, Sch Management, Wuhan, Peoples R China</t>
  </si>
  <si>
    <t>Wuhan University of Technology</t>
  </si>
  <si>
    <t>Qin, YJ (corresponding author), Wuhan Univ Technol, Sch Management, Wuhan, Peoples R China.</t>
  </si>
  <si>
    <t>qyjhb0101@163.com</t>
  </si>
  <si>
    <t>China's National Natural Science Foundation [111578109]</t>
  </si>
  <si>
    <t>China's National Natural Science Foundation(National Natural Science Foundation of China (NSFC))</t>
  </si>
  <si>
    <t>The work was supported by China's National Natural Science Foundation (Grant: 111578109) .</t>
  </si>
  <si>
    <t>UNIV ILLES BALEARS</t>
  </si>
  <si>
    <t>PALMA</t>
  </si>
  <si>
    <t>SERVEI PUBLICACIONS INTERCANVI CIENTIFIC CAS JAI, CAMPUS UNIV, CARRETERA VALLDEMOSSA, K M 7 5, PALMA, ILLES BALEARS 07122, SPAIN</t>
  </si>
  <si>
    <t>1132-239X</t>
  </si>
  <si>
    <t>1988-5636</t>
  </si>
  <si>
    <t>REV PSICOL DEPORTE</t>
  </si>
  <si>
    <t>Rev. Psicol. Deporte</t>
  </si>
  <si>
    <t>1S7NZ</t>
  </si>
  <si>
    <t>WOS:000804235000008</t>
  </si>
  <si>
    <t>Ma, YS; Zhang, HM; Dai, Y</t>
  </si>
  <si>
    <t>Ma, Yingshuang; Zhang, Haomin; Dai, Yi</t>
  </si>
  <si>
    <t>How Job Creativity Requirements Affects Employee Creativity: Evidence From a Across-Level Analysis</t>
  </si>
  <si>
    <t>job creativity requirement; creative process engagement; employee creativity; team knowledge sharing; Pygmalion</t>
  </si>
  <si>
    <t>TRANSFORMATIONAL LEADERSHIP; INNOVATIVE BEHAVIOR; GOAL ORIENTATION; PERFORMANCE; WORK; KNOWLEDGE; DIVERSITY; EMPOWERMENT; PERSONALITY; ENVIRONMENT</t>
  </si>
  <si>
    <t>The present study adopted the Pygmalion perspective and a multilevel theoretical framework to investigate whether creative process engagement mediates the linkage of job creativity requirement with employee creativity. We examined whether team knowledge sharing moderates the aforementioned relationship. We obtained data from 71 supervisors and their 453 employees from three companies in China and applied Hierarchical Linear Modeling (HLM) version 6.08 to test the cross-level hypotheses. The results revealed that creative process engagement mediates the positive linkage of job creativity requirement with employee creativity. In addition, we observed that team knowledge sharing moderates the relationship among job creativity requirement, employee creativity, and creative process engagement. The practical and theoretical implications of the findings are discussed.</t>
  </si>
  <si>
    <t>[Ma, Yingshuang] Huanggang Normal Univ, Inst Business, Huanggang, Peoples R China; [Zhang, Haomin; Dai, Yi] Shanghai Univ, Sch Management, Shanghai, Peoples R China; [Dai, Yi] Shanghai Dianji Univ, Business Sch, Shanghai, Peoples R China</t>
  </si>
  <si>
    <t>Huanggang Normal University; Shanghai University; Shanghai Dianji University</t>
  </si>
  <si>
    <t>Ma, YS (corresponding author), Huanggang Normal Univ, Inst Business, Huanggang, Peoples R China.;Dai, Y (corresponding author), Shanghai Univ, Sch Management, Shanghai, Peoples R China.;Dai, Y (corresponding author), Shanghai Dianji Univ, Business Sch, Shanghai, Peoples R China.</t>
  </si>
  <si>
    <t>mys5658518@163.com; daiy@sdju.edu.cn</t>
  </si>
  <si>
    <t>Social Science Foundation of Hubei Province [2020201]; Philosophy and Social Science Research Project of Education Department of Hubei Province [19D093]; Doctoral Foundation Project of Huanggang Normal University [2042020016]</t>
  </si>
  <si>
    <t>Social Science Foundation of Hubei Province; Philosophy and Social Science Research Project of Education Department of Hubei Province; Doctoral Foundation Project of Huanggang Normal University</t>
  </si>
  <si>
    <t>Funding This work was supported by the Social Science Foundation of Hubei Province (2020201), and the Philosophy and Social Science Research Project of Education Department of Hubei Province (19D093), and the Doctoral Foundation Project of Huanggang Normal University (2042020016).</t>
  </si>
  <si>
    <t>DEC 28</t>
  </si>
  <si>
    <t>10.3389/fpsyg.2021.714886</t>
  </si>
  <si>
    <t>YK3TC</t>
  </si>
  <si>
    <t>WOS:000745138600001</t>
  </si>
  <si>
    <t>Ng, TWH; Koopmann, J; Parker, SK</t>
  </si>
  <si>
    <t>Ng, Thomas W. H.; Koopmann, Jaclyn; Parker, Sharon K.</t>
  </si>
  <si>
    <t>Promoting idea exploration and harmonization in the creative process: cultivating interdependence and employees' perspective-Taking are key</t>
  </si>
  <si>
    <t>Perspective-taking; interdependence; creative requirement; creativity</t>
  </si>
  <si>
    <t>TASK INTERDEPENDENCE; INNOVATIVE BEHAVIOR; INDIVIDUAL-DIFFERENCES; FAIRNESS PERCEPTIONS; PSYCHOLOGICAL SAFETY; CONTEXTUAL FACTORS; RESPONSE QUALITY; JOB INVOLVEMENT; MEDIATING ROLE; WORK</t>
  </si>
  <si>
    <t>While the creative approach of idea exploration (e.g., consideration of multiple alternatives, doing in-depth research) has been identified to be important in the creative process, another approach, idea harmonization (e.g., avoidance of disruptive ideas, endorsement of co-worker ideas), has been largely overlooked. This study is the first to examine both approaches. We propose that, to engage in both idea exploration and harmonization, employees need to seek to understand co-workers' thoughts and feelings. Thus, organizations desiring both creative approaches from their employees may consider crafting the workplace to promote employees' relational skills, especially perspective-taking. One way to do so is to enhance social and task interdependence among employees. Through a mixed-level longitudinal design, we showed that both social and task interdependence were positively related to employee perspective-taking and that perspective-taking was positively related to both idea exploration and harmonization. Crucially, we also found evidence that creative requirement attenuated this sequence. Altogether, this study highlights a new work design pathway to potentially promote creativity: greater social and task interconnections amongst employees are associated with more engagement in perspective-taking, especially when creativity is not explicitly demanded. Greater perspective-taking, in turn, is related to employees more fully exploring and harmonizing ideas.</t>
  </si>
  <si>
    <t>[Ng, Thomas W. H.] Univ Hong Kong, Dept Management, Fac Business &amp; Econ, Pok Fu Lam, Hong Kong, Peoples R China; [Koopmann, Jaclyn] Auburn Univ, Dept Management, Auburn, AL 36849 USA; [Parker, Sharon K.] Curtin Univ, Fac Business &amp; Law, Perth, WA, Australia</t>
  </si>
  <si>
    <t>University of Hong Kong; Auburn University System; Auburn University; Curtin University</t>
  </si>
  <si>
    <t>Ng, TWH (corresponding author), Univ Hong Kong, Dept Management, Fac Business &amp; Econ, Pok Fu Lam, Hong Kong, Peoples R China.</t>
  </si>
  <si>
    <t>Ng, Thomas Wai Hung/A-4433-2010; koopmann, Jaclyn/GVS-3301-2022</t>
  </si>
  <si>
    <t>Parker, Sharon/0000-0002-0978-1873</t>
  </si>
  <si>
    <t>Hong Kong General Research Fund [GRF17500317, GRF17506316]</t>
  </si>
  <si>
    <t>This research was funded by Hong Kong General Research Fund (GRF17500317; GRF17506316) awarded to Thomas W. H. Ng.</t>
  </si>
  <si>
    <t>10.1080/1359432X.2021.2014454</t>
  </si>
  <si>
    <t>3C8RN</t>
  </si>
  <si>
    <t>WOS:000734980900001</t>
  </si>
  <si>
    <t>Chen, YT; Wei, JR; Zhang, J; Li, X</t>
  </si>
  <si>
    <t>Chen, Yuting; Wei, Jiangru; Zhang, Jing; Li, Xue</t>
  </si>
  <si>
    <t>Effect Mechanism of Error Management Climate on Innovation Behavior: An Investigation From Chinese Entrepreneurs</t>
  </si>
  <si>
    <t>error management climate; entrepreneurial self-efficacy (ESE); innovation behavior; Zhongyong thinking; error learning</t>
  </si>
  <si>
    <t>SELF-EFFICACY; INDIVIDUAL INNOVATION; PSYCHOLOGICAL SAFETY; MODERATING ROLE; CULTURE; PERFORMANCE; MODEL; FIRM; CONSERVATION; CREATIVITY</t>
  </si>
  <si>
    <t>Errors are inevitable in an increasingly risky and dynamic entrepreneurial environment. The error management and the error climate perceived by the members are crucial to the subsequent innovation behaviors. Maintaining and improving the psychological capital of entrepreneurs under errors is not only the psychological activities of entrepreneurs themselves but also a critical management process in which an organization can influence the psychological factors and behaviors of entrepreneurs through error management climate. In the context of Chinese culture, this study explores the influence of error management climate on entrepreneurial self-efficacy and innovation behavior under the boundary condition of Zhongyong thinking. Two hundred ninety samples of Chinese entrepreneurs are empirically analyzed in this study, and results show that: (1) error management climate and entrepreneurial self-efficacy have significant positive effects on entrepreneurs' innovation behavior; (2) entrepreneurial self-efficacy mediates the relationship between error management climate and innovation behavior; and (3) Zhongyong thinking plays moderating roles in the process of error management climate influencing innovation behavior. This study complements the entrepreneurship literature with its focus on error management climate as an essential antecedent of entrepreneurial self-efficacy, and promotes an understanding of how Chinese practitioners promote innovative behavior from a cultural perspective.</t>
  </si>
  <si>
    <t>[Chen, Yuting] Nanjing Univ, Sch Management, Nanjing, Peoples R China; [Wei, Jiangru; Zhang, Jing; Li, Xue] Nanjing Univ Posts &amp; Telecommun, Sch Management, Nanjing, Peoples R China</t>
  </si>
  <si>
    <t>Nanjing University; Nanjing University of Posts &amp; Telecommunications</t>
  </si>
  <si>
    <t>Wei, JR (corresponding author), Nanjing Univ Posts &amp; Telecommun, Sch Management, Nanjing, Peoples R China.</t>
  </si>
  <si>
    <t>weijrp@139.com</t>
  </si>
  <si>
    <t>Philosophy and Social Science Foundation of China [17BGL094]</t>
  </si>
  <si>
    <t>Philosophy and Social Science Foundation of China</t>
  </si>
  <si>
    <t>Funding This study was supported by Philosophy and Social Science Foundation of China (17BGL094).</t>
  </si>
  <si>
    <t>10.3389/fpsyg.2021.733741</t>
  </si>
  <si>
    <t>YH1PF</t>
  </si>
  <si>
    <t>WOS:000742945700001</t>
  </si>
  <si>
    <t>Huang, JQ; Wu, J; Deng, BJ; Bao, SQ</t>
  </si>
  <si>
    <t>Huang, Jieqi; Wu, Jun; Deng, Baijun; Bao, Shuqin</t>
  </si>
  <si>
    <t>Research on the Optimization Strategy of Innovation Behavior and Entrepreneurship Intention in Entrepreneurship Teaching</t>
  </si>
  <si>
    <t>SCIENTIFIC PROGRAMMING</t>
  </si>
  <si>
    <t>MODELS</t>
  </si>
  <si>
    <t>Entrepreneurial intention is a necessary prerequisite for prospective entrepreneurs to start a new business, and today's college students are the potential entrepreneurs of the future. How to improve students' willingness to start a business is an important topic that a large number of scholars continue to pay attention to. The purpose of this work is to disentangle how college students' previous innovative behavior affects their entrepreneurial intention from the view of social psychology. Survey data from a vocational college in China indicate that college students' previous innovative behavior facilitates flow, which in turn affects their entrepreneurial intention. Our empirical findings flourish the research on antecedents of college students' entrepreneurial intention, make contributions to the research on flow in entrepreneurship, and provide useful recommendations and suggestions in entrepreneurship teaching.</t>
  </si>
  <si>
    <t>[Huang, Jieqi; Wu, Jun; Deng, Baijun] Guangzhou Panyu Polytech, Sch Innovat &amp; Entrepreneurship, Guangzhou, Peoples R China; [Bao, Shuqin] Guangdong Univ Technol, Guangzhou, Guangdong, Peoples R China</t>
  </si>
  <si>
    <t>Guangzhou Panyu Polytechnic; Guangdong University of Technology</t>
  </si>
  <si>
    <t>Bao, SQ (corresponding author), Guangdong Univ Technol, Guangzhou, Guangdong, Peoples R China.</t>
  </si>
  <si>
    <t>15205511072@163.com</t>
  </si>
  <si>
    <t>wu, jun/0000-0001-7568-0395</t>
  </si>
  <si>
    <t>1058-9244</t>
  </si>
  <si>
    <t>1875-919X</t>
  </si>
  <si>
    <t>SCI PROGRAMMING-NETH</t>
  </si>
  <si>
    <t>Sci. Program.</t>
  </si>
  <si>
    <t>10.1155/2021/4872108</t>
  </si>
  <si>
    <t>Computer Science, Software Engineering</t>
  </si>
  <si>
    <t>ZL1FJ</t>
  </si>
  <si>
    <t>WOS:000763425900004</t>
  </si>
  <si>
    <t>Atatsi, EA; Stoffers, J; Kil, A</t>
  </si>
  <si>
    <t>Atatsi, Eli Ayawo; Stoffers, Jol; Kil, Ad</t>
  </si>
  <si>
    <t>Team Learning, Work Behaviors, and Performance: A Qualitative Case Study of a Technical University in Ghana</t>
  </si>
  <si>
    <t>team learning; work behaviors; leader-member exchanges; qualitative design</t>
  </si>
  <si>
    <t>ORGANIZATIONAL CITIZENSHIP BEHAVIOR; LEADER-MEMBER EXCHANGE; INNOVATIVE BEHAVIOR; FOCUS GROUPS; MANAGEMENT; GENDER; LMX; PERSPECTIVES; METAANALYSIS; PERSONALITY</t>
  </si>
  <si>
    <t>Higher education institutions in Ghana have a lot of expectations but appear to be facing contemporary challenges. Using five focus groups, this study explores individual learning, team learning, organizational citizenship behaviors, leader-member exchanges, innovative work behaviors, and performance in a Ghanaian technical university. Interactive exchanges suggest that individual social behaviors and leadership exchanges are important to higher educational institutions (HEIs). Both stakeholders and managers should activate these behaviors and leadership qualities to enhance performance. The inherent benefits help both faculty and HEIs fulfill their core mandates of teaching, research, and community service. With these, they remain globally competitive given challenges, dynamism, and expected performance from both faculty and HEIs as agents of socio-economic development. This study informs on underlying mechanisms that affect engagement in some of these behaviors, including the effect of culture as an inhibitor of women's innovative behaviors. Next to that, it provides both theoretical and practical evidence for stakeholders, especially HEI managers, regarding how to increase faculty members' efficiencies and performance. Finally, the study offers both recommendations and directions for future research.</t>
  </si>
  <si>
    <t>[Atatsi, Eli Ayawo] Ho Tech Univ, Dept Management Sci, Ho POB HP 217, Volta Region, Ghana; [Atatsi, Eli Ayawo; Stoffers, Jol] Open Univ Netherlands, Fac Management, NL-6419 AT Heerlen, Netherlands; [Stoffers, Jol] Zuyd Univ Appl Sci, Res Ctr Employabil, NL-6131 MT Sittard, Netherlands; [Stoffers, Jol] Maastricht Univ, Res Ctr Educ &amp; Labour Market ROA, NL-6211 LM Maastricht, Netherlands; [Kil, Ad] Nyenrode Business Univ, Entrepreneurship Governance &amp; Stewardship Ctr, NL-3621 BG Breukelen, Netherlands; [Kil, Ad] Wittenborg Univ Appl Sci, Res Ctr, NL-7331 VZ Apeldoorn, Netherlands</t>
  </si>
  <si>
    <t>Open University Netherlands; Maastricht University; Maastricht University Medical Centre (MUMC); Nyenrode Business University</t>
  </si>
  <si>
    <t>Atatsi, EA (corresponding author), Ho Tech Univ, Dept Management Sci, Ho POB HP 217, Volta Region, Ghana.;Atatsi, EA (corresponding author), Open Univ Netherlands, Fac Management, NL-6419 AT Heerlen, Netherlands.</t>
  </si>
  <si>
    <t>jol.stoffers@zuyd.nl; a.kil@nyenrode.nl</t>
  </si>
  <si>
    <t>Stoffers, Jol/0000-0003-3427-7238; Atatsi, Eli/0000-0001-5038-395X</t>
  </si>
  <si>
    <t>10.3390/su132413703</t>
  </si>
  <si>
    <t>XZ0LQ</t>
  </si>
  <si>
    <t>WOS:000737354600001</t>
  </si>
  <si>
    <t>Klijn, AFJ; Tims, M; Lysova, EI; Khapova, SN</t>
  </si>
  <si>
    <t>Klijn, Alexandra Francina Janneke; Tims, Maria; Lysova, Evgenia I.; Khapova, Svetlana N.</t>
  </si>
  <si>
    <t>Personal Energy at Work: A Systematic Review</t>
  </si>
  <si>
    <t>energy; personal; work; vigor; thriving</t>
  </si>
  <si>
    <t>LEADER-MEMBER EXCHANGE; ORGANIZATIONAL CITIZENSHIP BEHAVIOR; MODERATING ROLE; MEDIATING ROLE; AUTHENTIC LEADERSHIP; PROACTIVE PERSONALITY; PSYCHOLOGICAL SAFETY; INNOVATIVE BEHAVIOR; SUBJECTIVE VITALITY; SERVANT LEADERSHIP</t>
  </si>
  <si>
    <t>There has been a significant increase in studies on personal energy at work. Yet, research efforts are fragmented, given that scholars employ a diversity of related concepts. To bring clarity, we executed a two-fold systematic literature review. We crafted a definition of personal energy at work and a theoretical framework, outlining the dimensions, antecedents and boundary conditions. The theoretical implication of the framework is that it allows one to explain why-given similar work-some employees feel energized whereas others do not. The difference depends on the context that the employer offers, the personal characteristics of employees and the processes of strain and recovery. The paper concludes with a discussion of how future research can build on the proposed framework to advance the theoretical depth and empirical investigation of personal energy at work.</t>
  </si>
  <si>
    <t>[Klijn, Alexandra Francina Janneke; Tims, Maria; Lysova, Evgenia I.; Khapova, Svetlana N.] Vrije Univ Amsterdam, Dept Management &amp; Org, Sch Business &amp; Econ, NL-1081 HV Amsterdam, Netherlands</t>
  </si>
  <si>
    <t>Klijn, AFJ (corresponding author), Vrije Univ Amsterdam, Dept Management &amp; Org, Sch Business &amp; Econ, NL-1081 HV Amsterdam, Netherlands.</t>
  </si>
  <si>
    <t>afjklijn@gmail.com</t>
  </si>
  <si>
    <t>10.3390/su132313490</t>
  </si>
  <si>
    <t>XU9HK</t>
  </si>
  <si>
    <t>WOS:000734566500001</t>
  </si>
  <si>
    <t>Lee, S; Yoo, J</t>
  </si>
  <si>
    <t>Lee, Sora; Yoo, Jaewon</t>
  </si>
  <si>
    <t>What Makes Employees Behave Innovatively? Empirical Evidence from South Korea</t>
  </si>
  <si>
    <t>internal market orientation; ethical climate; psychological ownership; stewardship; innovative behavior</t>
  </si>
  <si>
    <t>INTERNAL-MARKET ORIENTATION; ETHICAL DECISION-MAKING; PSYCHOLOGICAL OWNERSHIP; INSIDER STATUS; MEDIATING ROLE; WORK CLIMATE; LEADERSHIP; MODEL; CREATIVITY; PERCEPTIONS</t>
  </si>
  <si>
    <t>Although the value of a supportive organizational strategy has been recognized over time, there is a need to better understand its relationship with employees' psychological and behavioral responses. This study focuses on employees' innovative behavior as a result of their perceptions of internal market orientation in the organization. It proposes a sequential process model that examines the impact of internal market orientation on employees' innovative behavior through the ethical climate, psychological ownership, and employee stewardship toward the organization. Using data collected from 310 employees of small and medium-sized enterprises in various industries in South Korea, a linear sequential relationship among the constructs is confirmed. The findings of this empirical study, therefore, suggest that the ethical climate, psychological ownership, and stewardship mediate the effects of internal market orientation on employees' innovative behavior. The research thus offers a conceptual framework that shows the sequential process of the effect of internal market orientation on innovative behavior. Further, it shows that the perception of an ethical climate can be influenced by management and can develop an employee's psychological ownership. Implications for managers and directions for future research are also discussed.</t>
  </si>
  <si>
    <t>[Lee, Sora; Yoo, Jaewon] Soongsil Univ, Dept Entrepreneurship &amp; Small Business, Seoul 06978, South Korea</t>
  </si>
  <si>
    <t>Soongsil University</t>
  </si>
  <si>
    <t>Yoo, J (corresponding author), Soongsil Univ, Dept Entrepreneurship &amp; Small Business, Seoul 06978, South Korea.</t>
  </si>
  <si>
    <t>sora.lee@ssu.ac.kr; yjw1774@ssu.ac.kr</t>
  </si>
  <si>
    <t>Lee, Sora/HDM-2663-2022; Yoo, Jaewon/H-7100-2014</t>
  </si>
  <si>
    <t>Lee, Sora/0000-0003-3507-5136; Yoo, Jaewon/0000-0002-4019-5987</t>
  </si>
  <si>
    <t>10.3390/su132413819</t>
  </si>
  <si>
    <t>YF8QO</t>
  </si>
  <si>
    <t>WOS:000742066500001</t>
  </si>
  <si>
    <t>Rytkonen, PI; Oghazi, P</t>
  </si>
  <si>
    <t>Rytkonen, Paulina Ines; Oghazi, Pejvak</t>
  </si>
  <si>
    <t>Bringing innovation back in-strategies and driving forces behind entrepreneurial responses in small-scale rural industries in Sweden</t>
  </si>
  <si>
    <t>Innovation; Business models; Local food; Self-employment; Rural entrepreneurship</t>
  </si>
  <si>
    <t>SELF-EMPLOYMENT; SOCIAL-STRUCTURE; FOOD; IMPACT; PLACE</t>
  </si>
  <si>
    <t>Purpose The paper contributes to the debate about local food and conceptualization of rural entrepreneurship by analysing the performance of small-scale dairies departing from their relation to innovations, innovative activities and risk. Design/methodology/approach The authors use phenomenography to identify representative categories, and to draw conclusions about how these are consistent or different from dominant definitions of rural entrepreneurship and self-employment. The authors conducted semi-structured interviews, participatory workshops and compiled a database of all small-scale dairies established between 1968 and 2020. Findings A focus on innovations contributes to differentiate between rural entrepreneurship and self-employment and how these interact in the process of economic growth. Innovations are seldom disruptive. Instead, innovative behaviour is strongly related to business models and to imitation. Social capital and collective action play a key role for the innovative capacity of small businesses, especially to realize disruptive innovations, such as the establishment of a new market. Research limitations/implications The innovative capacity of rural businesses can be understood through their ability to break patterns, alter institutions and turn embededdness into assets. Rural entrepreneurship and self-employment are intertwined in the economic growth process. Practical implications Innovative behaviour is a significant aspect for firm survival over time, and it is also strongly related to new business models. Most rural firms can be characterized as self-employment, the latter are essential because they provide rural livelihoods and help bring maturity to newly established markets. Social implications The right type of support, e.g. adopting enabling industrial regulations and granting access to constructive experiences of others, contributes to the innovative behaviour of small-scale rural firms. Originality/value This study differentiates rural entrepreneurship from rural self-employment by analysing the role of innovation. The authors show how innovations and innovative behaviour work their way through the process of economic growth and how innovation can break patterns by turning rural embeddedness into assets; and how innovative behaviour related to self-employments contributes to the creation of value and interacts with entrepreneurship in the process of economic growth.</t>
  </si>
  <si>
    <t>[Rytkonen, Paulina Ines; Oghazi, Pejvak] Sodertorn Univ, Sch Business Studies, Dept Social Sci, Stockholm, Sweden; [Oghazi, Pejvak] Hanken Sch Econ, Helsinki, Finland</t>
  </si>
  <si>
    <t>Sodertorn University; Hanken School of Economics</t>
  </si>
  <si>
    <t>Rytkonen, PI (corresponding author), Sodertorn Univ, Sch Business Studies, Dept Social Sci, Stockholm, Sweden.</t>
  </si>
  <si>
    <t>paulina.rytkonen@sh.se</t>
  </si>
  <si>
    <t>Rytkonen, Paulina/0000-0001-8939-1105</t>
  </si>
  <si>
    <t>Baltic Sea Foundation [41/2016]</t>
  </si>
  <si>
    <t>Baltic Sea Foundation</t>
  </si>
  <si>
    <t>Funding was received from Baltic Sea Foundation, Grant number 41/2016.</t>
  </si>
  <si>
    <t>1758-4108</t>
  </si>
  <si>
    <t>10.1108/BFJ-05-2021-0587</t>
  </si>
  <si>
    <t>3B4QH</t>
  </si>
  <si>
    <t>WOS:000718172300001</t>
  </si>
  <si>
    <t>Wang, ZN; Chen, YH; Ren, S; Collins, N; Cai, SH; Rowley, C</t>
  </si>
  <si>
    <t>Wang, Zhining; Chen, Yuhang; Ren, Shuang; Collins, Ngan; Cai, Shaohan; Rowley, Chris</t>
  </si>
  <si>
    <t>Exploitative leadership and employee innovative behaviour in China: a moderated mediation framework</t>
  </si>
  <si>
    <t>China; ego depletion theory; employee innovative behaviour; exploitative leadership; team task conflict; thriving at work</t>
  </si>
  <si>
    <t>CROSS-LEVEL ANALYSIS; TEAM CONFLICT; EGO DEPLETION; SELF-REGULATION; ABUSIVE SUPERVISION; STRENGTH MODEL; PERFORMANCE; WORK; MANAGEMENT; WORKPLACE</t>
  </si>
  <si>
    <t>This study uses ego depletion theory to explore the cross-level effect of exploitative leadership on employee innovative behaviour. It examines the mediating role of thriving at work and the moderating role of team task conflict. Using data collected from 371 employees and their direct supervisors from 79 work units in China, a multi-level path analysis is used to test a cross-level moderated mediation model. The results show that exploitative leadership negatively affects employee innovative behaviour via the mediation of thriving at work, which is moderated by team task conflict. Implications for research and practice are fully discussed in the paper.</t>
  </si>
  <si>
    <t>[Wang, Zhining; Chen, Yuhang] China Univ Min &amp; Technol, Sch Econ &amp; Management, Univ Rd, Xuzhou, Jiangsu, Peoples R China; [Ren, Shuang] Deakin Univ, Deakin Business Sch, Melbourne, Vic, Australia; [Collins, Ngan] Rmit Univ, Coll Business &amp; Law, Melbourne, Vic, Australia; [Cai, Shaohan] Carleton Univ, Sprott Sch Business, Ottawa, ON, Canada; [Rowley, Chris] Univ Oxford, Kellogg Coll, Oxford, England; [Rowley, Chris] Tohoku Univ, Grad Sch Educ, Sendai, Miyagi, Japan</t>
  </si>
  <si>
    <t>China University of Mining &amp; Technology; Deakin University; Royal Melbourne Institute of Technology (RMIT); Carleton University; RLUK- Research Libraries UK; University of Oxford; Tohoku University</t>
  </si>
  <si>
    <t>Collins, N (corresponding author), Rmit Univ, Coll Business &amp; Law, Melbourne, Vic, Australia.</t>
  </si>
  <si>
    <t>ngancollins04@gmail.com</t>
  </si>
  <si>
    <t>10.1080/13602381.2021.1990588</t>
  </si>
  <si>
    <t>WR1HN</t>
  </si>
  <si>
    <t>WOS:000714258200001</t>
  </si>
  <si>
    <t>Gonzalez-Gonzalez, T; Garcia-Almeida, DJ; Viseu, J</t>
  </si>
  <si>
    <t>Gonzalez-Gonzalez, Tamara; Garcia-Almeida, Desiderio J.; Viseu, Joao</t>
  </si>
  <si>
    <t>Frontline employee-driven change in hospitality firms: an analysis of receptionists' personality on implemented suggestions</t>
  </si>
  <si>
    <t>Employee-driven change; Implemented suggestions; Frontline employees; Personality traits; Employee voice behaviour; Receptionists</t>
  </si>
  <si>
    <t>INNOVATIVE BEHAVIOR; CONTEXTUAL FACTORS; JOB-PERFORMANCE; EMERGENT CHANGE; MODERATING ROLE; 5-FACTOR MODEL; VOICE BEHAVIOR; CREATIVITY; LEADERSHIP; PERCEPTIONS</t>
  </si>
  <si>
    <t>Purpose Frontline employees' suggestions are relevant for employee-driven organisational change because their knowledge is partially constructed from direct contact with customers and indirectly with competitors. The employee's personality is a paramount individual characteristic that can exert a major potential influence on the proposal and implementation of those suggestions. This study aims to discuss the impact of the personality dimensions in the Big Five model (i.e. extraversion, neuroticism, conscientiousness, agreeableness and openness to experience) on suggestions generated by frontline employees and implemented in their firms. Design/methodology/approach A questionnaire was prepared based on a review of the academic literature. The 5 presented hypotheses were tested with data from 167 frontline employees from hotels in Tenerife (Spain). Findings Results show the relevance of frontline employees' three characteristics of personality regarding the employee-driven organisational change. Thus, their extraversion, neuroticism and lack of direction tend to be relevant drivers of the suggestion and implementation of change. Practical implications Frontline employees act as change agents in hospitality firms. Managers should develop recruitment processes that allow to select individuals prone to proposing innovative suggestions and creating a friendlier system for submitting and defending them. Originality/value Employee-driven organisational change becomes crucial for the survival and growth of hospitality firms. Relatively few studies have been conducted on the role of frontline employees as change facilitators in the sector. This study contributes to shedding light on this research gap from a personality approach and the study also provides practical implications to increase valid suggestions in the hospitality sector.</t>
  </si>
  <si>
    <t>[Gonzalez-Gonzalez, Tamara; Garcia-Almeida, Desiderio J.] Univ Las Palmas Gran Canaria, Las Palmas Gran Canaria, Spain; [Viseu, Joao] Univ Algarve, Faro, Portugal</t>
  </si>
  <si>
    <t>Universidad de Las Palmas de Gran Canaria; Universidade do Algarve</t>
  </si>
  <si>
    <t>Garcia-Almeida, DJ (corresponding author), Univ Las Palmas Gran Canaria, Las Palmas Gran Canaria, Spain.</t>
  </si>
  <si>
    <t>dj.garcia@ulpgc.es</t>
  </si>
  <si>
    <t>García-Almeida, Desiderio Juan/AAA-1551-2022</t>
  </si>
  <si>
    <t>10.1108/IJCHM-05-2021-0645</t>
  </si>
  <si>
    <t>WOS:000710372300001</t>
  </si>
  <si>
    <t>Osuafor, GN; Okoli, CE</t>
  </si>
  <si>
    <t>Osuafor, Godswill N.; Okoli, Chinwe E.</t>
  </si>
  <si>
    <t>Factors associated with multiple sexual partners among first-year students in a South African university</t>
  </si>
  <si>
    <t>Multiple sexual partners; STIs; HIV; university; students; condom use</t>
  </si>
  <si>
    <t>NATIONAL HIV PREVALENCE; CONDOM USE; ALCOHOL-USE; BEHAVIOR; RISK; DETERMINANTS; RELIGIOSITY; INFECTION; WOMEN</t>
  </si>
  <si>
    <t>University students are at greatest risk of contracting sexually transmitted diseases and HIV, due to multiple sex partners. However, first-year students are arguably, the most susceptible to sexually transmitted infections and HIV. The study examined the factors associated with multiple sexual partners among 348 first-year students aged 17 to 24 years old in a rural university in 2016. Data were collected on the demographic characteristics and sexual behaviours of the respondents in the one-month preceding the survey. Data were analysed using descriptive statistics and binary logistic regression. The results revealed that 23.5% of the respondents had multiple sexual partners in the last 30 days. The binary logistic regression model showed that male [OR=7.4, 95% CI: 2.9-18.7]; being a member of students' organisational structures [OR=3.4, 95% CI: 1.3-8.7] and younger age at sexual debut [OR=3.5, 95% CI: 1.3-9.6] were positively associated with multiple sexual partners. Furthermore, significant associations were found between multiple sexual partners, alcohol consumption [OR=2.9, 95% CI: 1.2-7.1), and being uncertain about their cultural perceptions [OR=3.4, 95% CI: 1.2-9.7] on multiple sexual partners. However, high religiosity [OR=0.4, 95% CI: 0.1-0.9)] was negatively associated with multiple sexual partners. Given that we found that a significant number of students were engaged in risky sexual behaviour, innovative behavioural change is expected by emphasising sexual fidelity, good values and responsible consumption alcohol to first year students as part of orientation package. Promotion of condom use should be intensified to protect first year students. Finally, since religiosity is an important practice in the daily life of the study population, integrating the religiosity components into sexual risk-prevention interventions could prove beneficial.</t>
  </si>
  <si>
    <t>[Osuafor, Godswill N.] North West Univ, Dept Populat Studies &amp; Demog, Mafikeng Campus, Mafikeng, South Africa; [Osuafor, Godswill N.] North West Univ, Fac Humanities, Populat &amp; Hlth Res Focus Area, Mahikeng Campus, Mafikeng, South Africa; [Okoli, Chinwe E.] Fed Med Ctr, Umuahia, Nigeria</t>
  </si>
  <si>
    <t>North West University - South Africa; North West University - South Africa</t>
  </si>
  <si>
    <t>Osuafor, GN (corresponding author), North West Univ, Dept Populat Studies &amp; Demog, Mafikeng Campus, Mafikeng, South Africa.;Osuafor, GN (corresponding author), North West Univ, Fac Humanities, Populat &amp; Hlth Res Focus Area, Mahikeng Campus, Mafikeng, South Africa.</t>
  </si>
  <si>
    <t>gosuafor@outlook.com</t>
  </si>
  <si>
    <t>Osuafor, Godswill/AFH-0114-2022</t>
  </si>
  <si>
    <t>10.29063/ajrh2021/v25i5.7</t>
  </si>
  <si>
    <t>YI8AZ</t>
  </si>
  <si>
    <t>WOS:000744066800007</t>
  </si>
  <si>
    <t>Lim, JY; Moon, KK</t>
  </si>
  <si>
    <t>Lim, Jae Young; Moon, Kuk-Kyoung</t>
  </si>
  <si>
    <t>Transformational leadership and employees' helping and innovative behaviors: contextual influences of organizational justice</t>
  </si>
  <si>
    <t>Transformational leadership; Organizational contexts; Distributive justice; Procedural justice; Helping behavior; Innovative behavior</t>
  </si>
  <si>
    <t>PUBLIC-SERVICE MOTIVATION; CITIZENSHIP BEHAVIOR; JOB-SATISFACTION; MEMBER-EXCHANGE; PSYCHOLOGICAL EMPOWERMENT; CHARISMATIC LEADERSHIP; SOCIAL-EXCHANGE; MANAGEMENT; IMPACT; PERFORMANCE</t>
  </si>
  <si>
    <t>Purpose This article explores whether transformational leadership (TFL) influences individuals' extra-role behaviors, specifically helping and innovative behaviors. More importantly, it focuses on whether TFL's influence on employees' helping and innovative behaviors is contingent upon two subdimensions of organizational justice (OJ): distributive justice (DJ) and procedural justice (PJ). Design/methodology/approach The authors relied on the 2017 Korean Public Employee Viewpoint Survey conducted by the Korea Institute of Public Administration (KIPA), which is based on stratified, two-stage cluster sampling. Because the dependent variables for the empirical models were summed averages, the authors used OLS as a statistical method. The regression was performed using Stata 14. Findings The results revealed that TFL was positively associated with both helping and innovative behaviors. When moderated by DJ, TFL has a positive impact only on helping behavior. However, when moderated by PJ, TFL has a positive influence on both behaviors. Research limitations/implications TFL was measured using four items. While the measure reflects four dimensions of TFL, its construct validity may be subject to criticism. Relying on a one-year cross-sectional dataset means that this study's findings might not be fully generalizable to all public sector environments across different cultures. Practical implications This article's findings on how TFL is contextualized under different OJ contexts will help advance understanding of how it works in contemporary public organizations. Originality/value Despite the importance of OJ as a vital heuristic that reshapes employees' perceptions of their organizations, few studies have focused on how it can moderate the relationship between TFL and employees' extra-role behaviors. By investigating such moderating effects, this study advances the scholarly understanding of boundary conditions that affect TFL and its effectiveness in organizational settings. It utilizes a South Korean survey, which brings an international perspective to this understanding.</t>
  </si>
  <si>
    <t>[Lim, Jae Young] Chosun Univ, Div Publ Adm &amp; Social Welf, Gwangju, South Korea; [Moon, Kuk-Kyoung] Inha Univ, Publ Adm, Incheon, South Korea</t>
  </si>
  <si>
    <t>Chosun University; Inha University</t>
  </si>
  <si>
    <t>Moon, KK (corresponding author), Inha Univ, Publ Adm, Incheon, South Korea.</t>
  </si>
  <si>
    <t>jaeyounglim@yahoo.com; kkmoon@inha.ac.kr</t>
  </si>
  <si>
    <t>Lim, Jae Young/0000-0002-7998-8650; Moon, Kuk-Kyoung/0000-0002-3019-688X</t>
  </si>
  <si>
    <t>Inha University</t>
  </si>
  <si>
    <t>This work was supported by Inha University Research Grant (2021).</t>
  </si>
  <si>
    <t>10.1108/IJM-02-2020-0044</t>
  </si>
  <si>
    <t>WOS:000703098200001</t>
  </si>
  <si>
    <t>Kourti, I</t>
  </si>
  <si>
    <t>Kourti, Isidora</t>
  </si>
  <si>
    <t>Managing the identity paradox in inter-organisational collaborations</t>
  </si>
  <si>
    <t>identity; inter-organisational collaborations; IOCs; paradox; tensions</t>
  </si>
  <si>
    <t>ORGANIZATIONAL IDENTITY; MANAGEMENT; TENSIONS; WORK</t>
  </si>
  <si>
    <t>A persistent contradiction in inter-organisational collaborations (IOCs) is between individual actors' IOC identity and their other multiple identities, and the subsequent need to maintain a delicate balance between these opposing but mutually dependent identities. Using a paradox lens and individual actors as the unit of analysis, this ethnographic study defines the identity paradox often present in IOCs as the interaction between actors' professional, personal, team and organisational identities with an overall IOC identity. The case demonstrates that the identity paradox allows actors to maintain a balance between adhering to IOC, which offers stability, and adjusting to emergent needs, which enables innovative behaviour. The theorisation of the identity paradox reveals that the conditions that trigger each identity tension relate to the IOC tensions of cooperation and competition, rigidity and flexibility, trust and mistrust, and confrontation and dialogue. The findings offer contribution to IOC research and to management practice.</t>
  </si>
  <si>
    <t>[Kourti, Isidora] Open Univ, Dept Publ Leadership &amp; Social Enterprise, Milton Keynes MK7 6AA, Bucks, England</t>
  </si>
  <si>
    <t>Open University - UK</t>
  </si>
  <si>
    <t>Kourti, I (corresponding author), Open Univ, Dept Publ Leadership &amp; Social Enterprise, Milton Keynes MK7 6AA, Bucks, England.</t>
  </si>
  <si>
    <t>isidora.kourti@open.ac.uk</t>
  </si>
  <si>
    <t>10.1111/emre.12485</t>
  </si>
  <si>
    <t>XT5YD</t>
  </si>
  <si>
    <t>WOS:000698610500001</t>
  </si>
  <si>
    <t>Rehwaldt, R; Kortsch, T</t>
  </si>
  <si>
    <t>Rehwaldt, Ricarda; Kortsch, Timo</t>
  </si>
  <si>
    <t>What Makes You Happy at Work? Development and Validation of a Multidimensional Scale to Assess Happiness at Work</t>
  </si>
  <si>
    <t>ZEITSCHRIFT FUR ARBEITS-UND ORGANISATIONSPSYCHOLOGIE</t>
  </si>
  <si>
    <t>happiness at work; job satisfaction; validation study; confirmatory factor analysis; well-being</t>
  </si>
  <si>
    <t>SELF-DETERMINATION THEORY; MEMBER EXCHANGE LMX; POSITIVE AFFECT; COMPREHENSIVE INVENTORY; THRIVING CIT; WELL; INTEGRATION; BENEFITS; AUTONOMY; MODEL</t>
  </si>
  <si>
    <t>Happiness at work plays an increasingly important role in research. Both theoretically and meta-analytically, happiness has been associated with positive consequences. However, a validated instrument in German to measure factors for happiness at work is still missing. This paper develops and validates an instrument to assess factors for happiness at work. Based on a model by Rehwaldt (2017), we developed a four-dimensional scale to assess factors for happiness at work (i. e., HappinessandWork-Scale) in four consecutive qualitative and quantitative studies. Using exploratory and confirmatory factor analyses, we identified four factors (meaningfulness, self-actualization, community professional, and community familiar) that were positively intercorrelated as expected. The divergent validity of the four factors was proven through different correlations with several relevant criteria (e. g., commitment, innovative behavior). We discuss the implications of the results for both theory and practice.</t>
  </si>
  <si>
    <t>[Rehwaldt, Ricarda] Felicion GmbH, Berlin, Germany; [Kortsch, Timo] Denkverstarker GbR, Darlaten 50, D-31600 Uchte, Germany</t>
  </si>
  <si>
    <t>Kortsch, T (corresponding author), Denkverstarker GbR, Darlaten 50, D-31600 Uchte, Germany.</t>
  </si>
  <si>
    <t>kortsch@denkverstaerker.de</t>
  </si>
  <si>
    <t>Kortsch, Timo/HNJ-3660-2023</t>
  </si>
  <si>
    <t>Kortsch, Timo/0000-0002-8444-8595</t>
  </si>
  <si>
    <t>HOGREFE VERLAG</t>
  </si>
  <si>
    <t>MERKELSTRASSE 3, GOTTINGEN, GERMANY</t>
  </si>
  <si>
    <t>0932-4089</t>
  </si>
  <si>
    <t>2190-6270</t>
  </si>
  <si>
    <t>Z ARB ORGAN</t>
  </si>
  <si>
    <t>Z. Arbeits-und Organ.</t>
  </si>
  <si>
    <t>10.1026/0932-4089/a000373</t>
  </si>
  <si>
    <t>ZS4PP</t>
  </si>
  <si>
    <t>WOS:000701748400001</t>
  </si>
  <si>
    <t>Jackson, D; Shan, HR; Meek, S</t>
  </si>
  <si>
    <t>Jackson, Denise; Shan, Hairong; Meek, Stephanie</t>
  </si>
  <si>
    <t>Enhancing graduates' enterprise capabilities through work-integrated learning in co-working spaces</t>
  </si>
  <si>
    <t>HIGHER EDUCATION</t>
  </si>
  <si>
    <t>Work-integrated learning; Enterprise capabilities; Future work; Graduate; Industry-education collaboration; Co-working space</t>
  </si>
  <si>
    <t>HIGHER-EDUCATION; EMPLOYABILITY; CHALLENGES; WORKPLACE</t>
  </si>
  <si>
    <t>Complex and rapidly evolving work contexts augment industry calls for future-capable graduates that can demonstrate enterprise capabilities such as critical thinking, problem-solving, collaboration, and value creation. Gaps between employers' expectations and evaluations of higher education (HE) graduates' enterprise capabilities continue to drive university curriculum renewal. There is a particular focus on work-integrated learning (WIL), a spectrum of industry-student engagement activities which provide valuable opportunities for developing and applying skills and knowledge, including enterprise capabilities. Despite small-to-medium enterprises (SMEs) offering fertile ground for enterprise learning, challenges limit their engagement in workplace-based WIL (internships/placements) due to resource and supervisory constraints. This study explores how co-working spaces may support SME engagement in WIL to develop enterprise capabilities, better preparing HE students for future work. It piloted two rounds of business student internships in the largest co-working space in Western Australia, surveying and interviewing both students and workplace supervisors to gauge development and understand enablers and challenges during WIL. Findings affirmed the synergistic value of SMEs and co-working spaces for fostering students' enterprise capabilities, particularly communication and critical thinking skills, innovative behaviour, and building confidence. While some of the challenges which impact on SMEs engagement and outcomes in WIL remained, the co-working environment offered unique exposure to entrepreneurial mindsets and rich opportunities for collaboration, networking, and formal training. This study offers important insights on WIL design that increases participation among SMEs, a targeted objective of Australia's national WIL strategy, and leverages co-working space environments to produce future-capable graduates.</t>
  </si>
  <si>
    <t>[Jackson, Denise; Shan, Hairong; Meek, Stephanie] Edith Cowan Univ, Sch Business &amp; Law, 270 Joondalup Dr, Joondalup, WA 6027, Australia</t>
  </si>
  <si>
    <t>Jackson, D (corresponding author), Edith Cowan Univ, Sch Business &amp; Law, 270 Joondalup Dr, Joondalup, WA 6027, Australia.</t>
  </si>
  <si>
    <t>d.jackson@ecu.edu.au</t>
  </si>
  <si>
    <t>Meek, Stephanie/0000-0003-0427-3316; Jackson, Denise/0000-0002-7821-3394</t>
  </si>
  <si>
    <t xml:space="preserve"> [G1004419]</t>
  </si>
  <si>
    <t>This work was supported by Spacecubed under Grant Agreement Number G1004419.</t>
  </si>
  <si>
    <t>0018-1560</t>
  </si>
  <si>
    <t>1573-174X</t>
  </si>
  <si>
    <t>HIGH EDUC</t>
  </si>
  <si>
    <t>High. Educ.</t>
  </si>
  <si>
    <t>10.1007/s10734-021-00756-x</t>
  </si>
  <si>
    <t>2O9WT</t>
  </si>
  <si>
    <t>Green Published, Bronze</t>
  </si>
  <si>
    <t>WOS:000692985900002</t>
  </si>
  <si>
    <t>Guo, YG; Zhu, YT</t>
  </si>
  <si>
    <t>Guo, Yungui; Zhu, Yanting</t>
  </si>
  <si>
    <t>How Does Organizational Compassion Motivate Employee Innovative Behavior: A Cross-Level Mediation Model</t>
  </si>
  <si>
    <t>Organizational compassion; perceived insider status; felt responsibility for constructive change; employee innovative behavior</t>
  </si>
  <si>
    <t>WORK-RELATED IDENTITY; INDIVIDUAL INNOVATION; SUPPORT; PERCEPTIONS; WORKPLACE</t>
  </si>
  <si>
    <t>This study aims to explore the mediating mechanisms between organizational compassion and employee innovative behavior by introducing perceived insider status and felt responsibility for constructive change (FRCC) as mediating variables. Drawing on cognitive-affective personality system theory, a cross-level mediation model was established. Data were collected via the online-based questionnaire from 420 employees of 12 enterprises in China. Multilevel path modeling was leveraged to examine hypotheses proposed in this study. The results indicate that FRCC mediates the relationship between organizational compassion and employee innovative behavior. Moreover, perceived insider status and FRCC serially mediate the relationship between organizational compassion and employee innovative behavior. This study has significant theoretical and practical implications as it is the first study to investigate the value of organizational compassion to employee innovative behavior at the workplace.</t>
  </si>
  <si>
    <t>[Guo, Yungui] Hunan Univ Sci &amp; Technol, Sch Business, Xiangtan 411201, Hunan, Peoples R China; [Guo, Yungui; Zhu, Yanting] Renmin Univ China, Sch Lab &amp; Human Resources, Beijing, Peoples R China</t>
  </si>
  <si>
    <t>scientific research fund of Hunan Provincial Education Department [20B213]</t>
  </si>
  <si>
    <t>scientific research fund of Hunan Provincial Education Department(Hunan Provincial Education Department)</t>
  </si>
  <si>
    <t>The author(s) disclosed receipt of the following financial support for the research, authorship, and/or publication of this article: A project supported by scientific research fund of Hunan Provincial Education Department (No. 20B213).</t>
  </si>
  <si>
    <t>10.1177/00332941211037598</t>
  </si>
  <si>
    <t>5J5ZY</t>
  </si>
  <si>
    <t>WOS:000684649700001</t>
  </si>
  <si>
    <t>A Cross-Level Examination of the Relationship of Strengths-Based Human Resource System With Employee Performance</t>
  </si>
  <si>
    <t>strengths-based human resource system; employee strengths use; performance; task performance; innovative behavior; cross-level investigation</t>
  </si>
  <si>
    <t>INNOVATIVE BEHAVIOR; WORK SYSTEM; MANAGEMENT; SUPPORT; ORGANIZATIONS; SATISFACTION; CITIZENSHIP; PERCEPTIONS; BENEFITS; CLIMATE</t>
  </si>
  <si>
    <t>Given the great significance of employees' strengths to employees' optimal functioning, strengths-based human resource (HR) system has gradually reaped HR researchers' attention. However, to date, there remains a lack of evidence supporting the effectiveness of strengths-based HR system. Therefore, this article aimed to bridge the gap in the literature by empirically testing the cross-level relationships between strengths-based HR system, employee strengths use, and supervisor-rated employee performance (i.e., task performance and innovative behavior). Data from 205 employees working in 56 organizations in China were collected at three points in time from different sources. The results of multilevel path analysis showed that strengths-based HR system has a positive relationship with employee strengths use, and employee strengths use is positively related to supervisor-rated employee task performance and innovative behavior. More importantly, strengths-based HR system had a positive relationship with employee task performance and innovative behavior via employee strengths use.</t>
  </si>
  <si>
    <t>[Ding, He; Yu, Enhai] North China Elect Power Univ, Sch Econ &amp; Management, 2 Bei Nong Rd, Beijing 102206, Peoples R China</t>
  </si>
  <si>
    <t>Yu, EH (corresponding author), North China Elect Power Univ, Sch Econ &amp; Management, 2 Bei Nong Rd, Beijing 102206, Peoples R China.</t>
  </si>
  <si>
    <t>Ding, He/AAG-3425-2021; DING, HE/K-8983-2018</t>
  </si>
  <si>
    <t>The author(s) disclosed receipt of the following financial support for the research, authorship, and/or publication of this article: This study was supported by the Fundamental Research Funds for the Central Universities (2020MS046).</t>
  </si>
  <si>
    <t>1556-0856</t>
  </si>
  <si>
    <t>10.1177/08948453211037396</t>
  </si>
  <si>
    <t>6E4CG</t>
  </si>
  <si>
    <t>WOS:000683931700001</t>
  </si>
  <si>
    <t>Blank, JLT</t>
  </si>
  <si>
    <t>Blank, Jos L. T.</t>
  </si>
  <si>
    <t>Sustainable Provision of School Buildings in The Netherlands: An Empirical Productivity Analysis of Local Government School Building Operations</t>
  </si>
  <si>
    <t>sustainability; efficiency; school buildings; productivity; local government; performance benchmarking; carbon dioxide</t>
  </si>
  <si>
    <t>STOCHASTIC FRONTIER ANALYSIS; ENERGY-CONSERVATION; COST EFFICIENCY; PERFORMANCE; SCALE; ORGANIZATION; INEFFICIENCY; CONSUMPTION; ECONOMIES</t>
  </si>
  <si>
    <t>Building operations and construction are responsible for a large part of global energy use and carbon dioxide emissions. In this paper, we present an analysis of the efficiency and productivity of the provision of school buildings by Dutch municipalities. A cost function is estimated for the years 2005-2016 using stochastic frontier methods based on data of Dutch municipalities. The results indicate that inefficiency and unproductiveness are substantial. The provision of school buildings on a more appropriate scale, detailed performance benchmarking and including more incentives for innovative behaviour may result in a more sustainable provision of school buildings and less energy use and emission of carbon dioxide.</t>
  </si>
  <si>
    <t>[Blank, Jos L. T.] Delft Univ Technol, Inst Publ Sector Efficiency Studies, Mekelweg 5, NL-2628 Delft, Netherlands</t>
  </si>
  <si>
    <t>Blank, JLT (corresponding author), Delft Univ Technol, Inst Publ Sector Efficiency Studies, Mekelweg 5, NL-2628 Delft, Netherlands.</t>
  </si>
  <si>
    <t>j.blank@ipsestudies.nl</t>
  </si>
  <si>
    <t>Blank, Jos L.T./0000-0002-0173-4239</t>
  </si>
  <si>
    <t>10.3390/su13169138</t>
  </si>
  <si>
    <t>UH4LB</t>
  </si>
  <si>
    <t>WOS:000689903500001</t>
  </si>
  <si>
    <t>Li, ZQ; Duan, CQ; Lyu, Z; Xu, X</t>
  </si>
  <si>
    <t>Li, Zhongqiu; Duan, Caiquan; Lyu, Zhuo; Xu, Xin</t>
  </si>
  <si>
    <t>Why and When Supervisor Developmental Feedback Impact Innovative Behavior: Perspective of Self-Regulation Theory</t>
  </si>
  <si>
    <t>supervisor developmental feedback; self-goal-setting; innovative behavior; uncertainty avoidance</t>
  </si>
  <si>
    <t>SOCIAL COGNITIVE THEORY; UNCERTAINTY AVOIDANCE; WORK BEHAVIOR; LEADERSHIP; PERFORMANCE; CREATIVITY; TRUST; PERSONALITY; ENVIRONMENT; MODEL</t>
  </si>
  <si>
    <t>In this study, we examined how supervisor developmental feedback influences employees' innovative behavior. A multi-time survey method was used in this study to collect data from 310 employees in Chinese enterprises. The research results show that supervisor developmental feedback has positive effects on employee innovative behavior via the mediating effect of self-goal-setting. We further found that uncertainty avoidance strengthens the positive relationship between supervisor developmental feedback and the self-goal-setting of employees. Our study offers a new account based on self-regulation perspective for understanding feedback.</t>
  </si>
  <si>
    <t>[Li, Zhongqiu; Lyu, Zhuo] Northeast Agr Univ, Coll Econ &amp; Management, Harbin 150030, Peoples R China; [Duan, Caiquan] Northeast Agr Univ, Coll Engn, Harbin 150030, Peoples R China; [Xu, Xin] China Harbin Cent Sub Branch, Peoples Bank, Harbin 150036, Peoples R China</t>
  </si>
  <si>
    <t>Northeast Agricultural University - China; Northeast Agricultural University - China</t>
  </si>
  <si>
    <t>Duan, CQ (corresponding author), Northeast Agr Univ, Coll Engn, Harbin 150030, Peoples R China.</t>
  </si>
  <si>
    <t>lizhongqiu@neau.edu.cn; duancaiquan@neau.edu.cn; lvzhuoneau@163.com; xuxinzfjs@163.com</t>
  </si>
  <si>
    <t>Duan, Caiquan/0000-0002-4607-3219</t>
  </si>
  <si>
    <t>Young Talents Project of Northeast Agricultural University [20QC27, 18QC59]</t>
  </si>
  <si>
    <t>Young Talents Project of Northeast Agricultural University</t>
  </si>
  <si>
    <t>This research was funded by Young Talents Project of Northeast Agricultural University, grant numbers 20QC27 and 18QC59.</t>
  </si>
  <si>
    <t>10.3390/su13169190</t>
  </si>
  <si>
    <t>UH2JN</t>
  </si>
  <si>
    <t>WOS:000689764300001</t>
  </si>
  <si>
    <t>Bong, KH; Park, J</t>
  </si>
  <si>
    <t>Bong, Kang Ho; Park, Jaemin</t>
  </si>
  <si>
    <t>Two faces of failure in innovation: a multinomial logit approach</t>
  </si>
  <si>
    <t>Learning from failure; innovation behaviour; strategic decision-making; organisational learning; multinomial logit</t>
  </si>
  <si>
    <t>RESEARCH-AND-DEVELOPMENT; PERFORMANCE FEEDBACK; ATTAINMENT DISCREPANCY; DEVELOPMENT INTENSITY; BUSINESS FAILURE; DETERMINANTS; COMPETITION; PRODUCT; SLACK; ASPIRATION</t>
  </si>
  <si>
    <t>In innovation literature, some view firms' failures as negative to their innovative behaviour, while others argue that failures have a net function - learning from failure. However, we question whether classic linear regression methods constrain understandings of patterns by presenting only one side of the cause-and-effect relationship. This paper complements conventional approaches to literature by characterising the forms of innovation behaviour as mutually exclusive alternatives. Through an empirical approach evaluating mutually exclusive alternatives, we detected that firms' failures simultaneously affect both the probability of choice to increase innovation investment and that to decrease innovation investment. Our results suggest that there is a certain threshold for the degree of failure to trigger innovative behaviour. When this is kept at a low level, innovative behaviour, rather than conservative behaviour, is more likely to be triggered. However, at a high level, companies could choose to increase their innovation investment; but they could also do the exact opposite at any time. Overall, attempts to model the innovation decision-making process as one on choosing the best out of mutually exclusive alternatives allows us to simultaneously compare the probability of innovation behaviour, elucidating the multidimensional aspects of innovation.</t>
  </si>
  <si>
    <t>[Bong, Kang Ho; Park, Jaemin] Konkuk Univ, Dept Management Technol, Seoul, South Korea</t>
  </si>
  <si>
    <t>Park, J (corresponding author), Konkuk Univ, Dept Management Technol, Seoul, South Korea.</t>
  </si>
  <si>
    <t>jpark@konkuk.ac.kr</t>
  </si>
  <si>
    <t>Bong, Kang Ho/E-5144-2019</t>
  </si>
  <si>
    <t>Bong, Kang Ho/0000-0001-9176-1814; Park, Jaemin/0000-0003-3561-0792</t>
  </si>
  <si>
    <t>10.1080/10438599.2021.1950539</t>
  </si>
  <si>
    <t>E1QC2</t>
  </si>
  <si>
    <t>WOS:000673155200001</t>
  </si>
  <si>
    <t>Li, HH; Xu, CW; Zheng, HZ</t>
  </si>
  <si>
    <t>Li, Huihui; Xu, Congwei; Zheng, Huizhen</t>
  </si>
  <si>
    <t>Psychological Contracts and Employee Innovative Behaviours: A Moderated Mediation Effect Model</t>
  </si>
  <si>
    <t>BREACH; WORK; EMBEDDEDNESS; PERCEPTIONS; PERFORMANCE; ENGAGEMENT; CREATIVITY; INTENTION; CULTURE; ROLES</t>
  </si>
  <si>
    <t>According to Bakker and Demerouti's work demand resource theory, abundant work resources can stimulate an individual's initiative to the maximum extent and finally achieve ideal work results. However, few scholars have discussed if psychological states could affect work resources. We believe that relationship embeddedness is an important work resource in the context of Chinese human relationship culture. A low degree of embeddedness among employees would affect employees' recognition of their organizations and reduce their motivation for voluntary innovative behaviours. This study was to provide empirical evidence on the relationship between psychological contracts and employee innovative behaviours as well as the mediating role and moderating role of relational embeddedness and organizational tenure. A descriptive cross-sectional survey design was adopted. Primary data were collected by a structured questionnaire targeting the employees in China. To test the hypotheses, data collected from 402 enterprise employees were used for a regression analysis in AMOS (version 22). We found that there is a significant positive correlation between psychological contract and employee innovation behaviour, while embedding strength and embedding quality mediated the influence of psychological contracts on employee innovative behaviours. Organizational tenure moderated the strength of the relationship between psychological contracts and employee innovative behaviours via embedding strength and embedding quality.</t>
  </si>
  <si>
    <t>[Li, Huihui; Xu, Congwei; Zheng, Huizhen] Hefei Univ Technol, Sch Management, Hefei 230009, Peoples R China; [Li, Huihui; Zheng, Huizhen] North Minzu Univ, Business Sch, Yinchuan 750021, Ningxia, Peoples R China</t>
  </si>
  <si>
    <t>Hefei University of Technology; North Minzu University</t>
  </si>
  <si>
    <t>Li, HH (corresponding author), Hefei Univ Technol, Sch Management, Hefei 230009, Peoples R China.;Li, HH (corresponding author), North Minzu Univ, Business Sch, Yinchuan 750021, Ningxia, Peoples R China.</t>
  </si>
  <si>
    <t>2007001@nmu.edu.cn</t>
  </si>
  <si>
    <t>li, huihui/0000-0003-4953-9990</t>
  </si>
  <si>
    <t>University-Level Project of North Minzu University [2020XYSGY10]</t>
  </si>
  <si>
    <t>University-Level Project of North Minzu University</t>
  </si>
  <si>
    <t>This work was supported by the University-Level Project of North Minzu University under Grant no. 2020XYSGY10.</t>
  </si>
  <si>
    <t>10.1155/2021/6400742</t>
  </si>
  <si>
    <t>TL0WW</t>
  </si>
  <si>
    <t>WOS:000674576400002</t>
  </si>
  <si>
    <t>Yikilmaz, I; Surucu, L</t>
  </si>
  <si>
    <t>Yikilmaz, Ibrahim; Surucu, Lutfi</t>
  </si>
  <si>
    <t>Leader-member exchange as a mediator of the relationship between authentic leadership and employee creativity</t>
  </si>
  <si>
    <t>Authentic leadership; employee creativity; hospitality sector; leader-member exchange</t>
  </si>
  <si>
    <t>HOSPITALITY INDUSTRY; INNOVATIVE BEHAVIOR; SELF-EFFICACY; TRANSFORMATIONAL LEADERSHIP; ORGANIZATIONAL SUPPORT; PROACTIVE PERSONALITY; MULTILEVEL MEDIATION; ABUSIVE SUPERVISION; WORK-ENVIRONMENT; MODERATING ROLE</t>
  </si>
  <si>
    <t>The purpose of this study was to acquire meaningful insights on the determinants of creativity with a meticulous examination, and by dint of that, expand the concerned literature. To accomplish the same, a conceptual model that includes authentic leadership, employee creativity, and leader-member exchange (LMX) was methodically developed and evaluated. This research is a quantitative study incorporating a self-report survey. The data were amassed from hotel employees in Northern Cyprus. Data from 314 applicable surveys were analyzed using Statistical Package for the Social Sciences (SPSS)-22 and analysis of a moment structures (AMOS)-18 programs. Based on the findings, it can be deduced that authentic leadership has a considerable impact on employee creativity, while LMX plays an intermediary role in this relationship. The results of this study are useful and relevant for both researchers and policymakers.</t>
  </si>
  <si>
    <t>[Yikilmaz, Ibrahim] Kocaeli Univ, Fac Econ &amp; Adm Sci, Dept Business Adm, Kocaeli, Turkey; [Surucu, Lutfi] European Leadership Univ, Famagusta, Northern Cyprus, Turkey</t>
  </si>
  <si>
    <t>Kocaeli University</t>
  </si>
  <si>
    <t>Yikilmaz, I (corresponding author), Kocaeli Univ, Fac Econ &amp; Adm Sci, Dept Business Adm, Kocaeli, Turkey.</t>
  </si>
  <si>
    <t>ibrahimyklmz@gmail.com</t>
  </si>
  <si>
    <t>Sürücü, Lütfi/AAJ-8651-2020; yıkılmaz, ibrahim/F-6356-2018; yıkılmaz, Ibrahim/AAC-1309-2022</t>
  </si>
  <si>
    <t>Sürücü, Lütfi/0000-0002-6286-4184; yıkılmaz, Ibrahim/0000-0002-1051-0886</t>
  </si>
  <si>
    <t>PII S1833367221000237</t>
  </si>
  <si>
    <t>10.1017/jmo.2021.23</t>
  </si>
  <si>
    <t>0B4UJ</t>
  </si>
  <si>
    <t>WOS:000774631500001</t>
  </si>
  <si>
    <t>Mutonyi, BR; Slatten, T; Lien, G</t>
  </si>
  <si>
    <t>Mutonyi, Barbara Rebecca; Slatten, Terje; Lien, Gudbrand</t>
  </si>
  <si>
    <t>Fostering innovative behavior in health organizations: a PLS-SEM analysis of Norwegian hospital employees</t>
  </si>
  <si>
    <t>Internal market-oriented culture; Psychological capital; Individual innovative behavior; Organizational commitment; Hospital employees</t>
  </si>
  <si>
    <t>INTERNAL MARKET ORIENTATION; WORK BEHAVIOR; MEDIATING ROLE; TRANSACTIONAL LEADERSHIP; AUTHENTIC LEADERSHIP; JOB-SATISFACTION; MODERATING ROLE; CULTURE; COMMITMENT; CARE</t>
  </si>
  <si>
    <t>BackgroundHealth organization research is experiencing a strong refocus on employees' individual innovative behavior (IIB), revealing that many of the influential factors at work remain uncertain. Hence, this study empirically examines fostering of hospital employees' IIB by focusing on direct and indirect relationships of organizational culture (here labeled internal market-oriented culture, IMOC), psychological capital (PsyCap), and organizational commitment (OC).MethodsThe study focused on a sample of 1008 hospital employees, using a partial least squares-structural equation modeling method to analyze and test the relationships hypothesized in this study. A multigroup comparison was performed to test the heterogeneity of personal characteristics. The indirect relationships of PsyCap were tested using mediator analyses.ResultsOur results reveal that IMOC has a positive and significant correlation to employees' PsyCap and IIB. PsyCap is directly related to IIB and indirectly related to IMOC and IIB. Furthermore, the study found that IIB is related to OC.ConclusionsThis study extends the current debate on how IIB is fostered at work by examining PsyCap and IMOC as antecedents of IIB. The study has added to the IIB research area by examining the role of IIB on OC. The study is among the first attempts in its category to contribute to health organizations and managers by empirically examining the role of IMOC on employees' PsyCap and IIB-and, in turn, their OC.</t>
  </si>
  <si>
    <t>[Mutonyi, Barbara Rebecca; Slatten, Terje; Lien, Gudbrand] Inland Norway Univ Appl Sci, Inland Sch Business &amp; Social Sci, Campus Lillehammer, Lillehammer, Norway</t>
  </si>
  <si>
    <t>Mutonyi, BR (corresponding author), Inland Norway Univ Appl Sci, Inland Sch Business &amp; Social Sci, Campus Lillehammer, Lillehammer, Norway.</t>
  </si>
  <si>
    <t>barbara.lappalainen@inn.no</t>
  </si>
  <si>
    <t>Mutonyi, Barbara Rebecca/0000-0002-7328-8178</t>
  </si>
  <si>
    <t>10.1186/s12913-021-06505-1</t>
  </si>
  <si>
    <t>SM6ZE</t>
  </si>
  <si>
    <t>WOS:000657750100003</t>
  </si>
  <si>
    <t>Morton, FB; Buchanan-Smith, HM; Brosnan, SF; Thierry, B; Paukner, A; Essler, JL; Marcum, CS; Lee, PC</t>
  </si>
  <si>
    <t>Morton, F. Blake; Buchanan-Smith, Hannah M.; Brosnan, Sarah F.; Thierry, Bernard; Paukner, Annika; Essler, Jennifer L.; Marcum, Christopher S.; Lee, Phyllis C.</t>
  </si>
  <si>
    <t>Studying Animal Innovation at the Individual Level: A Ratings-Based Assessment in Capuchin Monkeys (Sapajus [Cebus] sp.)</t>
  </si>
  <si>
    <t>observer ratings; validity; innovativeness; cognitive evolution; associative learning</t>
  </si>
  <si>
    <t>WILD CHIMPANZEES; SOCIAL BONDS; TOOL USE; PERSONALITY; BEHAVIOR; INTELLIGENCE; EVOLUTION; BIRDS; AGE; TRANSMISSION</t>
  </si>
  <si>
    <t>Large-scale studies of individual differences in innovative behavior among nonhuman animals are rare because of logistical difficulties associated with obtaining observational data on a large number of innovative individuals across multiple locations. Here, we take a different approach, using observer ratings to study individual differences in innovative behavior in 127 brown capuchin monkeys (Sapajus [Cebus] sp.) from 15 social groups and 7 facilities. Capuchins were reliably rated by 1 to 7 raters (mean 3.2 +/- 1.6 raters/monkey) on a 7-point Likert scale for levels of innovative behavior, task motivation, sociality, and dominance. In a subsample, we demonstrate these ratings are valid: Rated innovation predicted performance on a learning task. rated motivation predicted participation in the task, rated dominance predicted social rank based on win/loss aggressive outcomes, and rated sociality predicted the time that monkeys spent in proximity to others. Across all 127 capuchins, individuals that were rated as being more innovative were significantly younger. more social, and more motivated to engage in tasks. Age, sociality, and task motivation all had independent effects on innovativeness, whereas sex, dominance, and group size were nonsignificant. Our findings are consistent with long-term behavioral observations of innovation in wild white-faced capuchins. Observer ratings may, therefore. be a valid tool for studies of animal innovation.</t>
  </si>
  <si>
    <t>[Morton, F. Blake] Univ Hull, Dept Psychol, Cottingham Rd, Kingston Upon Hull HU6 7RX, N Humberside, England; [Buchanan-Smith, Hannah M.; Lee, Phyllis C.] Univ Stirling, Fac Nat Sci, Psychol Div, Stirling, Scotland; [Brosnan, Sarah F.] Georgia State Univ, Dept Psychol, Language Res Ctr, Atlanta, GA 30303 USA; [Brosnan, Sarah F.] Georgia State Univ, Ctr Behav Neurosci, Atlanta, GA 30303 USA; [Thierry, Bernard] Univ Tours, French Natl Ctr Sci Res, French Natl Inst Agr Res, Physiol Reprod &amp; Behav, Tours, France; [Paukner, Annika] Nottingham Trent Univ, Psychol Dept, Nottingham, England; [Essler, Jennifer L.] Univ Penn, Penn Vet Working Dog Ctr, Sch Vet Med, Philadelphia, PA 19104 USA; [Marcum, Christopher S.] NIH, Bldg 10, Bethesda, MD 20892 USA</t>
  </si>
  <si>
    <t>University of Hull; University of Stirling; University System of Georgia; Georgia State University; University System of Georgia; Georgia State University; INRAE; Universite de Tours; Nottingham Trent University; University of Pennsylvania; National Institutes of Health (NIH) - USA</t>
  </si>
  <si>
    <t>Morton, FB (corresponding author), Univ Hull, Dept Psychol, Cottingham Rd, Kingston Upon Hull HU6 7RX, N Humberside, England.</t>
  </si>
  <si>
    <t>b.morton@hull.ac.uk</t>
  </si>
  <si>
    <t>Morton, Blake/HKW-7407-2023; Buchanan-Smith, Hannah M/A-5350-2009</t>
  </si>
  <si>
    <t>Buchanan-Smith, Hannah M/0000-0002-2516-7734; Marcum, Christopher/0000-0002-0899-6143; Lee, Phyllis/0000-0002-4296-3513; Essler, Jennifer/0000-0001-5091-6496; Morton, Blake/0000-0002-8644-1557</t>
  </si>
  <si>
    <t>University of Stirling; Primate Society of Great Britain; Intramural Research Program of the National Institutes of Health</t>
  </si>
  <si>
    <t>University of Stirling; Primate Society of Great Britain; Intramural Research Program of the National Institutes of Health(United States Department of Health &amp; Human ServicesNational Institutes of Health (NIH) - USA)</t>
  </si>
  <si>
    <t>F. Blake Morton thanks the University of Stirling and the Primate Society of Great Britain for funding. Research support for Christopher S. Marcum was provided by the Intramural Research Program of the National Institutes of Health. We have no known conflicts of interest to declare.</t>
  </si>
  <si>
    <t>10.1037/com0000264</t>
  </si>
  <si>
    <t>TB8US</t>
  </si>
  <si>
    <t>WOS:000668221900012</t>
  </si>
  <si>
    <t>Renkema, M; Meijerink, J; Bondarouk, T</t>
  </si>
  <si>
    <t>Renkema, Maarten; Meijerink, Jeroen; Bondarouk, Tanya</t>
  </si>
  <si>
    <t>Routes for employee-driven innovation: how HRM supports the emergence of innovation in a formalized context</t>
  </si>
  <si>
    <t>Employee driven innovation; human resource management; bottom-up emergence; IWB</t>
  </si>
  <si>
    <t>PREDICTORS; WORK</t>
  </si>
  <si>
    <t>Although research has shown that HRM can contribute to innovation, only limited scholarly attention has been given to the bottom-up emergence of innovation based on an employees' ideas. Furthermore, while scholars have accumulated knowledge about innovative behavior in business contexts where innovation is nurtured, to fully understand 'innovation by employees' we need to also address business contexts where innovation by employees is not overtly expected. For these reasons, the aim of this paper is to explore the bottom-up emergence of so-called employee-driven innovation (EDI) in a formalized business context and study how HRM support mechanisms contribute to this. We conducted an explorative single case study in a highly formalized company - a medical laboratory in the Netherlands. The data analysis was based on 40 interviews, documents, and observations. We found that a highly formalized business context does support innovation by employees, but that this has specific employee-driven innovation routes through which employees innovate. Furthermore, the findings suggest that the content and process of EDI emergence should be studied using a multilevel perspective. We offer recommendations on how EDI routes should be modelled and reflect on what this contributes to the HRM - innovation literature. Supplemental data for this article is available online at https://doi.org/10.1080/09585192.2021.1913625 .</t>
  </si>
  <si>
    <t>[Renkema, Maarten] Univ Twente, Fac Behav Management &amp; Social Sci, Drienerlolaan 5, NL-7500 AE Enschede, Netherlands; [Renkema, Maarten] Univ Twente, Human Resource Management Dept, Drienerlolaan 5, NL-7500 AE Enschede, Netherlands</t>
  </si>
  <si>
    <t>University of Twente; University of Twente</t>
  </si>
  <si>
    <t>Renkema, M (corresponding author), Univ Twente, Fac Behav Management &amp; Social Sci, Drienerlolaan 5, NL-7500 AE Enschede, Netherlands.;Renkema, M (corresponding author), Univ Twente, Human Resource Management Dept, Drienerlolaan 5, NL-7500 AE Enschede, Netherlands.</t>
  </si>
  <si>
    <t>Renkema, Maarten/ABA-4213-2021</t>
  </si>
  <si>
    <t>Renkema, Maarten/0000-0002-9788-1929</t>
  </si>
  <si>
    <t>Netherlands Organization for Scientific Research (NWO) [409-13-204]</t>
  </si>
  <si>
    <t>This work is part of the research program Innovating Human Resource Management for Employee-driven Innovation with project number 409-13-204, which is (partly) financed by the Netherlands Organization for Scientific Research (NWO). The authors would like to thank the editor and three anonymous reviewers for their feedback. Furthermore, we acknowledge the help of Nadine van Wijchen and thank all participants for their willingness to take part in this research project.</t>
  </si>
  <si>
    <t>SEP 25</t>
  </si>
  <si>
    <t>10.1080/09585192.2021.1913625</t>
  </si>
  <si>
    <t>4R0XT</t>
  </si>
  <si>
    <t>WOS:000642595100001</t>
  </si>
  <si>
    <t>Krueger, K; Esch, L; Byrne, R</t>
  </si>
  <si>
    <t>Krueger, Konstanze; Esch, Laureen; Byrne, Richard</t>
  </si>
  <si>
    <t>Need or opportunity? A study of innovations in equids</t>
  </si>
  <si>
    <t>LARGER GROUPS; HORSES; BEHAVIOR; AGE; COGNITION; BRAINS; SEX; PERFORMANCE; BIRDS; RANK</t>
  </si>
  <si>
    <t>Debate persists over whether animals develop innovative solutions primarily in response to needs or conversely whether they innovate more when basic needs are covered and opportunity to develop novel behaviour is offered. We sourced 746 cases of unusual behaviour in equids by contacting equid owners and caretakers directly and via a website (https://innovative-behaviour.org), and by searching the internet platforms YouTube and Facebook for videos. The study investigated whether differences in need or opportunity for innovation were reflected in the numbers of different types of innovations and in the frequencies of repeating a once-innovative behaviour (i) with respect to the equids' sex, age, and breed type, (ii) across behavioural categories, and whether (iii) they were affected by the equids' management (single vs group housing, access to roughage feed, access to pasture, and social contact). We found that the numbers of different types of innovation and the frequency of displaying specific innovations were not affected by individual characteristics (sex, age, breed or equid species). Few types of innovation in escape and foraging contexts were observed, whilst the comfort, play, and social contexts elicited the greatest variety of innovations. We also found higher numbers of different types of innovations in horses kept in groups rather than in individual housing, and with unlimited rather than with restricted access to pasture and roughage. Equids in permanent social contact performed high rates of once-innovative behaviour. We suggest that equids produce goal-directed innovations and repeat the behaviour at high frequency in response to urgent needs for food and free movement or when kept in conditions with social conflict. However, equids devise the greatest variety of innovations when opportunity to play and to develop comfort behaviour arises and when kept in good conditions.</t>
  </si>
  <si>
    <t>[Krueger, Konstanze; Esch, Laureen] Nuertingen Geislingen Univ, Fac Agr Econ &amp; Management, Dept Equine Econ, Nurtingen, Germany; [Krueger, Konstanze] Univ Regensburg, Zool Evolutionary Biol, Regensburg, Germany; [Esch, Laureen] Ludwig Maximilian Univ Munich, Fac Vet Med Anim Hyg &amp; Anim Husb, Chair Anim Welf, Dept Vet Sci,Ethol, Munich, Germany; [Byrne, Richard] Univ St Andrews, Sch Psychol &amp; Neurosci, Ctr Social Learning &amp; Cognit Evolut, St Andrews, Scotland</t>
  </si>
  <si>
    <t>Nuertingen-Geislingen University (NGU); University of Regensburg; University of Munich; RLUK- Research Libraries UK; University of St Andrews</t>
  </si>
  <si>
    <t>Krueger, K (corresponding author), Nuertingen Geislingen Univ, Fac Agr Econ &amp; Management, Dept Equine Econ, Nurtingen, Germany.;Krueger, K (corresponding author), Univ Regensburg, Zool Evolutionary Biol, Regensburg, Germany.</t>
  </si>
  <si>
    <t>Konstanze.Krueger@hfwu.de</t>
  </si>
  <si>
    <t>Byrne, Richard/0000-0001-9862-9373</t>
  </si>
  <si>
    <t>e0257730</t>
  </si>
  <si>
    <t>10.1371/journal.pone.0257730</t>
  </si>
  <si>
    <t>XM7DR</t>
  </si>
  <si>
    <t>WOS:000728983400040</t>
  </si>
  <si>
    <t>Tang, HD; Wang, G; Zheng, JW; Luo, L; Wu, GD</t>
  </si>
  <si>
    <t>Tang, Handong; Wang, Ge; Zheng, Junwei; Luo, Lan; Wu, Guangdong</t>
  </si>
  <si>
    <t>How Does the Emotional Intelligence of Project Managers Affect Employees' Innovative Behaviors and Job Performance? The Moderating Role of Social Network Structure Hole</t>
  </si>
  <si>
    <t>emotional intelligence; innovation behavior; job performance; structure hole</t>
  </si>
  <si>
    <t>ENTERPRISE RISK-MANAGEMENT; TRANSFORMATIONAL LEADERSHIP; ORGANIZATIONAL RESEARCH; CONSTRUCTION PROJECTS; AFFECTIVE EVENTS; MEDIATING ROLE; CONFLICT; WORK; IMPLEMENTATION; SUCCESS</t>
  </si>
  <si>
    <t>This study applies affective events theory (AET) and resource dependence theory to introduce the moderating variable social network structure hole; a theoretical model is applied to better understand construction project managers' emotional intelligence (EI), the innovative behavior of employees, and job performance. A questionnaire survey was conducted with Chinese construction project managers and their employees, with 169 valid questionnaires analyzed using structural equation modeling. The results show that (a) managers with high EI have more potential to make use of structural holes; (b) managers with high EI can stimulate employees' innovative behavior, thus improving employees' job performance; (c) structural holes can enhance the relationship between managers' EI and employees' innovative behavior and strengthen the relationship between EI and employees' job performance. Using the lens of AET, this study examines the influencing path of managers' EI on employees' job performance from two aspects: emotion-driven behavior and judgment-driven behavior. The study also discusses the moderating mechanism of social network structure hole. The conclusion may help project managers better understand and make use of the influence of social network structure holes.</t>
  </si>
  <si>
    <t>[Tang, Handong] Jiangxi Univ Finance &amp; Econ, Nanchang, Jiangxi, Peoples R China; [Wang, Ge] Huazhong Agr Univ, Wuhan, Peoples R China; [Zheng, Junwei] Kunming Univ Sci &amp; Technol, Kunming, Yunnan, Peoples R China; [Luo, Lan] Nanchang Univ, Nanchang, Jiangxi, Peoples R China; [Wu, Guangdong] Chongqing Univ, Chongqing, Peoples R China</t>
  </si>
  <si>
    <t>Jiangxi University of Finance &amp; Economics; Huazhong Agricultural University; Kunming University of Science &amp; Technology; Nanchang University; Chongqing University</t>
  </si>
  <si>
    <t>Wu, GD (corresponding author), Chongqing Univ, Sch Publ Affairs, 174 Shazhengjie, Chongqing 400044, Peoples R China.</t>
  </si>
  <si>
    <t>Zheng, Junwei/R-7647-2017; Wang, Ge/AAY-5473-2021; Guang-dong, Wu/J-6979-2017</t>
  </si>
  <si>
    <t>Zheng, Junwei/0000-0002-1621-8210; Wang, Ge/0000-0001-5417-6819; Guang-dong, Wu/0000-0002-2600-0493</t>
  </si>
  <si>
    <t>National Natural Science Foundation of China [71972018, 71901101, 71701083, 71901113]</t>
  </si>
  <si>
    <t>The author(s) disclosed receipt of the following financial support for the research, authorship, and/or publication of this article: This study is supported by the National Natural Science Foundation of China (71972018, 71901101, 71701083, and 71901113).</t>
  </si>
  <si>
    <t>10.1177/2158244020969382</t>
  </si>
  <si>
    <t>OT0VK</t>
  </si>
  <si>
    <t>WOS:000590572600001</t>
  </si>
  <si>
    <t>Dadaboyev, SMU; Baek, Y; Ahn, SI</t>
  </si>
  <si>
    <t>Dadaboyev, Sherzodbek Murodilla Ugh; Baek, Yoonjung; Ahn, Scong Ik</t>
  </si>
  <si>
    <t>Victimizing innovative employees: joint roles of in-role behavior and task interdependence</t>
  </si>
  <si>
    <t>Task interdependence; Conservation of resources theory; In-role behavior; Victimization; Innovative behavior; Three-way interaction</t>
  </si>
  <si>
    <t>ORGANIZATIONAL CITIZENSHIP BEHAVIOR; JOB DEMANDS; WORKPLACE; SELF; PERSONALITY; PERFORMANCE; RESISTANCE; RESOURCES; CONSERVATION; PERCEPTIONS</t>
  </si>
  <si>
    <t>Purpose This study aims to examine how an employee's engagement in innovative behavior (IB) can lead to the experience of aggressive actions from other members of an organization and the joint roles of employee in-role performance and task interdependence in this relationship. Design/methodology/approach A field study conducted among a diverse sample of employees working in various industries provided converging evidence for the theorized predictions. The sample of 204 full-time employees is included in the analyses. Findings The results confirmed that innovative employees can be targets of victimization in an organization and employees' high in-role performance and high task interdependence jointly moderate the negative relationship between innovative performance and victimization. Research limitations/implications The current study should be evaluated in light of some limitations, such as single-source data and the use of cross-sectional data. Practical implications It is advised that innovative individuals should accomplish their required duties in highly task-interdependent contexts to avoid harmful responses from peers. Managers should be aware of the potential negative side of IB. The data involving various industries provide evidence for the generalizability of the research findings and conclusions. Originality/value This paper advances the understanding of the consequences of creative behavior by examining the unexplored aspect that innovative employees can become victims of peer mistreatments. It also expands the understanding of negative outcomes of engaging in creativity by concurrently examining moderating roles of in-role behavior and task interdependence.</t>
  </si>
  <si>
    <t>[Dadaboyev, Sherzodbek Murodilla Ugh; Baek, Yoonjung] Kyungpook Natl Univ, Sch Business Adm, Daegu, South Korea; [Ahn, Scong Ik] Yeungnam Univ, Sch Business, Gyongsan, South Korea</t>
  </si>
  <si>
    <t>Kyungpook National University; Yeungnam University</t>
  </si>
  <si>
    <t>Baek, Y (corresponding author), Kyungpook Natl Univ, Sch Business Adm, Daegu, South Korea.</t>
  </si>
  <si>
    <t>yjbaek@knu.ac.kr</t>
  </si>
  <si>
    <t>DADABOYEV, SHERZODBEK MURODILLA UGLI/AAY-7337-2020; Dadaboyev, Sherzodbek Murodilla ugli/ABB-2916-2020</t>
  </si>
  <si>
    <t>DADABOYEV, SHERZODBEK MURODILLA UGLI/0000-0002-2842-4177; Dadaboyev, Sherzodbek Murodilla ugli/0000-0002-2842-4177</t>
  </si>
  <si>
    <t>MAR 22</t>
  </si>
  <si>
    <t>10.1108/IJCMA-05-2020-0090</t>
  </si>
  <si>
    <t>RJ5OU</t>
  </si>
  <si>
    <t>WOS:000563497900001</t>
  </si>
  <si>
    <t>Kim, DW; Lee, BJ</t>
  </si>
  <si>
    <t>Kim, Dae-Won; Lee, Beom-Jin</t>
  </si>
  <si>
    <t>Recognition Investigation of Community Pharmacists Implementing Good Pharmacy Practice in Korea</t>
  </si>
  <si>
    <t>INTERNATIONAL JOURNAL OF HEALTH SERVICES</t>
  </si>
  <si>
    <t>good pharmacy practice guidelines; community pharmacy; pharmaceutical care service; questionnaire survey; validity and reliability analysis; knowledge state and recognition about GPP; GPP favorability</t>
  </si>
  <si>
    <t>CLINICAL GUIDELINES</t>
  </si>
  <si>
    <t>This study aimed to verify, for the first time, the need for Good Pharmacy Practice (GPP) regulations as guidelines to provide pharmaceutical care services in community pharmacies in Korea. Statistical analyses were performed with demographic characteristics, institutional factors, and diversity factors of 3 pharmaceutical care services as independent variables and the favorability of GPP implementation as a dependent variable. In assessing the diversity of methods of providing pharmaceutical care services as an indicator of willingness to provide these services, this study understood such diversity as an innovative behavior that represents the efforts and willingness of pharmacists to provide better services. The results of descriptive statistics showed that most pharmacists in community pharmacy recognize that guidelines are necessary to provide better pharmaceutical care services. The statistical correlation analysis results confirmed that a greater need for guidelines was strongly related to higher GPP favorability. The institutional factors had the greatest influence on GPP favorability, rather than diversity factors of pharmaceutical care services, ultimately with the Korean perspectives to equate the GPP with the guidelines for pharmaceutical care services. Our study confirmed that it is a wish and a policy task of community pharmacists in Korea to enact GPP as soon as possible.</t>
  </si>
  <si>
    <t>[Kim, Dae-Won; Lee, Beom-Jin] Ajou Univ, Coll Pharm, 206 Worldcup Ro, Suwon, Kyeonggi Do, South Korea; [Lee, Beom-Jin] Ajou Univ, Inst Pharmaceut Sci &amp; Technol, Suwon, South Korea</t>
  </si>
  <si>
    <t>Ajou University; Ajou University</t>
  </si>
  <si>
    <t>Lee, BJ (corresponding author), Ajou Univ, Coll Pharm, 206 Worldcup Ro, Suwon, Kyeonggi Do, South Korea.</t>
  </si>
  <si>
    <t>bjl@ajou.ac.kr</t>
  </si>
  <si>
    <t>0020-7314</t>
  </si>
  <si>
    <t>1541-4469</t>
  </si>
  <si>
    <t>INT J HEALTH SERV</t>
  </si>
  <si>
    <t>Int. J. Health Serv.</t>
  </si>
  <si>
    <t>10.1177/0020731420941459</t>
  </si>
  <si>
    <t>2E6AT</t>
  </si>
  <si>
    <t>WOS:000548876500001</t>
  </si>
  <si>
    <t>Fiorentin, F; Pereira, M; Suarez, D</t>
  </si>
  <si>
    <t>Fiorentin, Florencia; Pereira, Mariano; Suarez, Diana</t>
  </si>
  <si>
    <t>The relationship between public funds, innovation and employment among Argentinean manufacturing firms</t>
  </si>
  <si>
    <t>Innovation policy; Skilled labor; Innovation results; Capabilities; D21; D22; O38; J24; O14</t>
  </si>
  <si>
    <t>PERSISTENCE; ECONOMICS; SUBSIDIES; SUPPORT</t>
  </si>
  <si>
    <t>This paper analyzes the relationship between innovation policy, innovation results and qualified employment at the firm level. The motivation of our paper and the main contribution are to provide evidence about the effects of innovation on qualified employment, and the role that public policy may play in the process. The empirical work is based on Argentinean manufacturer firms included in the National Employment and Innovation Dynamics Survey (in Spanish Encuesta Nacional de Dinamica de Empleo e Innovacion), which is a CIS-type survey that covers the period 2010-2012. The econometric strategy follows the Heckman selection model (also known as endogenous treatment-regression model). Results show that innovative firms stand out for better performance than non-innovative ones, since they demand three more skilled-workers per firm than non-innovative firms as a result of their innovative behavior, and the impact is higher at higher levels of firm productivity. Moreover, results suggest asuccess of the policyrelated to innovation results, which in turn impact firm performance. In this regard, evidence shows innovation policy plays a role on innovation results and qualified employment, which is beyond the policy design and traditional impact studies.</t>
  </si>
  <si>
    <t>[Fiorentin, Florencia; Pereira, Mariano; Suarez, Diana] Univ Nacl Gen Sarmiento UNGS, Inst Ind IdeI, JM Gutierrez 1150,Los Polvorines CP1613GSX, Buenos Aires, DF, Argentina; [Pereira, Mariano; Suarez, Diana] Ctr Interdisciplinario Estudios Ciencia Tecnol &amp;, Buenos Aires, DF, Argentina</t>
  </si>
  <si>
    <t>Fiorentin, F (corresponding author), Univ Nacl Gen Sarmiento UNGS, Inst Ind IdeI, JM Gutierrez 1150,Los Polvorines CP1613GSX, Buenos Aires, DF, Argentina.</t>
  </si>
  <si>
    <t>ffiorentin@campus.ungs.edu.ar</t>
  </si>
  <si>
    <t>Fiorentin, Florencia/AAD-7602-2022</t>
  </si>
  <si>
    <t>Fiorentin, Florencia/0000-0001-5210-4715; Pereira, Mariano/0000-0003-4313-7421</t>
  </si>
  <si>
    <t>10.1007/s00191-020-00668-6</t>
  </si>
  <si>
    <t>MQ1UZ</t>
  </si>
  <si>
    <t>WOS:000552684800006</t>
  </si>
  <si>
    <t>Phillips, JM; Kang, JH; Choi, DY; Solomon, GT</t>
  </si>
  <si>
    <t>Phillips, J. Mark; Kang, Jae Hyeung; Choi, David Y.; Solomon, George T.</t>
  </si>
  <si>
    <t>Transformational leadership and attorneys' performance in law firms An examination of multilevel moderated mediation</t>
  </si>
  <si>
    <t>Transformational leadership; Innovative climate; Entrepreneurial orientation; Individual performance</t>
  </si>
  <si>
    <t>MEDIUM-SIZED FIRMS; ENTREPRENEURIAL ORIENTATION; INNOVATIVE BEHAVIOR; CORPORATE ENTREPRENEURSHIP; TRANSACTIONAL LEADERSHIP; ORGANIZATIONAL-CLIMATE; INTERRATER RELIABILITY; MEMBER EXCHANGE; IMPACT; CEOS</t>
  </si>
  <si>
    <t>Purpose This study examines how transformational leadership on the part of senior attorneys in law firms may affect their subordinate attorneys' performance in an industry experiencing both distinctive leadership challenges and widespread economic upheaval. Specifically, our multilevel theoretical model attempts to capture the moderated mediation relationships between transformational leadership, innovative climate, entrepreneurial orientation, and individual performance. Design/methodology/approach The study employs of a multilevel path analysis to examine the earlier described conceptual model utilizing primary data collected from 484 attorneys at 31 professional service firms. Findings The authors used multilevel path analysis to examine the existence and the extent of a multilevel mediation effect. They found that a firm's entrepreneurial orientation mediates the relationship between supervising attorneys' transformational leadership and individual attorneys' performances. The authors also found that the indirect effect of supervising attorneys' transformational leadership on individual attorneys' performances through entrepreneurial orientation is conditional on the degree of firm innovative climate. Originality/value The authors draw on theories of social learning to construct a dual-level theoretical model that connects domains within the leadership and entrepreneurship literatures. It does so by examining the relationships between the law firms' supervising attorneys' change-oriented leadership and their subordinate attorneys' billable hours during a period of severe economic disruption.</t>
  </si>
  <si>
    <t>[Phillips, J. Mark] Belmont Univ, Dept Entrepreneurship, Nashville, TN 37212 USA; [Kang, Jae Hyeung] Oakland Univ, Dept Mkt &amp; Management, Rochester, MI 48063 USA; [Choi, David Y.] Loyola Marymount Univ, Coll Business Adm, Los Angeles, CA 90045 USA; [Solomon, George T.] George Washington Univ, Sch Business, Washington, DC USA</t>
  </si>
  <si>
    <t>Belmont University; Oakland University; Loyola Marymount University; George Washington University</t>
  </si>
  <si>
    <t>Phillips, JM (corresponding author), Belmont Univ, Dept Entrepreneurship, Nashville, TN 37212 USA.</t>
  </si>
  <si>
    <t>mark.phillips@belmont.edu</t>
  </si>
  <si>
    <t>Center for Entrepreneurial Excellence at the George Washington University School of Business</t>
  </si>
  <si>
    <t>The authors would like to acknowledge the generous support of the Center for Entrepreneurial Excellence at the George Washington University School of Business. Specifically, the authors would like to acknowledge the kind support of Drs. George Solomon, Erik Winslow, James Bailey, Ayman El Tarabishy and Sharon Hill.</t>
  </si>
  <si>
    <t>JUN 8</t>
  </si>
  <si>
    <t>10.1108/IJEBR-02-2019-0100</t>
  </si>
  <si>
    <t>LR8EG</t>
  </si>
  <si>
    <t>WOS:000522029300001</t>
  </si>
  <si>
    <t>Brazendale, K; Beets, MW; Weaver, RG; Turner-McGrievy, B; Brazendale, AB; Chandler, JL; Moore, JB; Huberty, JL; Lemley, J; Brownson, RC</t>
  </si>
  <si>
    <t>Brazendale, Keith; Beets, Michael W.; Weaver, Robert G.; Turner-McGrievy, Brie; Brazendale, Allison B.; Chandler, Jessica L.; Moore, Justin B.; Huberty, Jennifer L.; Lemley, Joshua; Brownson, Ross C.</t>
  </si>
  <si>
    <t>The application of mHealth to monitor implementation of best practices to support healthy eating and physical activity in afterschool programs</t>
  </si>
  <si>
    <t>GLOBAL HEALTH PROMOTION</t>
  </si>
  <si>
    <t>children; public health; school setting; physical activity; health promotion; obesity; overweight</t>
  </si>
  <si>
    <t>RANDOMIZED CONTROLLED-TRIAL; ACTIVITY STANDARDS; POLICY PRACTICE; MOBILE; TECHNOLOGIES; CHILDREN</t>
  </si>
  <si>
    <t>Background: Childhood obesity continues to be a global epidemic and many child-based settings (e.g. school, afterschool programs) have great potential to make a positive impact on children's health behaviors. Innovative and time-sensitive methods of gathering health behavior information for the purpose of evaluation and strategically deploying support are needed in these settings. Purpose: The aim is to (1) demonstrate the feasibility of mobile health (mHealth) for monitoring implementation of healthy eating and physical activity (HEPA) standards and, (2) illustrate the utility of mHealth for identifying areas where support is needed, within the afterschool setting. Methods: Site leaders (N = 175) of afterschool programs (ASPs) were invited to complete an online observation checklist via a mobile web app (Healthy Eating and Physical Activity Mobile, HEPAm) once per week during ASP operating hours. Auto-generated weekly text reminders were sent to site leaders' mobile devices during spring and fall 2015 and 2016 and spring 2017 school semesters. Data from HEPAm was separated into HEPA variables, and expressed as a percent of checklists where an item was present. A higher percentage for a given item would indicate an afterschool has higher compliance with current HEPA standards. Results: A total of 141 site leaders of ASPs completed 13,960 HEPAm checklists. The average number of checklists completed per ASP was 43 (range 1-220) for healthy eating and 50 (range 1-230) for physical activity. For healthy eating, the most common challenge for ASPs was 'Staff educating children about healthy eating', and for physical activity checklists, 'Girls only physical activity is provided at ASP'. Conclusion: HEPAm was widely used and provided valuable information that can be used to strategically deploy HEPA support to ASPs. This study gives confidence to the adoption of mHealth strategies as a means for public health practitioners to monitor compliance of an initiative or intervention.</t>
  </si>
  <si>
    <t>[Brazendale, Keith; Beets, Michael W.; Weaver, Robert G.; Turner-McGrievy, Brie; Brazendale, Allison B.; Chandler, Jessica L.; Lemley, Joshua] Univ South Carolina, Columbia, SC 29208 USA; [Moore, Justin B.] Wake Forest Sch Med, Winston Salem, NC 27101 USA; [Huberty, Jennifer L.] Arizona State Univ, Phoenix, AZ USA; [Brownson, Ross C.] Washington Univ, St Louis, MO 63110 USA</t>
  </si>
  <si>
    <t>University of South Carolina System; University of South Carolina Columbia; Wake Forest University; Arizona State University; Arizona State University-Downtown Phoenix; Washington University (WUSTL)</t>
  </si>
  <si>
    <t>Brazendale, K (corresponding author), Univ South Carolina, Arnold Sch Publ Hlth, Dept Exercise Sci, 921 Assembly St,1st Floor Suite,Room 134, Columbia, SC 29208 USA.</t>
  </si>
  <si>
    <t>brazendk@email.sc.edu</t>
  </si>
  <si>
    <t>Brazendale, Keith/ABB-1965-2021; Moore, Justin B/B-9357-2012; Weaver, Robert G/A-3489-2017</t>
  </si>
  <si>
    <t>Moore, Justin B/0000-0003-4059-0538; Weaver, Robert G/0000-0001-5889-974X; Brazendale, Keith/0000-0001-9233-1621</t>
  </si>
  <si>
    <t>1757-9759</t>
  </si>
  <si>
    <t>1757-9767</t>
  </si>
  <si>
    <t>GLOB HEALTH PROMOT</t>
  </si>
  <si>
    <t>Glob. Health Promot.</t>
  </si>
  <si>
    <t>10.1177/1757975918768442</t>
  </si>
  <si>
    <t>LA8IT</t>
  </si>
  <si>
    <t>WOS:000524186200005</t>
  </si>
  <si>
    <t>Badke, CM; Borrowman, JA; Haymond, S; Rychlik, K; Malakooti, MR</t>
  </si>
  <si>
    <t>Badke, Colleen M.; Borrowman, Julie A.; Haymond, Shannon; Rychlik, Karen; Malakooti, Marcelo R.</t>
  </si>
  <si>
    <t>7 Is the New 8: Improving Adherence to Restrictive PRBC Transfusions in the Pediatric ICU</t>
  </si>
  <si>
    <t>JOURNAL FOR HEALTHCARE QUALITY</t>
  </si>
  <si>
    <t>hospital; restrictive transfusion; pediatrics; quality improvement; innovation</t>
  </si>
  <si>
    <t>CRITICALLY-ILL CHILDREN; BLOOD-CELL TRANSFUSIONS; INTENSIVE-CARE-UNIT; RBC TRANSFUSION; DETERMINANTS; STRATEGIES; EDUCATION; ANEMIA</t>
  </si>
  <si>
    <t>Up to 30%-40% of children admitted to the pediatric intensive care unit (PICU) have anemia, and approximately 15% receive packed red blood cell (pRBC) transfusions. Current literature supports a pRBC transfusion threshold of hemoglobin less than or equal to seven for most PICU patients. Our objective was to determine pRBC transfusion rates, assess compliance with transfusion guidelines, understand patient-level variables that affect transfusion practices, and use cross-industry innovation to implement a practice strategy. This was a pre-post study of pediatric patients admitted to our PICU. We collected baseline data on pRBC transfusion practices. Next, we organized an innovation platform, which generated multi-industry ideas and produced an awareness campaign to effect pRBC ordering behavior. Innovative educational interventions were implemented, and postintervention transfusion practices were monitored. Statistical analysis was performed using linear mixed models. A p value &lt; .05 was considered statistically significant. At baseline, 41% of pRBC transfusions met restrictive transfusion guidelines with a pretransfusion hemoglobin less than or equal to 7 g/dl. In the postintervention period, 53% of transfusions met restrictive transfusion guidelines (odds ratio 1.66, 95% confidence interval 1.21-2.28). Implementation of a behavioral campaign using multi-industry innovation led to improved adherence to pRBC transfusion guidelines in a tertiary care PICU.</t>
  </si>
  <si>
    <t>[Badke, Colleen M.] Ann &amp; Robert H Lurie Childrens Hosp Chicago, Chicago, IL 60611 USA; [Borrowman, Julie A.] Ann &amp; Robert H Lurie Childrens Hosp Chicago, PICU, Patient Care Operat, Chicago, IL 60611 USA; [Haymond, Shannon] Ann &amp; Robert H Lurie Childrens Hosp Chicago, Computat Pathol, Chicago, IL 60611 USA; [Haymond, Shannon] Northwestern Univ, Sch Med, Chicago, IL 60611 USA; [Rychlik, Karen] Stanley Manne Childrens Res Inst, Biostat Res Core, Chicago, IL USA; [Malakooti, Marcelo R.] Ann &amp; Robert H Lurie Childrens Hosp Chicago, Pediat, Crit Care Med, Chicago, IL 60611 USA</t>
  </si>
  <si>
    <t>Ann &amp; Robert H. Lurie Children's Hospital of Chicago; Ann &amp; Robert H. Lurie Children's Hospital of Chicago; Ann &amp; Robert H. Lurie Children's Hospital of Chicago; Northwestern University; Ann &amp; Robert H. Lurie Children's Hospital of Chicago</t>
  </si>
  <si>
    <t>Badke, CM (corresponding author), Ann &amp; Robert H Lurie Childrens Hosp Chicago, Chicago, IL 60611 USA.</t>
  </si>
  <si>
    <t>cbadke@luriechildrens.org</t>
  </si>
  <si>
    <t>1062-2551</t>
  </si>
  <si>
    <t>1945-1474</t>
  </si>
  <si>
    <t>J HEALTHC QUAL</t>
  </si>
  <si>
    <t>J. Healthc. Qual.</t>
  </si>
  <si>
    <t>10.1097/JHQ.0000000000000176</t>
  </si>
  <si>
    <t>LE4LY</t>
  </si>
  <si>
    <t>WOS:000526692000005</t>
  </si>
  <si>
    <t>Santana-Sarmiento, F; Alamo-Vera, FR; De Saa-Perez, P</t>
  </si>
  <si>
    <t>Santana-Sarmiento, Francisco; Rosa Alamo-Vera, Francisca; De Saa-Perez, Petra</t>
  </si>
  <si>
    <t>A Resource-Based View of Competitiveness in the Wind Energy Sector: The Case of Gran Canaria and Tenerife</t>
  </si>
  <si>
    <t>APPLIED SCIENCES-BASEL</t>
  </si>
  <si>
    <t>resource-based view; competitiveness; wind energy; island</t>
  </si>
  <si>
    <t>FARM SITE SELECTION; RENEWABLE ENERGY; REGIONAL COMPETITIVENESS; DECISION-SUPPORT; INNOVATION; SYSTEMS; ISLAND; MULTICRITERIA; SUSTAINABILITY; TRANSFORMATION</t>
  </si>
  <si>
    <t>This paper proposes a new model to assess the socio-economic potential of two outermost islands of the EU to exploit their resources and capabilities for the sustainable development of the wind energy sector. To that end, a territory competitiveness index is calculated from the resource-based view to assess the socio-economic potential of renewable energy sources in Gran Canaria and Tenerife. We propose a model where local resources and capabilities in the wind energy industry are measured, taking into account different sources of information and methodologies, thus ensuring a rigorous process in the index calculation. In order to quantify the basic resources, for example, a methodology based on a multi-criteria analysis (MCA) with a geographic information system (GIS) is suggested, with the objective of obtaining an indicator called index of available territorial resources. This index synthesizes the map information through a numerical value that allows integrating the territory resource with other indicators of the model, such as market growth, innovative behavior, firms' concentration, or investment effort by the government. The results of the study show that capabilities development is a key factor to exploit the islands resource endowment in order to achieve a competitive advantage in wind energy.</t>
  </si>
  <si>
    <t>[Santana-Sarmiento, Francisco] Univ Las Palmas Gran Canaria, Dept Cartog &amp; Graph Express Engn, Las Palmas Gran Canaria 35017, Canarias, Spain; [Rosa Alamo-Vera, Francisca; De Saa-Perez, Petra] Univ Las Palmas Gran Canaria, Dept Econ &amp; Business Management, Las Palmas Gran Canaria 35017, Canarias, Spain</t>
  </si>
  <si>
    <t>Universidad de Las Palmas de Gran Canaria; Universidad de Las Palmas de Gran Canaria</t>
  </si>
  <si>
    <t>De Saa-Perez, P (corresponding author), Univ Las Palmas Gran Canaria, Dept Econ &amp; Business Management, Las Palmas Gran Canaria 35017, Canarias, Spain.</t>
  </si>
  <si>
    <t>franciscojesus.santana@ulpgc.es; francisca.alamo@ulpgc.es; petra.desaaperez@ulpgc.es</t>
  </si>
  <si>
    <t>Álamo-Vera, Francisca Rosa/ABB-1160-2020; De Saá-Pérez, Petra/AAJ-4345-2020</t>
  </si>
  <si>
    <t>De Saá-Pérez, Petra/0000-0002-3945-5454; Alamo-Vera, Francisca Rosa/0000-0002-1015-9299; Santana_Sarmiento, Francisco/0000-0002-2769-1230</t>
  </si>
  <si>
    <t>2076-3417</t>
  </si>
  <si>
    <t>APPL SCI-BASEL</t>
  </si>
  <si>
    <t>Appl. Sci.-Basel</t>
  </si>
  <si>
    <t>MAR 26</t>
  </si>
  <si>
    <t>10.3390/app9061263</t>
  </si>
  <si>
    <t>Chemistry, Multidisciplinary; Engineering, Multidisciplinary; Materials Science, Multidisciplinary; Physics, Applied</t>
  </si>
  <si>
    <t>Chemistry; Engineering; Materials Science; Physics</t>
  </si>
  <si>
    <t>HT2ER</t>
  </si>
  <si>
    <t>WOS:000464376500003</t>
  </si>
  <si>
    <t>Rahimi, M; Kenworthy, TP; Balakrishnan, J</t>
  </si>
  <si>
    <t>Rahimi, Matt; Kenworthy, Thomas P.; Balakrishnan, Jaydeep</t>
  </si>
  <si>
    <t>An Analysis of Innovation in Oil and Gas Projects</t>
  </si>
  <si>
    <t>PROJECT MANAGEMENT JOURNAL</t>
  </si>
  <si>
    <t>project; innovation; theory; over-performing; under-performing</t>
  </si>
  <si>
    <t>ORGANIZATIONAL INNOVATION; MANAGEMENT RESEARCH; STRATEGIC MANAGEMENT; CONTEXTUAL FACTORS; COMPLEX PRODUCTS; WORK-ENVIRONMENT; UPSTREAM OIL; FIRM; PERFORMANCE; TECHNOLOGY</t>
  </si>
  <si>
    <t>We examine the effects of predictors from the firm, project, and individual levels on innovative behavior within oil and gas projects. The theory and propositions tested in this study stem from extant work on (1) innovation in poor performance conditions and (2) the availability of slack resources. The research findings revealed that innovative behaviors were present regardless of size, type, and project performance level. Further, it appears that the relationship between slack and innovation depends on when the innovation is introduced (i.e., when project performance is ahead of, or behind, a plan). Finally, the existence of innovation in (1) under-performing projects did not appear to exert any influence on project outcome, and (2) over-performing projects appeared to exert a negative influence on project outcome.</t>
  </si>
  <si>
    <t>[Rahimi, Matt] Univ Calgary, Haskayne Sch Business, Management, Calgary, AB, Canada; [Balakrishnan, Jaydeep] Univ Calgary, Haskayne Sch Business, Operat &amp; Supply Chain Management Area, Calgary, AB, Canada; [Balakrishnan, Jaydeep] Univ Calgary, Haskayne Sch Business, Canadian Ctr Adv Supply Chain Management &amp; Logist, Calgary, AB, Canada; [Kenworthy, Thomas P.] Univ Windsor, Strategy &amp; Entrepreneurship Dept, Windsor, ON, Canada</t>
  </si>
  <si>
    <t>University of Calgary; University of Calgary; University of Calgary; University of Windsor</t>
  </si>
  <si>
    <t>Rahimi, M (corresponding author), Univ Calgary, Calgary, AB, Canada.</t>
  </si>
  <si>
    <t>mrahimi@ucalgary.ca; thomas_kenworthy@hotmail.com; balakris@ucalgary.ca</t>
  </si>
  <si>
    <t>8756-9728</t>
  </si>
  <si>
    <t>1938-9507</t>
  </si>
  <si>
    <t>PROJ MANAG J</t>
  </si>
  <si>
    <t>Proj. Manag. J.</t>
  </si>
  <si>
    <t>10.1177/8756972818788773</t>
  </si>
  <si>
    <t>GT4RC</t>
  </si>
  <si>
    <t>WOS:000444490900006</t>
  </si>
  <si>
    <t>Mulcahy, NJ</t>
  </si>
  <si>
    <t>Mulcahy, Nicholas J.</t>
  </si>
  <si>
    <t>An Orangutan Hangs Up a Tool for Future Use</t>
  </si>
  <si>
    <t>PAN-TROGLODYTES; PONGO-PYGMAEUS; CHIMPANZEE; EVOLUTION</t>
  </si>
  <si>
    <t>Observational reports suggest that great apes perform tool-orientated actions in preparation for a tool's future use. Some of these observations suggest remarkable planning skills because the target for the tool's intended use was not present during the tool-orientated actions. Although these observational reports are intriguing, such planning ability has yet to be studied experimentally. To address this issue, I conducted two experiments that were inspired by an orangutan's innovative behaviour during a novel enrichment task: the orangutan spontaneously secured a tool he was using to rake-in rewards by hanging it up when it was not in use but would be required a short time later. Experiment 1 showed that securing the tool predominately occurred when the orangutan could anticipate the tool's future use, but rarely occurred when he could anticipate no further use for it. Experiment 2 indicated that the tool's atypical size and/or weight were possible factors that prompted the orangutan to hang up the tool. Overall, the findings suggest that an orangutan not only innovated a novel way of securing a tool, but did so in anticipation of its future use.</t>
  </si>
  <si>
    <t>[Mulcahy, Nicholas J.] Univ Queensland, Sch Psychol, McElwain Bldg, St Lucia, Qld, Australia; [Mulcahy, Nicholas J.] World Ape Fund, Int House,124 Cromwell Rd, London SW7 4ET, England</t>
  </si>
  <si>
    <t>Mulcahy, NJ (corresponding author), Univ Queensland, Sch Psychol, McElwain Bldg, St Lucia, Qld, Australia.;Mulcahy, NJ (corresponding author), World Ape Fund, Int House,124 Cromwell Rd, London SW7 4ET, England.</t>
  </si>
  <si>
    <t>mulcahy@worldapefund.org</t>
  </si>
  <si>
    <t>University of Queensland [2009001875]</t>
  </si>
  <si>
    <t>University of Queensland(University of Queensland)</t>
  </si>
  <si>
    <t>A University of Queensland Fellowship award funded the work (grant number 2009001875). I thank the Singapore Zoo staff for help and advice during the study, in particular John Sha Chi Munn, Sam Alagappasamy, and all the orangutan keepers, especially Jackson Raj and Kumaran Sesshe. Thanks to Daniel Stahl for help and advice with statistical analysis. I thank two anonymous referees for their helpful comments. A special thanks to both Vernon Hedge for valuable comments and discussions on the manuscript and Michele Schubiger for the same contribution and for conducting the inter-observer reliability.</t>
  </si>
  <si>
    <t>AUG 27</t>
  </si>
  <si>
    <t>10.1038/s41598-018-31331-7</t>
  </si>
  <si>
    <t>GR7LI</t>
  </si>
  <si>
    <t>WOS:000442870300078</t>
  </si>
  <si>
    <t>Wu, YR</t>
  </si>
  <si>
    <t>Wu Yanrui</t>
  </si>
  <si>
    <t>Propensity, Intensity and Persistence of R&amp;D Spending in Chinese Firms</t>
  </si>
  <si>
    <t>CHINA-AN INTERNATIONAL JOURNAL</t>
  </si>
  <si>
    <t>RESOURCE-BASED VIEW; DEVELOPMENT INVESTMENT; MANUFACTURING FIRMS; INNOVATION; TECHNOLOGY; SIZE; DETERMINANTS; KNOWLEDGE; PERFORMANCE; COMPETITION</t>
  </si>
  <si>
    <t>This article contributes to the understanding of innovative behaviour in China's large and medium-sized firms and hence the role of Chinese firms in innovation. The empirical analyses are based on firm-level survey data. Innovation has important implications not only for the transformation of the Chinese economy but also for the rest of the world as Chinese firms become increasingly active internationally. Specifically, this article explores the factors underlying the propensity, intensity and persistence of research and development (R&amp;D) spending in Chinese firms.</t>
  </si>
  <si>
    <t>[Wu Yanrui] Univ Western Australia, Business Sch, Econ, Perth, WA, Australia</t>
  </si>
  <si>
    <t>Wu, YR (corresponding author), Univ Western Australia, Business Sch, Econ, Perth, WA, Australia.</t>
  </si>
  <si>
    <t>yanrui.wu@uwa.edu.au</t>
  </si>
  <si>
    <t>China National Natural Science Foundation [71572188]</t>
  </si>
  <si>
    <t>China National Natural Science Foundation(National Natural Science Foundation of China (NSFC))</t>
  </si>
  <si>
    <t>The author would like to thank the two anonymous referees for their helpful comments and suggestions. This research was partly supported by a grant from China National Natural Science Foundation (no. 71572188).</t>
  </si>
  <si>
    <t>NUS PRESS PTE LTD</t>
  </si>
  <si>
    <t>SINGAPORE</t>
  </si>
  <si>
    <t>NATIONAL UNIV SINGAPORE, AS3-01-02, 3 ARTS LINK, SINGAPORE 117569, SINGAPORE</t>
  </si>
  <si>
    <t>0219-7472</t>
  </si>
  <si>
    <t>0219-8614</t>
  </si>
  <si>
    <t>CHINA INT J</t>
  </si>
  <si>
    <t>China</t>
  </si>
  <si>
    <t>Area Studies</t>
  </si>
  <si>
    <t>FN9HE</t>
  </si>
  <si>
    <t>WOS:000416340500009</t>
  </si>
  <si>
    <t>Kloskowski, J; Fraczek, K</t>
  </si>
  <si>
    <t>Kloskowski, Janusz; Fraczek, Karolina</t>
  </si>
  <si>
    <t>A novel strategy to escape a poor habitat: red-necked grebes transfer flightless young to other ponds</t>
  </si>
  <si>
    <t>Brood movement; Habitat selection; Innovative behaviour; Risk taking</t>
  </si>
  <si>
    <t>MOVEMENTS; BEHAVIOR; BIRDS</t>
  </si>
  <si>
    <t>Animals confronted with the threat of the death of their offspring may exhibit unusual and risk-prone behaviours. Grebes (Podicipediformes) are water birds which cannot effectively walk, thus unfledged young are assumed to be unable to depart from their natal ponds by land. We provide evidence that red-necked grebes Podiceps grisegena, breeding on ponds with scarce food resources, transferred their flightless young (2-4 weeks old) to other, unconnected ponds by land or air. Although a large proportion of breeding grebes in the study area nested on food-poor fish ponds acting as ecological traps, where they suffered significant brood losses, brood movements to new ponds accounted for only 3.3% of such breeding attempts. The infrequency of this strategy may be explained by the lack of suitable territories in close proximity and the high risk of predation or fatal injury. The means of chick transfer remains unclear; the chicks may have followed or been carried by parents shuffling across the pond levees; alternatively, parents may have carried the young on their backs in flight. Our findings indicate that red-necked grebes assess the current level of resources available for chicks and may adopt novel and risky strategies to escape total brood failure.</t>
  </si>
  <si>
    <t>[Kloskowski, Janusz] Poznan Univ Life Sci, Inst Zool, Wojska Polskiego 71C, PL-60625 Poznan, Poland; [Fraczek, Karolina] Maria Curie Skodowska Univ, Nat Conservat Dept, Inst Biol, Akad 19, PL-20033 Lublin, Poland; [Fraczek, Karolina] Urzedowska 252, Krasnik, Poland</t>
  </si>
  <si>
    <t>Poznan University of Life Sciences; Maria Curie-Sklodowska University</t>
  </si>
  <si>
    <t>Kloskowski, J (corresponding author), Poznan Univ Life Sci, Inst Zool, Wojska Polskiego 71C, PL-60625 Poznan, Poland.</t>
  </si>
  <si>
    <t>janusz6kl@gmail.com</t>
  </si>
  <si>
    <t>Kloskowski, Janusz/AGQ-5060-2022</t>
  </si>
  <si>
    <t>Kloskowski, Janusz/0000-0002-0525-2421</t>
  </si>
  <si>
    <t>State Committee for Scientific Research [6PO4F00618, 6PO4F06620, 3P04F03623]; Polish Ministry of Science and Higher Education [MNiSW 2P04G05030]</t>
  </si>
  <si>
    <t>State Committee for Scientific Research(Polish State Committee for Scientific Research); Polish Ministry of Science and Higher Education(Ministry of Science and Higher Education, Poland)</t>
  </si>
  <si>
    <t>Thanks to friends and volunteers, especially Pawel Szewczyk, for help with the fieldwork. Two anonymous referees provided useful comments. The project was partly funded by grants from the State Committee for Scientific Research (6PO4F00618, 6PO4F06620 and 3P04F03623) and from the Polish Ministry of Science and Higher Education (MNiSW 2P04G05030).</t>
  </si>
  <si>
    <t>10.1007/s10211-017-0254-7</t>
  </si>
  <si>
    <t>EV0VB</t>
  </si>
  <si>
    <t>WOS:000401462700012</t>
  </si>
  <si>
    <t>Wang, HL</t>
  </si>
  <si>
    <t>Wang, Hongli</t>
  </si>
  <si>
    <t>What stops creative employees to implement ideas? Individual culture value orientation perspective</t>
  </si>
  <si>
    <t>Creativity; Creative employee; Idea implementation; Individual power distance orientations (IPDO); Individual superficial harmony orientations (ISHO)</t>
  </si>
  <si>
    <t>INNOVATIVE BEHAVIOR; POWER DISTANCE; PERFORMANCE; CONFLICT; LEVEL; MANAGEMENT; LEADERSHIP; SPEAKING; BELIEFS; HARMONY</t>
  </si>
  <si>
    <t>Purpose - Creativity itself does not necessarily lead to idea implementation. The purpose of this paper is to deeply understand the impact of the individual culture value orientation on employees' motivation on whether they want to push creative ideas into implementation. Design/methodology/approach - In this study, drawing on socially desirable responding (SDR) theory, the author reasons that individual value on power distance and superficial harmony and that these two factors interact to influence employees transform their creativity into implementation. The author argues that prevalence of the failure where creativity cannot be transformed into implementation results from the lack of understanding for two elusive individual culture value orientations: individual superficial harmony orientations (ISHO) and individual power distance orientations (IPDO). Data from 66 middle managers and 301 members of five high-tech firms provide a considerable support for the hypothesized model. Findings - The results showed that individuals were able to improve the possibility of putting their creative ideas into practice when they are both lower in IPDO and ISHO. Originality/value - Such findings help the author to understand how individual cultural value orientation complements each other to generate joint impact on the relationship between their creative ideas to idea implementation.</t>
  </si>
  <si>
    <t>[Wang, Hongli] South China Univ Technol, Guangzhou, Guangdong, Peoples R China</t>
  </si>
  <si>
    <t>Wang, HL (corresponding author), South China Univ Technol, Guangzhou, Guangdong, Peoples R China.</t>
  </si>
  <si>
    <t>bmhlwang@scut.edu.cn</t>
  </si>
  <si>
    <t>10.1108/JOCM-10-2016-0199</t>
  </si>
  <si>
    <t>FI8XL</t>
  </si>
  <si>
    <t>WOS:000412285900004</t>
  </si>
  <si>
    <t>Xu, Q; Li, FJ</t>
  </si>
  <si>
    <t>Xu, Qin; Li, Fangjun</t>
  </si>
  <si>
    <t>ARE MORE TRADITIONAL EMPLOYEES LESS INNOVATIVE? COLLEAGUES' AND LEADERS' INFLUENCES MATTER</t>
  </si>
  <si>
    <t>traditionality; group traditionality; transformational leadership; employee innovation; innovative behavior</t>
  </si>
  <si>
    <t>PERCEIVED ORGANIZATIONAL SUPPORT; INDIVIDUALISM-COLLECTIVISM; VALUES; CREATIVITY; BEHAVIOR; CHINA; PERFORMANCE; JUSTICE; WORK</t>
  </si>
  <si>
    <t>We examined how the cultural value orientation of employees' traditionality influences their innovative behaviors in a group context. Our belief was that the behavioral influence of traditionality on individual innovation would be contingent upon group traditionality and transformational leadership, as well as the combined moderating effect of these two variables. Participants were 282 employees and their 36 group leaders in a large telecommunication corporation in China. Results revealed that although traditionalists were superior to nontraditionalists in terms of individual innovation, the latter group exhibited greater potential for innovative behaviors when their colleagues were less traditional and/or when they were led by a transformational leader. Moreover, traditionalists were found to be more innovative than nontraditionalists were when group traditionality was high and transformational leadership was low. Research limitations and implications of the findings are discussed.</t>
  </si>
  <si>
    <t>[Xu, Qin] Southeast Univ, Sch Econ &amp; Management, Dhaka, Bangladesh; [Li, Fangjun] Jinan Univ, Management Sch, 601 Huangpu Ave West, Guangzhou 510632, Guangdong, Peoples R China</t>
  </si>
  <si>
    <t>Jinan University</t>
  </si>
  <si>
    <t>Li, FJ (corresponding author), Jinan Univ, Management Sch, 601 Huangpu Ave West, Guangzhou 510632, Guangdong, Peoples R China.</t>
  </si>
  <si>
    <t>lifangjun@jnu.edu.cn</t>
  </si>
  <si>
    <t>National Natural Science Foundation of China [71602076]; Fundamental Research Funds for the Central Universities [3214006418]</t>
  </si>
  <si>
    <t>This research was supported by grants from the National Natural Science Foundation of China (71602076) and the Fundamental Research Funds for the Central Universities (3214006418).</t>
  </si>
  <si>
    <t>10.2224/sbp.5934</t>
  </si>
  <si>
    <t>EU9AW</t>
  </si>
  <si>
    <t>WOS:000401330600012</t>
  </si>
  <si>
    <t>da Silva, FQB; Monteiro, CVF; dos Santos, IE; Capretz, LF</t>
  </si>
  <si>
    <t>da Silva, Fabio Q. B.; Monteiro, Cleviton V. F.; dos Santos, Igor Ebrahim; Capretz, Luiz Fernando</t>
  </si>
  <si>
    <t>How Software Development Group Leaders Influence Team Members' Innovative Behavior</t>
  </si>
  <si>
    <t>IEEE SOFTWARE</t>
  </si>
  <si>
    <t>EXCHANGE</t>
  </si>
  <si>
    <t>[da Silva, Fabio Q. B.] Univ Fed Pernambuco, Software Engn, Recife, PE, Brazil; [da Silva, Fabio Q. B.; Monteiro, Cleviton V. F.; dos Santos, Igor Ebrahim] Univ Fed Pernambuco, Human Aspects Software Engn Res Grp, Recife, PE, Brazil; [Monteiro, Cleviton V. F.] Univ Fed Pernambuco, Dept Stat &amp; Informat, Recife, PE, Brazil; [dos Santos, Igor Ebrahim] Avanade, Grp Software Engn, Seattle, WA USA; [Capretz, Luiz Fernando] Western Univ, Software Engn, London, ON, Canada; [Capretz, Luiz Fernando] Western Univ, IT &amp; E Learning, London, ON, Canada</t>
  </si>
  <si>
    <t>Universidade Federal de Pernambuco; Universidade Federal de Pernambuco; Universidade Federal de Pernambuco; Accenture; Western University (University of Western Ontario); Western University (University of Western Ontario)</t>
  </si>
  <si>
    <t>da Silva, FQB (corresponding author), Univ Fed Pernambuco, Software Engn, Recife, PE, Brazil.;da Silva, FQB (corresponding author), Univ Fed Pernambuco, Human Aspects Software Engn Res Grp, Recife, PE, Brazil.</t>
  </si>
  <si>
    <t>fabio@cin.ufpe.br; cleviton@gmail.com; ies@cin.ufpe.br; lcapretz@uwo.ca</t>
  </si>
  <si>
    <t>Capretz, Luiz Fernando/K-5944-2013; da Silva, Fabio Queda Bueno/A-6524-2012</t>
  </si>
  <si>
    <t>Capretz, Luiz Fernando/0000-0001-6966-2369; da Silva, Fabio Queda Bueno/0000-0002-3734-040X</t>
  </si>
  <si>
    <t>IEEE COMPUTER SOC</t>
  </si>
  <si>
    <t>LOS ALAMITOS</t>
  </si>
  <si>
    <t>10662 LOS VAQUEROS CIRCLE, PO BOX 3014, LOS ALAMITOS, CA 90720-1314 USA</t>
  </si>
  <si>
    <t>0740-7459</t>
  </si>
  <si>
    <t>1937-4194</t>
  </si>
  <si>
    <t>IEEE Softw.</t>
  </si>
  <si>
    <t>10.1109/MS.2016.120</t>
  </si>
  <si>
    <t>DV7DI</t>
  </si>
  <si>
    <t>WOS:000383095900018</t>
  </si>
  <si>
    <t>Il'inykh, SA; Mikhailova, EV</t>
  </si>
  <si>
    <t>Il'inykh, S. A.; Mikhailova, E., V</t>
  </si>
  <si>
    <t>Innovations in organizations: Introduction and resistance</t>
  </si>
  <si>
    <t>SOTSIOLOGICHESKIE ISSLEDOVANIYA</t>
  </si>
  <si>
    <t>Russian</t>
  </si>
  <si>
    <t>innovation; innovation receptivity; resistance to innovations; habitualization; innovators; conservatives</t>
  </si>
  <si>
    <t>Approaches to innovation introduction in organizations are analyzed using data of a Novosibirsk small-businesses' survey. Innovation receptivity of personnel is analyzed from the point of view of resources and topmanagers capability to take decisions aimed at realizing initiatives, as well as social cultural specifics of organizations influencing character of innovative behavior. Three types of habitualization are singled out: innovation receptivity, resistance to innovations, and a mixed type.</t>
  </si>
  <si>
    <t>[Il'inykh, S. A.; Mikhailova, E., V] Novosibirsk State Univ Econ &amp; Management, Novosibirsk, Russia</t>
  </si>
  <si>
    <t>Novosibirsk State University of Economics &amp; Management</t>
  </si>
  <si>
    <t>Il'inykh, SA (corresponding author), Novosibirsk State Univ Econ &amp; Management, Novosibirsk, Russia.</t>
  </si>
  <si>
    <t>ili.sa@mail.ru; elena.mihailova48@gmail.com</t>
  </si>
  <si>
    <t>Ilynykh, Svetlana/HJY-0286-2023</t>
  </si>
  <si>
    <t>MEZHDUNARODNAYA KNIGA</t>
  </si>
  <si>
    <t>39 DIMITROVA UL., MOSCOW, 113095, RUSSIA</t>
  </si>
  <si>
    <t>0132-1625</t>
  </si>
  <si>
    <t>SOTSIOL ISSLED+</t>
  </si>
  <si>
    <t>Sotsiologicheskie Issled.</t>
  </si>
  <si>
    <t>CN6QK</t>
  </si>
  <si>
    <t>WOS:000358559100011</t>
  </si>
  <si>
    <t>Lockhart, MM; Babar, ZUD; Garg, S</t>
  </si>
  <si>
    <t>Lockhart, Michelle Marie; Babar, Zaheer-Ud-Din; Garg, Sanjay</t>
  </si>
  <si>
    <t>Clinical Trials in New Zealand: Progress, People, and Policies</t>
  </si>
  <si>
    <t>DRUG DEVELOPMENT RESEARCH</t>
  </si>
  <si>
    <t>clinical trials; clinical research; policy; expertise; capability</t>
  </si>
  <si>
    <t>PHARMACEUTICAL INNOVATION; INDUSTRY</t>
  </si>
  <si>
    <t>Competition for clinical trial projects outsourced by the global pharmaceutical industry is increasing with more countries bidding to provide these services. A comprehensive review of the clinical trial landscape in New Zealand was conducted by analysing clinical trial applications, and interviewing senior industry representatives on their expertise, capabilities, knowledge management, and innovative behaviours, as well as the policies and factors that had influenced the development of the industry. The number of clinical trial application approvals increased from 33 in 1989/1990 to 113 in 2008/2009 indicating continued confidence of the pharmaceutical industry in placing clinical research projects in New Zealand. Much of this growth has been due to an increasing number of phase I and II trials as a result of the availability of new purpose-built facilities. The sponsors of clinical trials in New Zealand have changed from predominantly representatives of the pharmaceutical industry to mainly local and overseas CROs. The industry representatives are very experienced with the range of capabilities expected for clinical trials. They prefer informal sources of knowledge acquisition and display innovative behaviours such as solving problems that cause others difficulty, teamwork, and project planning. A large number of factors have encouraged the clinical trials industry in New Zealand including quality sites and data, the western healthcare system, the high incidence of some diseases, and seasonal opposition to Europe and the United States. Respondents suggested policies and strategies to address the increasing threat from global competition. New Zealand has developed significant expertise in clinical research but it should continue to monitor its industry to ensure continued growth. Drug Dev Res 72: 299-304, 2011. (C) 2010 Wiley-Liss, Inc.</t>
  </si>
  <si>
    <t>[Lockhart, Michelle Marie; Babar, Zaheer-Ud-Din; Garg, Sanjay] Univ Auckland, Sch Pharm, Fac Med &amp; Hlth Sci, Auckland 1, New Zealand</t>
  </si>
  <si>
    <t>Babar, ZUD (corresponding author), Univ Auckland, Sch Pharm, Fac Med &amp; Hlth Sci, Private Bag 92019, Auckland 1, New Zealand.</t>
  </si>
  <si>
    <t>z.babar@auckland.ac.nz</t>
  </si>
  <si>
    <t>Garg, Sanjay/B-2516-2012; Babar, Zaheer-Ud-Din/AFQ-8221-2022</t>
  </si>
  <si>
    <t>Garg, Sanjay/0000-0001-7253-2629; Babar, Zaheer-Ud-Din/0000-0003-1051-3240</t>
  </si>
  <si>
    <t>FRST TIF</t>
  </si>
  <si>
    <t>Grant sponsor: FRST TIF.</t>
  </si>
  <si>
    <t>0272-4391</t>
  </si>
  <si>
    <t>DRUG DEVELOP RES</t>
  </si>
  <si>
    <t>Drug Dev. Res.</t>
  </si>
  <si>
    <t>10.1002/ddr.20437</t>
  </si>
  <si>
    <t>Chemistry, Medicinal; Pharmacology &amp; Pharmacy</t>
  </si>
  <si>
    <t>Pharmacology &amp; Pharmacy</t>
  </si>
  <si>
    <t>784YM</t>
  </si>
  <si>
    <t>WOS:000292194600001</t>
  </si>
  <si>
    <t>Comins, JA; Russ, BE; Humbert, KA; Hauser, MD</t>
  </si>
  <si>
    <t>Comins, Jordan A.; Russ, Brian E.; Humbert, Kelley A.; Hauser, Marc D.</t>
  </si>
  <si>
    <t>Innovative coconut-opening in a semi free-ranging rhesus monkey (Macaca mulatta): a case report on behavioral propensities</t>
  </si>
  <si>
    <t>JOURNAL OF ETHOLOGY</t>
  </si>
  <si>
    <t>Innovation; Behavioral repertoire; Foraging; Rhesus macaques</t>
  </si>
  <si>
    <t>The present case report provides a description of the emergence of an innovative, highly beneficial foraging behavior in a single rhesus monkey (Macaca mulatta) on the island of Cayo Santiago, Puerto Rico. Selectively choosing the island's cement dock and nearby surrounding rocky terrain, our focal subject (ID: 84 J) opens coconuts using two types of underhand tosses: (1) a rolling motion to move it, and (2) a throwing motion up in the air to crack the shell. We discuss this innovative behavior in light of species-specific behavioral propensities.</t>
  </si>
  <si>
    <t>[Comins, Jordan A.; Russ, Brian E.; Hauser, Marc D.] Harvard Univ, Dept Psychol, Cambridge, MA 02138 USA; [Humbert, Kelley A.] Harvard Univ, Dept Neurobiol, Cambridge, MA 02138 USA; [Hauser, Marc D.] Harvard Univ, Dept Human Evolutionary Biol, Cambridge, MA 02138 USA</t>
  </si>
  <si>
    <t>Harvard University; Harvard University; Harvard University</t>
  </si>
  <si>
    <t>Comins, JA (corresponding author), Harvard Univ, Dept Psychol, 33 Kirkland St, Cambridge, MA 02138 USA.</t>
  </si>
  <si>
    <t>jcomins@post.harvard.edu</t>
  </si>
  <si>
    <t>Comins, Jordan/0000-0002-1219-4338; Russ, Brian/0000-0003-0320-1257</t>
  </si>
  <si>
    <t>National Center for Research Resources (NCRR), National Institutes of Health (NIH) [CM-5-P40RR003640-13]</t>
  </si>
  <si>
    <t>National Center for Research Resources (NCRR), National Institutes of Health (NIH)(United States Department of Health &amp; Human ServicesNational Institutes of Health (NIH) - USANIH National Center for Research Resources (NCRR))</t>
  </si>
  <si>
    <t>This research adheres to the legal requirements of the country in which the work was carried out and all institutional guidelines. We thank Edmundo Kraiselburd, Adaris Mas and James E. Ayala for facilitating our research on Cayo Santiago, Amy Skerry and two anonymous reviewers for helpful comments on an earlier draft, and Grace Lee for arousing our interest in 84 J's behavior. The project described was supported by Grant Number CM-5-P40RR003640-13 from the National Center for Research Resources (NCRR), a component of the National Institutes of Health (NIH). Its contents are solely the responsibility of the authors and do not necessarily represent the official views of NCRR or NIH.</t>
  </si>
  <si>
    <t>SPRINGER TOKYO</t>
  </si>
  <si>
    <t>TOKYO</t>
  </si>
  <si>
    <t>1-11-11 KUDAN-KITA, CHIYODA-KU, TOKYO, 102-0073, JAPAN</t>
  </si>
  <si>
    <t>0289-0771</t>
  </si>
  <si>
    <t>J ETHOL</t>
  </si>
  <si>
    <t>J. Ethol.</t>
  </si>
  <si>
    <t>10.1007/s10164-010-0234-0</t>
  </si>
  <si>
    <t>700OS</t>
  </si>
  <si>
    <t>WOS:000285754300026</t>
  </si>
  <si>
    <t>Hanappi, H</t>
  </si>
  <si>
    <t>Hanappi, Hardy</t>
  </si>
  <si>
    <t>The concept of choice: why and how innovative behaviour is not just stochastic</t>
  </si>
  <si>
    <t>Workshop on Innovation, Structural Change and Economic Development</t>
  </si>
  <si>
    <t>JUN 16-21, 2005</t>
  </si>
  <si>
    <t>Tourtours, FRANCE</t>
  </si>
  <si>
    <t>Fdn Les Treilles</t>
  </si>
  <si>
    <t>game theory; John von Neumann; innovation; concept of choice; innovative behaviour</t>
  </si>
  <si>
    <t>The goal of this paper is to highlight the importance of the concept of choice. To do so, a synopsis of the most important contributions to this topic-featuring an eclectic set of scholars across disciplines-is provided. As central to the argument, John von Neumann's contributions, game theory and simulation techniques on von Neumann machines, are identified. Innovation (economic and theoretic) as the driving force behind human evolution seems to head for a new scientific paradigm based on von Neumann's ideas.</t>
  </si>
  <si>
    <t>Vienna Univ Technol, A-1060 Vienna, Austria</t>
  </si>
  <si>
    <t>Technische Universitat Wien</t>
  </si>
  <si>
    <t>Hanappi, H (corresponding author), Vienna Univ Technol, A-1060 Vienna, Austria.</t>
  </si>
  <si>
    <t>Hanappi@econ.tuwien.ac.at</t>
  </si>
  <si>
    <t>Hanappi, Hardy/AAC-7836-2019</t>
  </si>
  <si>
    <t>Hanappi, Hardy/0000-0001-5394-4919</t>
  </si>
  <si>
    <t>10.1007/s00191-007-0086-0</t>
  </si>
  <si>
    <t>288BB</t>
  </si>
  <si>
    <t>WOS:000254960100012</t>
  </si>
  <si>
    <t>Gossart, C</t>
  </si>
  <si>
    <t>Gossart, Cedric</t>
  </si>
  <si>
    <t>Routines and the environment: Bridging the gaps</t>
  </si>
  <si>
    <t>routines; environmental performance; oil refineries; sustainable development</t>
  </si>
  <si>
    <t>ORGANIZATIONAL ROUTINES; CAPABILITIES; PERFORMANCE; EVOLUTION; FIRMS</t>
  </si>
  <si>
    <t>The paper examines the hypothesis that the mechanisms used by firms to improve their environmental performance are organisational routines. The concept of routines has been developed by evolutionary economists to investigate firms' innovative behaviour, but it has not been used to study how firms address environmental issues. Based on an applicable definition of routines, a methodology is designed to identify environmental routines in a case study of 13 oil refineries located in four different countries. Results confirm the hypothesis for firms operating under strict environmental regulations (France, UK). A comparative analysis of the degrees of routineness of the environmental mechanisms used by case study firms reveals and explains important gaps between European and North African refineries. Solutions to reduce them are proposed. (c) 2007 Elsevier Inc. All rights reserved.</t>
  </si>
  <si>
    <t>[Gossart, Cedric] Univ Sussex, Freeman Ctr, SPRU, Brighton BN1 9QE, E Sussex, England; [Gossart, Cedric] Univ Cankaya, Ankara, Turkey</t>
  </si>
  <si>
    <t>RLUK- Research Libraries UK; University of Sussex; Cankaya University</t>
  </si>
  <si>
    <t>Gossart, C (corresponding author), 55 Chemin Jean Court Le Haut, F-83390 Pierrefeu du Var, France.</t>
  </si>
  <si>
    <t>cedricgossart@gmail.com</t>
  </si>
  <si>
    <t>GOSSART, Cedric/0000-0001-7414-6852</t>
  </si>
  <si>
    <t>10.1016/j.techfore.2007.03.005</t>
  </si>
  <si>
    <t>282WJ</t>
  </si>
  <si>
    <t>WOS:000254597600007</t>
  </si>
  <si>
    <t>Self-efficacy for development as a mediator of the relationship between feedback and idea implementation</t>
  </si>
  <si>
    <t>self-efficacy for development; idea implementation; feedback from supervisors and coworkers</t>
  </si>
  <si>
    <t>ORGANIZATIONAL-CHANGE; EMPLOYEE CREATIVITY; INNOVATIVE BEHAVIOR; MANAGEMENT; WORKPLACE; OPENNESS; ROUTINIZATION; INVOLVEMENT; ENVIRONMENT; PREDICTORS</t>
  </si>
  <si>
    <t>Organizations are undergoing major technological and organizational changes that need to be accomplished with their work-force. The implementation of new ideas is a key factor for organizational success. The purpose of the present study therefore was to investigate how feedback from supervisors and coworkers and self-efficacy for development effect employees' implementation of their ideas. Self-reported questionnaire data were gathered from 463 participants, ranging from 18 to 70 years of age. Results showed that self-efficacy for development partially mediates the positive effects of feedback from supervisors and coworkers on employees' implementation of ideas. Further data analysis showed that those relationships were independent of the employees' age.</t>
  </si>
  <si>
    <t>[Noefer, Katrin; Stegmaier, Ralf; Molter, Beate; Sonntag, Karlheinz] Univ Heidelberg, Inst Psychol, Abt Arbeits &amp; Org Psychol, D-69117 Heidelberg, Germany</t>
  </si>
  <si>
    <t>Noefer, K (corresponding author), Univ Heidelberg, Inst Psychol, Abt Arbeits &amp; Org Psychol, Hauptstr 47-51, D-69117 Heidelberg, Germany.</t>
  </si>
  <si>
    <t>10.1026/0932-4089.52.2.61</t>
  </si>
  <si>
    <t>293MY</t>
  </si>
  <si>
    <t>WOS:000255340600001</t>
  </si>
  <si>
    <t>Fields, G</t>
  </si>
  <si>
    <t>Communications, innovation, and territory: the production network of Swift Meat Packing and the creation of a national US market</t>
  </si>
  <si>
    <t>JOURNAL OF HISTORICAL GEOGRAPHY</t>
  </si>
  <si>
    <t>UNITED-STATES; INDUSTRY; SYSTEMS</t>
  </si>
  <si>
    <t>This study is an historical and theoretical account of how market territory, configured from flows of production and trade, gets reshaped by the innovative behavior of business firms. The research for this study focuses on the production network developed in the late nineteenth century by the American firm of G.F. Swift &amp; Company. The central theme of this case is how businesses reorganize their strategies, routines and structure as transport and communications technology changes, and how the innovations in production networks engineered by firms as part of this reorganization, become territorially embedded and reconfigure the space for economic activity. The production network pioneered by Swift from railroad and telegraph technology, created long-distance production and trade linkages in the economy that widened the boundaries of formerly-localized markets, and established the foundations of a more geographically-extended, nationally-oriented market space. As it widened market boundaries, however, the network of Swift concentrated economic activity in new places. The essay builds a theoretical framework of the route from the 'communications revolution,' to the process of innovation in the firm, to the production network, to territorial transformation. This framework reveals how the railroad and telegraph revolution enabled firms in the US to develop innovations in production networks on the basis of vertically-integrated, geographically-dispersed enterprises organized over a national market space. (C) 2003 Elsevier Ltd. All rights reserved.</t>
  </si>
  <si>
    <t>Univ Calif San Diego, Dept Commun, La Jolla, CA 92093 USA</t>
  </si>
  <si>
    <t>University of California System; University of California San Diego</t>
  </si>
  <si>
    <t>Fields, G (corresponding author), Univ Calif San Diego, Dept Commun, 9500 Gilman Dr, La Jolla, CA 92093 USA.</t>
  </si>
  <si>
    <t>0305-7488</t>
  </si>
  <si>
    <t>J HIST GEOGR</t>
  </si>
  <si>
    <t>J. Hist. Geogr.</t>
  </si>
  <si>
    <t>10.1006/jhge.2002.0415</t>
  </si>
  <si>
    <t>Geography; History Of Social Sciences</t>
  </si>
  <si>
    <t>Geography; Social Sciences - Other Topics</t>
  </si>
  <si>
    <t>755HB</t>
  </si>
  <si>
    <t>WOS:000187396500007</t>
  </si>
  <si>
    <t>de Lissovoy, G</t>
  </si>
  <si>
    <t>Weighing the evidence: Trends in managed care formulary decision making</t>
  </si>
  <si>
    <t>JOURNAL OF CLINICAL PSYCHIATRY</t>
  </si>
  <si>
    <t>Symposium on the Case for Physician Choice: Implications for Restricted Formularies</t>
  </si>
  <si>
    <t>NOV 04-05, 2002</t>
  </si>
  <si>
    <t>WASHINGTON, D.C.</t>
  </si>
  <si>
    <t>FLUOXETINE</t>
  </si>
  <si>
    <t>Health plans, pharmacy benefit managers, and other organizations use drug formularies to promote quality care while controlling costs. However, restrictive formularies are often viewed as constraints on physician practice and potential barriers to optimal patient care. Reluctance to add new drugs to an established formulary is rational economic behavior. Innovative compounds may have unknown properties with uncertain outcomes and therefore may impose costs in the form of risk. Products that seemingly duplicate drugs already on formulary may increase transaction costs without additional benefit. In evaluating new products, formulary managers face the task of identifying, assembling, and synthesizing a wide range of complex information. Manufacturers, who may be in the best position to supply that information, have been severely restricted by U.S. Food and Drug Administration (FDA) regulations that limited marketing communications to findings from well-controlled clinical trials. The FDA Modernization Act of 1997 eased these restrictions somewhat by acknowledging that sophisticated purchasers such as organized health plans were capable of weighing the quality and impartiality of manufacturer-supplied evidence. The Academy of Managed Care Pharmacy (AMCP) created a standardized template that formularies can use to request comprehensive information about specific drugs from manufacturers. Widespread adoption of the AMCP format by health plans and manufacturers will greatly increase access to information about new drugs, speeding the process of formulary committee deliberation, and instilling greater confidence in the outcome of those decisions. Wider access to new drugs may result.</t>
  </si>
  <si>
    <t>MEDTAP Int Inc, Bethesda, MD 20814 USA; Johns Hopkins Bloomberg Sch Publ Hlth, Baltimore, MD USA</t>
  </si>
  <si>
    <t>Johns Hopkins University; Johns Hopkins Bloomberg School of Public Health</t>
  </si>
  <si>
    <t>de Lissovoy, G (corresponding author), MEDTAP Int Inc, 7101 Wisconsin Ave, Bethesda, MD 20814 USA.</t>
  </si>
  <si>
    <t>PHYSICIANS POSTGRADUATE PRESS</t>
  </si>
  <si>
    <t>MEMPHIS</t>
  </si>
  <si>
    <t>P O BOX 240008, MEMPHIS, TN 38124 USA</t>
  </si>
  <si>
    <t>0160-6689</t>
  </si>
  <si>
    <t>J CLIN PSYCHIAT</t>
  </si>
  <si>
    <t>J. Clin. Psychiatry</t>
  </si>
  <si>
    <t>Psychology, Clinical; Psychiatry</t>
  </si>
  <si>
    <t>Conference Proceedings Citation Index - Science (CPCI-S); Conference Proceedings Citation Index - Social Science &amp;amp; Humanities (CPCI-SSH); Science Citation Index Expanded (SCI-EXPANDED); Social Science Citation Index (SSCI)</t>
  </si>
  <si>
    <t>758LC</t>
  </si>
  <si>
    <t>WOS:000187635000007</t>
  </si>
  <si>
    <t>Ortiz, J</t>
  </si>
  <si>
    <t>An analysis of agricultural price and research policies in Chile</t>
  </si>
  <si>
    <t>The interactions between agricultural price and research policies are formally addressed in this article in order to avoid biased estimates of the benefits to Chile front indigenous and international agricultural research and development. Government pricing policies influenced the innovative behavior of the main Chilean public research institution and reduced the benefits from cost-reducing research benefits relative to those obtained under free trade conditions. Despite the existence of market distortions caused by commodity price policies, Chilean welfare gains from public agricultural research were positive. However, these net economic surplus changes would have been higher if output price interventions would have been aimed at reducing distortions and putting producer prices more in line with international prices. (C) 1997 Elsevier Science Ltd.</t>
  </si>
  <si>
    <t>Ortiz, J (corresponding author), ORG PREINVERS AMER LATINA &amp; CARIBE,CASILLA 17-030-4646,QUITO,ECUADOR.</t>
  </si>
  <si>
    <t>10.1016/S0308-521X(97)00051-6</t>
  </si>
  <si>
    <t>YG775</t>
  </si>
  <si>
    <t>WOS:A1998YG77500002</t>
  </si>
  <si>
    <t>Fan, JP; He, J; Dai, HC; Jing, YJ; Shang, GH</t>
  </si>
  <si>
    <t>Fan, Jianpeng; He, Jie; Dai, Huichuan; Jing, Yijia; Shang, Guanghui</t>
  </si>
  <si>
    <t>The impact of perceived overqualification on employees' innovation behaviour: role of psychological contract breach, psychological distance and employment relationship atmosphere</t>
  </si>
  <si>
    <t>Perceived overqualification; Psychological contract breach; Psychological distance; Employment relationship atmosphere; Employees' innovation behaviour</t>
  </si>
  <si>
    <t>LEADER-MEMBER EXCHANGE; MODERATING ROLE; SOCIAL-EXCHANGE; ORGANIZATIONAL COMMITMENT; JOB-SATISFACTION; BIG FISH; OUTCOMES; RESOURCES; CLIMATE; CONSEQUENCES</t>
  </si>
  <si>
    <t>Purpose - Overqualification is a growing concern for employers in many countries. The practice of mismatching employees and positions inevitably leads to an increase in organizational training and management costs. This study can not only further enrich the theoretical achievements in the field of human resource management, but can also provide a reference for enterprise managers on how to effectively stimulate employees' innovative behaviour. Design/methodology/approach - 503 questionnaire responses were analysed using SPSS 24.0 and Mplus 8.0.FindingsIt was concluded that, (1) perceived overqualification is negatively related to employees' innovation behaviour (beta = -0.32, p &lt; 0.001); (2) psychological contract breach and psychological distance partially mediate the relationship between perceived overqualification and employees' innovation behaviour. Among them, the mediating effect of psychological contract breach was -0.14 (p &lt; 0.01), and that of psychological distance was -0.12 (p &lt; 0.001); the chain-mediating effect of psychological contract breach and psychological distance was -0.09 (p &lt; 0.01); (3) employment relationship atmosphere played a moderating role in the relationship between perceived overqualification and employees' innovation behaviour (beta = 0.04, p &lt; 0.01). Originality/value - This study verifies the negative impact of perceived overqualification on employee innovation behaviour and reveals the mediating role of psychological factors between the two. It also discusses the moderating effect of employment relationship climate on the relationship between perceived overqualification and employees' innovation behaviour.</t>
  </si>
  <si>
    <t>[Fan, Jianpeng; He, Jie] Pingdingshan Univ, Pingdingshan, Peoples R China; [Dai, Huichuan] Guangdong Univ Sci &amp; Technol, Dongguan, Peoples R China; [Jing, Yijia; Shang, Guanghui] Henan Univ Anim Husb &amp; Econ, Zhengzhou, Peoples R China</t>
  </si>
  <si>
    <t>Pingdingshan University; Guangdong University of Science &amp; Technology; Henan University of Animal Husbandry &amp; Economy</t>
  </si>
  <si>
    <t>Fan, JP (corresponding author), Pingdingshan Univ, Pingdingshan, Peoples R China.</t>
  </si>
  <si>
    <t>2495@pdsu.edu.cn; 2422@pdsu.edu.cn; 86927520@qq.com; 201043@hnuahe.edu.cn; 80932@hnuahe.edu.cn</t>
  </si>
  <si>
    <t>Fan, Jianpeng/0000-0001-6158-8651</t>
  </si>
  <si>
    <t>Doctoral Research Foundation of Pingdingshan University [PXY-BSQD-2022041]</t>
  </si>
  <si>
    <t>Doctoral Research Foundation of Pingdingshan University</t>
  </si>
  <si>
    <t>This research was supported by the Doctoral Research Foundation of Pingdingshan University (PXY-BSQD-2022041). The grant is about $1,000 for manuscript data collection and language polishing.</t>
  </si>
  <si>
    <t>10.1108/LODJ-04-2022-0200</t>
  </si>
  <si>
    <t>APR 2023</t>
  </si>
  <si>
    <t>E0QG6</t>
  </si>
  <si>
    <t>WOS:000972679200001</t>
  </si>
  <si>
    <t>Yousaf, Z; Palazzo, M</t>
  </si>
  <si>
    <t>Yousaf, Zahid; Palazzo, Maria</t>
  </si>
  <si>
    <t>Influential role of homophily on innovative work behavior: evidence from innovation management of SMEs</t>
  </si>
  <si>
    <t>Homophily; Innovative work behavior (IWB); Job excitement; Employee functional flexibility (EFF); Innovation Management; Small and medium enterprises (SMEs)</t>
  </si>
  <si>
    <t>FUNCTIONAL FLEXIBILITY; MODERATING ROLE; MEDIATING ROLE; PERFORMANCE; WORKPLACE</t>
  </si>
  <si>
    <t>In the rapidly changing market environment, innovative work behavior plays an important role in improving small and medium enterprises' (SMEs) efficiency and competitiveness. SME success depends on its employees' ability to innovate. Until now, innovation studies have not examined the role of homophily in improving innovative work behavior. For this reason, the study aims to examine how homophily enhances innovative work behavior through the mediating role of job excitement and the moderating role of employee flexibility. For the current study, data were collected from 423 SME respondents using a cross-sectional method. Findings show that homophily positively influences work behavior of SMEs' members. Furthermore, results show that job excitement mediating role and employee functional flexibility moderating role affect the relation between homophily and innovative behavior. The current study contributes to existing knowledge by investigating how homophily affects employees' innovative work behavior. In addition, a moderating role for employee functional flexibility and a mediating role of job excitement were also tested in this study to determine how homophily can influence innovative work behavior.</t>
  </si>
  <si>
    <t>[Yousaf, Zahid] Govt Coll Management Sci, Higher Educ Dept, Mansehra, KP, Pakistan; [Palazzo, Maria] Univ Mercatorum, Rome, Italy</t>
  </si>
  <si>
    <t>Universita Telematica Mercatorum</t>
  </si>
  <si>
    <t>Palazzo, M (corresponding author), Univ Mercatorum, Rome, Italy.</t>
  </si>
  <si>
    <t>muhammadzahid.yusuf@gmail.com; maria.palazzo@unimercatorum.it</t>
  </si>
  <si>
    <t>10.1007/s11365-023-00865-2</t>
  </si>
  <si>
    <t>D8SR5</t>
  </si>
  <si>
    <t>WOS:000971377500002</t>
  </si>
  <si>
    <t>Al Shammre, AS; Alshebami, AS; Seraj, AHA; Elshaer, IA; Al Marri, SH</t>
  </si>
  <si>
    <t>Al Shammre, Abdullah Sultan; Alshebami, Ali Saleh; Seraj, Abdullah Hamoud Ali; Elshaer, Ibrahim A.; Al Marri, Salem Handhal</t>
  </si>
  <si>
    <t>Unleashing environmental performance: The impact of green entrepreneurial motivation on small enterprises</t>
  </si>
  <si>
    <t>FRONTIERS IN ENVIRONMENTAL SCIENCE</t>
  </si>
  <si>
    <t>innovation; small enterprises; environment; Saudi Arabia; motivation</t>
  </si>
  <si>
    <t>EMPLOYEE CREATIVITY; INNOVATION EVIDENCE; SUPPLY CHAIN; MANAGEMENT; EMPOWERMENT; LEADERSHIP; PRESSURE; SYSTEMS</t>
  </si>
  <si>
    <t>Background: Environmental degradation has been annoying, pressuring enterprises to look for innovative ways to improve their operations, methods and products.Aim: This research identifies the key factors contributing to developing innovative behaviour among small enterprises in Saudi Arabia and their effect on environmental performance (EP).Method: The study collected a sample of 284 from different types of small enterprises operating in Saudi Arabia. The data collected were analysed using the partial least square structural equation modelling (PLS-SEM).Results: The study revealed interesting results. It was found that green entrepreneurial motivation (GEM) can positively and significantly influence green innovation (GI) as well as environmental performance. It was also found that green innovation can positively and significantly affect environmental performance. Finally, green innovation could mediate the relationship between green entrepreneurial motivation and environmental performance. Also, Knowledge sharing (KS) could moderate the relationship between green entrepreneurial motivation and green innovation.Conclusion: The study concluded by providing several recommendations for the policymakers in Saudi Arabia.</t>
  </si>
  <si>
    <t>[Al Shammre, Abdullah Sultan] King Faisal Univ, Coll Business Adm, Econ Dept, Al Hasa, Saudi Arabia; [Alshebami, Ali Saleh; Al Marri, Salem Handhal] King Faisal Univ, Appl Coll, Al Hasa, Saudi Arabia; [Seraj, Abdullah Hamoud Ali; Elshaer, Ibrahim A.] King Faisal Univ, Coll Business Adm, Management Dept, Al Hasa, Saudi Arabia; [Elshaer, Ibrahim A.] Suez Canal Univ, Fac Tourism &amp; Hotel Management, Hotel Studies Dept, Ismailia, Egypt; [Al Marri, Salem Handhal] Univ Glasgow, Adam Smith Business Sch, Glasgow, Scotland</t>
  </si>
  <si>
    <t>King Faisal University; King Faisal University; King Faisal University; Egyptian Knowledge Bank (EKB); Suez Canal University; RLUK- Research Libraries UK; University of Glasgow</t>
  </si>
  <si>
    <t>Al Shammre, AS (corresponding author), King Faisal Univ, Coll Business Adm, Econ Dept, Al Hasa, Saudi Arabia.;Alshebami, AS (corresponding author), King Faisal Univ, Appl Coll, Al Hasa, Saudi Arabia.</t>
  </si>
  <si>
    <t>aalshebami@kfu.edu.sa; Ashammre@kfu.edu.sa</t>
  </si>
  <si>
    <t>Deanship of Scientific Research, Vice Presidency for Graduate Studies and Scientific Research, King Faisal University, Saudi Arabia [3195]</t>
  </si>
  <si>
    <t>Deanship of Scientific Research, Vice Presidency for Graduate Studies and Scientific Research, King Faisal University, Saudi Arabia</t>
  </si>
  <si>
    <t>Funding This work was supported by the Deanship of Scientific Research, Vice Presidency for Graduate Studies and Scientific Research, King Faisal University, Saudi Arabia (Grant No. 3195).</t>
  </si>
  <si>
    <t>2296-665X</t>
  </si>
  <si>
    <t>FRONT ENV SCI-SWITZ</t>
  </si>
  <si>
    <t>Front. Environ. Sci.</t>
  </si>
  <si>
    <t>APR 11</t>
  </si>
  <si>
    <t>10.3389/fenvs.2023.1176804</t>
  </si>
  <si>
    <t>E5SF5</t>
  </si>
  <si>
    <t>WOS:000976132000001</t>
  </si>
  <si>
    <t>Kundi, YM; Aboramadan, M; Abualigah, A</t>
  </si>
  <si>
    <t>Kundi, Yasir Mansoor; Aboramadan, Mohammed; Abualigah, Ahmad</t>
  </si>
  <si>
    <t>Linking paradoxical leadership and individual in-role and extra-role performance: a multilevel examination</t>
  </si>
  <si>
    <t>Paradoxical leadership; Job performance; Work engagement; Voice behaviour; Innovative work behaviour</t>
  </si>
  <si>
    <t>WORK ENGAGEMENT; INNOVATIVE BEHAVIOR; JOB-PERFORMANCE; EMPLOYEE VOICE; TRANSFORMATIONAL LEADERSHIP; ETHICAL LEADERSHIP; MEDIATING ROLE; SELF-EFFICACY; ANTECEDENTS; CREATIVITY</t>
  </si>
  <si>
    <t>PurposeLeaders in the hospitality industry encounter daily conflicting demands and paradoxes which call for adjusting their leadership philosophy from either/or to both/and leadership style. Therefore, drawing upon paradox, self-determination, social learning and job demands-resources perspectives, the purpose of this article is to examine the relationships between paradoxical leadership and employee in-role and extra-role performance outcomes. It also aims to explore the mediating effect of work engagement on the aforesaid linkages.Design/methodology/approachMultilevel analyses in Mplus 8.0 software were conducted on three-wave data from 238 employees working in 19 Pakistani hotels.FindingsThe authors found that paradoxical leadership influences employee in-role (job performance) and extra-role (innovative work behavior and voice behavior) performance directly and indirectly through employee work engagement.Originality/valueThis study addresses recent calls by highlighting the role of paradoxical leadership, an important yet underexplored leadership style in the hospitality literature. In addition, this is the first study examining the multilevel effect of paradoxical leadership on employees' in-role and extra-role performance via work engagement.</t>
  </si>
  <si>
    <t>[Kundi, Yasir Mansoor] Inst Business Adm IBA Karachi, Sch Business Studies, Dept Management, Karachi, Pakistan; [Aboramadan, Mohammed] Doha Inst Grad Studies, Sch Econ Adm &amp; Publ Policy, Doha, Qatar; [Abualigah, Ahmad] Abu Dhabi Univ, Coll Business, Abu Dhabi, U Arab Emirates</t>
  </si>
  <si>
    <t>Institute of Business Administration, Karachi; Doha Institute for Graduate Studies; Abu Dhabi University</t>
  </si>
  <si>
    <t>Kundi, YM (corresponding author), Inst Business Adm IBA Karachi, Sch Business Studies, Dept Management, Karachi, Pakistan.</t>
  </si>
  <si>
    <t>ymkundi@iba.edu.pk; mohammed.aboramadan@dohainstitute.edu.qa; Ahmad.diabatt@gmail.com</t>
  </si>
  <si>
    <t>Abualigah, Ahmad/0000-0003-3265-2225; KUNDI, YASIR MANSOOR/0000-0001-8962-2751</t>
  </si>
  <si>
    <t>10.1108/MD-10-2022-1353</t>
  </si>
  <si>
    <t>C3NZ9</t>
  </si>
  <si>
    <t>WOS:000961036700001</t>
  </si>
  <si>
    <t>Meng, JQ; Liu, ZY</t>
  </si>
  <si>
    <t>Meng, Junqi; Liu, Zhiyong</t>
  </si>
  <si>
    <t>Examining the effect of challenging and threatening work stress on employees' innovative behavior</t>
  </si>
  <si>
    <t>challenging stress; threatening stress; psychological distance; employment relationship; employee innovation; behavior</t>
  </si>
  <si>
    <t>The purpose of this study was to explore the influence mechanism of challenging and threatening work stress on employees' innovative behavior, and to examine the mediating role of psychological distance and the moderating role of employment relationships. A web-based survey of 498 employees was conducted. The main findings were as follows: (a) Challenging stress had a significant and positive impact on innovative employee behavior, whereas threatening stress negatively affected innovative employee behavior, (b) psychological distance mediated the relationship between both challenging and threatening stress and employees' innovative behavior, and (c) the employment relationship positively moderated the relationship between challenging stress and employees' innovative behavior and negatively moderated the relationship between threatening stress and employees' innovative behavior. Implications are pointed out and suggestions provided for management personnel who are searching for ways to encourage employees' innovative behavior in firms where there is work stress.</t>
  </si>
  <si>
    <t>[Meng, Junqi; Liu, Zhiyong] Shenzhen Polytech, Sch Management, Shenzhen 518000, Peoples R China</t>
  </si>
  <si>
    <t>ShenZhen Polytechnic</t>
  </si>
  <si>
    <t>Meng, JQ; Liu, ZY (corresponding author), Shenzhen Polytech, Sch Management, Shenzhen 518000, Peoples R China.</t>
  </si>
  <si>
    <t>mengjy20220166@163.com; liuzhiyong202301@163.com</t>
  </si>
  <si>
    <t>high-level cultivation project in the business administration discipline of Shenzhen Polytechnic</t>
  </si>
  <si>
    <t>This work was supported by a high-level cultivation project in the business administration discipline of Shenzhen Polytechnic.</t>
  </si>
  <si>
    <t>ee12144</t>
  </si>
  <si>
    <t>10.2224/sbp.12144</t>
  </si>
  <si>
    <t>D7IP9</t>
  </si>
  <si>
    <t>WOS:000970429600005</t>
  </si>
  <si>
    <t>Sujatha, M; Mukherjee, U; Singh, N; Bamel, U</t>
  </si>
  <si>
    <t>Sujatha, Madihalli; Mukherjee, Ujjal; Singh, Nishant; Bamel, Umesh</t>
  </si>
  <si>
    <t>Improving creativity among SME employees: exploring the role of organization-based self-esteem and psychological capital</t>
  </si>
  <si>
    <t>Creativity; Small to medium-sized enterprises (SMEs); Human resource management; Psychological capital; Organization-based self-esteem; Creative behaviour</t>
  </si>
  <si>
    <t>INNOVATIVE BEHAVIOR; MEDIATING ROLE; ETHICAL LEADERSHIP; IMPACT; PERFORMANCE; WORKPLACE; WORK; MANAGEMENT; CONTEXT; DETERMINANTS</t>
  </si>
  <si>
    <t>PurposeUnlike multinational companies, small and mid-size enterprises (SMEs) have budget constraints and, thereby, cannot invest heavily in improving the creativity of employees. They look for alternative budget-friendly ways to do the same. The authors of the current paper attempt to identify two psychological-based constructs which positively influence creativity among employees. Both these psychological constructs may be improved among the employees using suitable interventions from the human resource (HR) professionals and line managers working in the organization. This study is an attempt to test the influence of organization-based self-esteem (OBSE) and psychological capital (PC) (both malleable) on creative performance behaviour (CPB) among SME employees.Design/methodology/approachValidated instruments were used to collect data. Structural equation model (SEM) was used to evaluate the 377 responses collected from the employees working in three SME's in India. All three SMEs work in the area of innovative process design and require a high level of creativity among employees.FindingsPC fully mediates the relationship between OBSE and the CPBs of employees. Employees experiencing higher levels of OBSE will develop higher self-esteem, and these employees will exhibit more creative behaviours, increasing the likelihood of achieving creative results.Research limitations/implicationsThis study provides valuable inputs to the creativity literature as it describes the process of how self-esteem influences the creativity of an employee. HR professionals working in SMEs can work on enhancing the OBSE and PC (both malleable) of employees to improve creativity among employees.Originality/valueTo the best of the researcher's knowledge, this is the first attempt to identify frugal ways to improve creativity, especially in SMEs.</t>
  </si>
  <si>
    <t>[Sujatha, Madihalli; Mukherjee, Ujjal] Jain Univ, Fac Management Studies, CMS B Sch, OB &amp; HRM Area, Bangalore, India; [Singh, Nishant] Bennett Univ, Sch Management, Greater Noida, India; [Bamel, Umesh] Int Management Inst New Delhi, Dept Org Behav &amp; Human Resources, New Delhi, India</t>
  </si>
  <si>
    <t>Jain University; International Management Institute (IMI) New Delhi</t>
  </si>
  <si>
    <t>Sujatha, M (corresponding author), Jain Univ, Fac Management Studies, CMS B Sch, OB &amp; HRM Area, Bangalore, India.</t>
  </si>
  <si>
    <t>sujatharam321@gmail.com; f15ujjalm@iima.ac.in; nishant.tomar20@gmail.com; umeshbamel@gmail.com</t>
  </si>
  <si>
    <t>MUKHERJEE, UJJAL/HDM-0402-2022</t>
  </si>
  <si>
    <t>MUKHERJEE, UJJAL/0000-0002-5205-4604</t>
  </si>
  <si>
    <t>10.1108/ER-04-2022-0188</t>
  </si>
  <si>
    <t>MAR 2023</t>
  </si>
  <si>
    <t>D1UG8</t>
  </si>
  <si>
    <t>WOS:000966634800001</t>
  </si>
  <si>
    <t>Zhu, D; Lin, MT; Thawornlamlert, PK; Subedi, S; Kim, PB</t>
  </si>
  <si>
    <t>Zhu, Dan; Lin, Mao-Tang; Thawornlamlert, Pattamol Kanjanakan; Subedi, Sam (Bichitra); Kim, Peter B.</t>
  </si>
  <si>
    <t>The antecedents of employees? innovative behavior in hospitality and tourism contexts: A meta-regression approach</t>
  </si>
  <si>
    <t>Employee innovative behavior; Antecedents; National culture; Age; Gender; Meta -regression</t>
  </si>
  <si>
    <t>CREATIVE SELF-EFFICACY; MEMBER EXCHANGE LMX; MEDIATING ROLE; TRANSFORMATIONAL LEADERSHIP; PROACTIVE PERSONALITY; SERVICE INNOVATION; JOB DEMANDS; WORK; METAANALYSIS; PERCEPTIONS</t>
  </si>
  <si>
    <t>While many empirical studies have examined the various factors that influence employee innovative behavior (EIB), there have been few efforts to synthesize previous research to understand how EIB is linked to its ante-cedents. Based on 125 empirical studies (N = 44,427) in the context of hospitality and tourism, this study used meta-regression to investigate the 30 major antecedents of EIB, as well as the moderating roles played by 'na-tional culture' (individualism vs. collectivism), 'age' and 'gender', on the links between the antecedents and EIB. The results showed that 'perceived meaningfulness at work' and 'work engagement' were found to have stronger relations with EIB than others, and that 'national culture', 'age', and 'gender', moderated the relations between EIB and several of the antecedents. The theoretical and practical implications of the findings are discussed for researchers and practitioners alike.</t>
  </si>
  <si>
    <t>[Zhu, Dan; Lin, Mao-Tang; Subedi, Sam (Bichitra); Kim, Peter B.] Auckland Univ Technol, Sch Hospitality &amp; Tourism, Auckland, New Zealand; [Thawornlamlert, Pattamol Kanjanakan] Khon Kaen Univ Int Coll, Tourism Management Div, Khon Kaen, Thailand</t>
  </si>
  <si>
    <t>Auckland University of Technology</t>
  </si>
  <si>
    <t>Kim, PB (corresponding author), Auckland Univ Technol, Sch Hospitality &amp; Tourism, Auckland, New Zealand.</t>
  </si>
  <si>
    <t>pkim@aut.ac.nz</t>
  </si>
  <si>
    <t>; Zhu, Dan/ACC-3822-2022</t>
  </si>
  <si>
    <t>Kim, Peter B./0000-0003-1063-5264; Zhu, Dan/0000-0002-2827-464X</t>
  </si>
  <si>
    <t>10.1016/j.ijhm.2023.103474</t>
  </si>
  <si>
    <t>D2JS7</t>
  </si>
  <si>
    <t>WOS:000967042800001</t>
  </si>
  <si>
    <t>Hou, XM; Xie, HJ; Xu, SL; Tong, ZF; Liu, ZQ</t>
  </si>
  <si>
    <t>Hou, Xinmeng; Xie, Hongji; Xu, Shulin; Tong, Zefeng; Liu, Zeqi</t>
  </si>
  <si>
    <t>Whether the reform of the accounting system affects the corporate innovative behavior: evidence from a quasi-natural experiment</t>
  </si>
  <si>
    <t>New accounting system; Corporate innovation; Accounting system reform; Corporate risk-taking; Accounting standards; Quasi-natural experiment; G32; M41; M48; O31</t>
  </si>
  <si>
    <t>MANDATORY IFRS ADOPTION; PROPERTY-RIGHTS PROTECTION; EARNINGS MANAGEMENT; RISK-TAKING; STANDARDS; OWNERSHIP; PERFORMANCE; TECHNOLOGY; INCENTIVES; INVESTMENT</t>
  </si>
  <si>
    <t>PurposeThe purpose of this study is to investigate the impact of the accounting system reform on corporate innovation behavior and the heterogeneity and underlying mechanisms of this impact. This paper further aims to study the impact of accounting system reform on corporate value.Design/methodology/approachThis study takes China's A-share listed corporates as a sample and uses the exogenous policy shock of the implementation of the New Accounting Standards in 2007 to design the identification strategy of propensity score matching and difference-in-differences method. By comparing the differences between the innovation level of corporates in high-tech industries and non-high-tech industries before and after the implementation of the New Accounting Standards, the impact of the accounting system reform on corporates' innovative behavior can be identified.FindingsResults show that compared with corporates in traditional industries, high-tech corporates obtained higher patent output after the implementation of the New Accounting Standards. This reform mainly affects corporate innovation by improving corporate risk-taking. In addition, this paper finds that the reform of the accounting system has increased the market value of high-tech corporates in the long run.Originality/valueThis study provides new empirical evidence for addressing the insufficient innovation incentives for market entities and enriches the existing literature on the economic effects of the change of accounting systems and the influencing factors of corporate innovative behavior from the accounting system perspective.</t>
  </si>
  <si>
    <t>[Hou, Xinmeng; Xie, Hongji; Xu, Shulin] Jinan Univ, Sch Econ, Guangzhou, Peoples R China; [Tong, Zefeng] Zhongnan Univ Econ &amp; Law, Sch Publ Finance &amp; Taxat, Wuhan, Peoples R China; [Liu, Zeqi] Zhongnan Univ Econ &amp; Law, Sch Finance, Wuhan, Peoples R China</t>
  </si>
  <si>
    <t>Jinan University; Zhongnan University of Economics &amp; Law; Zhongnan University of Economics &amp; Law</t>
  </si>
  <si>
    <t>Tong, ZF (corresponding author), Zhongnan Univ Econ &amp; Law, Sch Publ Finance &amp; Taxat, Wuhan, Peoples R China.</t>
  </si>
  <si>
    <t>houxinmeng@139.com; xiehongji@outlook.com; linsxjn@163.com; tongzefeng@foxmail.com; liuzeqi19940613@foxmail.com</t>
  </si>
  <si>
    <t>Major Project of the National Social Science Foundation of China [21ZDA045]; Humanities and Social Sciences Planning Project of the Ministry of Education of China [18YJA790049]</t>
  </si>
  <si>
    <t>Major Project of the National Social Science Foundation of China; Humanities and Social Sciences Planning Project of the Ministry of Education of China</t>
  </si>
  <si>
    <t>For helpful many constructive comments and suggestions, the authors thank the editors and anonymous reviewers who have helped to improve the quality and value of this paper. The authors gratefully acknowledge financial support from the Major Project of the National Social Science Foundation of China (Grant No. 21ZDA045) and the Humanities and Social Sciences Planning Project of the Ministry of Education of China (Grant No. 18YJA790049). Zefeng Tong is the corresponding author of this paper.</t>
  </si>
  <si>
    <t>10.1108/K-09-2022-1321</t>
  </si>
  <si>
    <t>0A0YK</t>
  </si>
  <si>
    <t>WOS:000951555800001</t>
  </si>
  <si>
    <t>Yaghi, AZA; Tomaszewski, T</t>
  </si>
  <si>
    <t>Yaghi, Adriana Zablocka-Abi; Tomaszewski, Tomasz</t>
  </si>
  <si>
    <t>Measuring the Impact of R&amp;D&amp;I Subsidies on Innovative Inputs and Outputs in Polish Manufacturing Firms</t>
  </si>
  <si>
    <t>R&amp;D&amp;I subsidies; Innovative input; Innovative output; Firm-level analysis</t>
  </si>
  <si>
    <t>PUBLIC SUBSIDIES; PROPENSITY SCORE; SUPPORT; GOVERNMENT; DETERMINANTS; EXPENDITURES; PERFORMANCE; COMPLEMENT; PROGRAMS; MODELS</t>
  </si>
  <si>
    <t>This research investigates the impact of R&amp;D and innovation (R&amp;D&amp;I) subsidies on the innovative inputs and outputs of Polish manufacturing companies. We combine unique survey data that incorporates a representative sample of Polish manufacturing companies with data on the state aid from the State Aid Data Sharing System (SUDOP). Our results confirm the positive role of R&amp;D&amp;I subsidies on the likelihood of applying for a patent, filing for intellectual property protection for utility models, industrial designs, trademark registrations, and the introduction of process innovations, consistent with the existing literature. However, the results also indicate an insignificant impact of the intervention on firms' R&amp;D expenditures and product innovations. The extension of the analysis with the moderating effects of internal factors that affect the firms' innovative behavior indicates that the R&amp;D&amp;I subsidies for exporters lead to the crowding-out effect and for non-exporters generate additional R&amp;D expenditures and increase the propensity for R&amp;D cooperation. Furthermore, R&amp;D&amp;I support for enterprises with foreign ownership reduces their propensity for patent applications and product innovations. In contrast, for beneficiaries with a predominance of domestic capital, it positively impacts many output variables.</t>
  </si>
  <si>
    <t>[Yaghi, Adriana Zablocka-Abi] Univ Gdansk, Dept Transport Policy &amp; Econ Integrat, Sopot, Poland; [Tomaszewski, Tomasz] Univ Gdansk, Dept Int Econ &amp; Econ Dev, Armii Krajowej 119-121, PL-81824 Sopot, Poland</t>
  </si>
  <si>
    <t>Fahrenheit Universities; University of Gdansk; Fahrenheit Universities; University of Gdansk</t>
  </si>
  <si>
    <t>Tomaszewski, T (corresponding author), Univ Gdansk, Dept Int Econ &amp; Econ Dev, Armii Krajowej 119-121, PL-81824 Sopot, Poland.</t>
  </si>
  <si>
    <t>tomasz.tomaszewski@ug.edu.pl</t>
  </si>
  <si>
    <t>Tomaszewski, Tomasz/0000-0002-9952-5346</t>
  </si>
  <si>
    <t>10.1007/s13132-023-01194-z</t>
  </si>
  <si>
    <t>A5YF7</t>
  </si>
  <si>
    <t>WOS:000955869600002</t>
  </si>
  <si>
    <t>Xu, HJ; Tang, CY; Guo, L</t>
  </si>
  <si>
    <t>Xu, Hangjun; Tang, Chuanyi; Guo, Lin</t>
  </si>
  <si>
    <t>Exploring service employees' involvement in value co-creation: dimensions, antecedents and consequences</t>
  </si>
  <si>
    <t>Cross-functional cooperation; Customer orientation; Employee involvement in customer value co-creation; Job satisfaction; Job stress; Service employees</t>
  </si>
  <si>
    <t>CROSS-FUNCTIONAL COOPETITION; COMMON METHOD VARIANCE; CUSTOMER PARTICIPATION; INNOVATIVE BEHAVIOR; SCALE DEVELOPMENT; JOB-PERFORMANCE; FIT INDEXES; ORIENTATION; RESOURCES; DEMANDS</t>
  </si>
  <si>
    <t>PurposeAlthough customer co-creation has received a significant amount of attention in both practice and academics, most of the previous studies have been conducted from the customer perspective while how service employees are involved in the customer value co-creation process has been rarely examined. To fill in this gap, the purpose of this paper is to develop a scale of employee involvement in customer value co-creation, and test a theoretical model that investigates the antecedents and consequences of employee involvement in customer value co-creation. Design/methodology/approachBased on a comprehensive literature review and 12 in-depth interviews with service employees, a scale of employee involvement in customer value co-creation was developed in Study 1. The items were purified, and the construct validity and reliability were evaluated via a survey (n = 178). In Study 2, the newly developed scale was cross-validated in a new service context and a conceptual model was tested by estimating a structural equation model with survey data collected from service employees (n = 225). FindingsThe newly developed scale of employee involvement in customer value co-creation has demonstrated sufficient construct validity and reliability across different service contexts. Moreover, the results show that both customer orientation and perceived organizational support are positively associated with employee involvement in customer value co-creation, which, in turn, influences employees' job satisfaction and job stress. In addition, firm cross-functional cooperation strengthens the relationships between perceived organizational support and employee involvement in customer value co-creation. Research limitations/implicationsFuture research from other service contexts and countries is needed to confirm the generalizability of the new scale and the findings. Practical implicationsThe findings of the study will provide implications to service managers regarding where to focus their organizational resources and how to facilitate employee involvement in customer value co-creation. Originality/valueThis study takes an initial step to develop a scale of employee involvement in customer value co-creation and test the antecedents and consequences of employee involvement in customer value co-creation.</t>
  </si>
  <si>
    <t>[Xu, Hangjun] Union Univ, Dept Mkt, Jackson, TN 38305 USA; [Tang, Chuanyi; Guo, Lin] Old Domin Univ, Dept Mkt, Norfolk, VA USA</t>
  </si>
  <si>
    <t>Union University; Old Dominion University</t>
  </si>
  <si>
    <t>Xu, HJ (corresponding author), Union Univ, Dept Mkt, Jackson, TN 38305 USA.</t>
  </si>
  <si>
    <t>jxu@uu.edu; ctang@odu.edu; lguo@odu.edu</t>
  </si>
  <si>
    <t>10.1108/JSM-08-2022-0277</t>
  </si>
  <si>
    <t>F2FD1</t>
  </si>
  <si>
    <t>WOS:000953312100001</t>
  </si>
  <si>
    <t>Pasricha, P; Nivedhitha, KS; Raghuvanshi, J</t>
  </si>
  <si>
    <t>Pasricha, Palvi; Nivedhitha, K. S.; Raghuvanshi, Juhi</t>
  </si>
  <si>
    <t>The perceived CSR-innovative behavior conundrum: Towards unlocking the socio-emotional black box</t>
  </si>
  <si>
    <t>Perceived CSR; Innovative behavior; Organizational pride; Affective commitment; Empathy</t>
  </si>
  <si>
    <t>CORPORATE SOCIAL-RESPONSIBILITY; AFFECTIVE COMMITMENT; ORGANIZATIONAL COMMITMENT; MEDIATING ROLE; TRANSFORMATIONAL LEADERSHIP; CUSTOMER SATISFACTION; NORMATIVE COMMITMENT; AUTHENTIC LEADERSHIP; MARKET ORIENTATION; BRAND-EQUITY</t>
  </si>
  <si>
    <t>Though perceived Corporate Social Responsibility (CSR) has been linked to various employee outcomes in prior studies, its impact on the innovative behavior of employees, and more specifically the socio-emotional underpinnings of this impact have remained inadequately explored. In view of this, drawing on the Affective Events Theory (AET), the current study investigates into the role of organizational pride and affective commitment as potential mediators and empathy as a potential moderator influencing the relationship between perceived CSR and employee innovative behavior. Results of structural equation modeling, bootstrapping and PROCESS applied on three-wave, time-lagged multi-source (self and peer-reported) data (N = 270) from employees belonging to renewable energy organizations in India, reveal that: perceived CSR is positively related to employee innovative behavior; organizational pride and affective commitment, each partially mediate the relationship between perceived CSR and innovative behavior; interestingly, taken together, organizational pride and affective commitment sequentially mediate the relationship between perceived CSR and employee innovative behavior, and that's a full mediation; beyond these mediations is the pronounced impact of empathy, which is found to moderate the indirect effect of perceived CSR on employee innovative behavior, such that the impact of perceived CSR on innovative behavior through organizational pride and affective commitment is stronger when employees hold high levels of empathy. Accordingly, the study puts forth crucial implications for theory and specifically practitioners facing the current tough times. It lastly suggests directions for future research.</t>
  </si>
  <si>
    <t>[Pasricha, Palvi; Nivedhitha, K. S.] Indian Inst Management Kozhikode, Org Behav &amp; Human Resources Area, Kozhikode 673570, Kerala, India; [Raghuvanshi, Juhi] Indian Inst Technol Delhi, Dept Management Studies, New Delhi 110016, India</t>
  </si>
  <si>
    <t>Indian Institute of Management (IIM System); Indian Institute of Management Kozhikode; Indian Institute of Technology System (IIT System); Indian Institute of Technology (IIT) - Delhi</t>
  </si>
  <si>
    <t>Pasricha, P (corresponding author), Indian Inst Management Kozhikode, Org Behav &amp; Human Resources Area, Kozhikode 673570, Kerala, India.</t>
  </si>
  <si>
    <t>palvipasricha@iimk.ac.in; ksnivedhitha@iimk.ac.in; juhiraghuvanshi.iitr@gmail.com</t>
  </si>
  <si>
    <t>10.1016/j.jbusres.2023.113809</t>
  </si>
  <si>
    <t>E0RN5</t>
  </si>
  <si>
    <t>WOS:000972712900001</t>
  </si>
  <si>
    <t>Martin-Pena, ML; Sanchez-Lopez, JM; Kamp, B; Gimenez-Fernandez, EM</t>
  </si>
  <si>
    <t>Martin-Pena, Maria-Luz; Sanchez-Lopez, Jose-Maria; Kamp, Bart; Gimenez-Fernandez, Elena Maria</t>
  </si>
  <si>
    <t>The innovation antecedents behind the servitization-performance relationship</t>
  </si>
  <si>
    <t>RESEARCH-AND-DEVELOPMENT; BUSINESS MODEL INNOVATION; RESOURCE-BASED VIEW; SERVICE INNOVATION; MODERATING ROLE; DIGITAL SERVITIZATION; FIRM PERFORMANCE; PRODUCT FIRMS; STRATEGY; DIGITIZATION</t>
  </si>
  <si>
    <t>Servitization allows manufacturing firms to differentiate themselves from rivals and become more competitive. Scholars have studied the service paradox, but analysis of the relationship between servitization and firm performance has provided inconclusive results. In terms of the antecedents that influence this relationship, the literature has tended to focus on firm and product characteristics but not on companies' innovative behavior. This article probes the relationship between servitization and firm performance by focusing on two forms of innovation (technological and open) that may exert an influence. The study draws on the resource-based view literature to explain the role of interactions between technological innovation, service innovation, and open innovation in enhancing firm performance. Longitudinal empirical analysis was conducted with a sample of Spanish industrial firms for the period 2010-2016. Two time-lagged models were built and analyzed. The results show that technological innovation influences servitization. This relationship is moderated by open innovation. Servitization mediates the relationship between technological innovation and firm performance. The findings contribute to the literature on servitization and innovation management. Innovation is posited as an antecedent to the service paradox. Products, services, and open innovation should be considered when firms design innovation strategies to improve their performance. Such innovation strategies should lead to an increase in servitization. Service innovation should be supported by open innovation to strengthen technological innovation potential.</t>
  </si>
  <si>
    <t>[Martin-Pena, Maria-Luz; Sanchez-Lopez, Jose-Maria] Rey Juan Carlos Univ, Fac Social &amp; Law Sci, Paseo Artilleros S-N, Madrid 28032, Spain; [Kamp, Bart] Deusto Univ, Orkestra Basque Inst Competitiveness, Kalea Mundaiz 50, E-20012 Donostia San Sebastian, Spain; [Gimenez-Fernandez, Elena Maria] Pablo Olavide Univ, Fac Business, Ctra Utrera 1, Seville 41013, Spain</t>
  </si>
  <si>
    <t>Universidad Rey Juan Carlos; University of Deusto; Universidad Pablo de Olavide</t>
  </si>
  <si>
    <t>Martin-Pena, ML (corresponding author), Rey Juan Carlos Univ, Fac Social &amp; Law Sci, Paseo Artilleros S-N, Madrid 28032, Spain.</t>
  </si>
  <si>
    <t>luz.martin@urjc.es; josemaria.sanchez@urjc.es; bart.kamp@orkestra.deusto.es; emgimfer@upo.es</t>
  </si>
  <si>
    <t>López, José María Sánchez/Z-2225-2019; Gimenez-Fernandez, Elena M/G-8900-2017; Martin-Pena, Maria Luz/K-5152-2014</t>
  </si>
  <si>
    <t>López, José María Sánchez/0000-0002-2866-850X; Gimenez-Fernandez, Elena M/0000-0002-7234-0296; Martin-Pena, Maria Luz/0000-0002-6700-6293</t>
  </si>
  <si>
    <t>Spanish MICINN, through the SERVDIGITAL project [PID2020-117244RB-100]</t>
  </si>
  <si>
    <t>Spanish MICINN, through the SERVDIGITAL project</t>
  </si>
  <si>
    <t>This work has been partially funded by the Spanish MICINN, through the SERVDIGITAL project (PID2020-117244RB-100).</t>
  </si>
  <si>
    <t>10.1111/radm.12586</t>
  </si>
  <si>
    <t>9U7DE</t>
  </si>
  <si>
    <t>WOS:000947866400001</t>
  </si>
  <si>
    <t>Portalanza-Chavarria, A; Revuelto-Taboada, L</t>
  </si>
  <si>
    <t>Portalanza-Chavarria, Alexandra; Revuelto-Taboada, Lorenzo</t>
  </si>
  <si>
    <t>Driving intrapreneurial behavior through high-performance work systems</t>
  </si>
  <si>
    <t>Human Resource Management; High performance Work Systems; Knowledge management processes; Intrapreneurial Behavior; Intrapreneurship</t>
  </si>
  <si>
    <t>HUMAN-RESOURCE MANAGEMENT; SOCIAL-EXCHANGE THEORY; ENTREPRENEURIAL ORIENTATION; MEDIATING ROLE; CORPORATE ENTREPRENEURSHIP; ORGANIZATIONAL PERFORMANCE; EMPLOYEE PERCEPTIONS; KNOWLEDGE MANAGEMENT; HRM; STRENGTH</t>
  </si>
  <si>
    <t>Companies are increasingly adopting practices aimed at fostering intrapreneurial initiatives to ensure their survival, seize opportunities, and combat threats. This paper analyzes the effect of employee perceptions of high-performance work systems on intrapreneurial behavior, with potential mediation by knowledge management processes. It also analyzes possible moderation by human resource management (HRM) strength. Hypotheses were tested using partial least squares path modeling (PLS-PM) in Smart PLS 3.3. The analysis was conducted for a sample of 1,885 knowledge-intensive employees working in three banks in Ecuador. The results show that innovative behavior can be enhanced by implementing high-performance work systems. These systems promote sound knowledge management processes. These findings are relevant because they offer guidance to help practitioners promote intrapreneurship. They highlight the importance of high-performance work systems that enhance knowledge management processes, particularly knowledge sharing. The results also show that HRM strength moderates the relationships between high-performance work systems and intrapreneurial behavior and between knowledge management and intrapreneurial behavior. However, in the second of these relationships, the effect is the opposite of what is to be expected. This finding may indicate a need to consider this variable at the group, department, or even organizational level under a multilevel analysis approach.</t>
  </si>
  <si>
    <t>[Portalanza-Chavarria, Alexandra] Univ Espiritu Santo, Samborondon, Ecuador; [Revuelto-Taboada, Lorenzo] Univ Valencia, Valencia, Spain</t>
  </si>
  <si>
    <t>Universidad de Especialidades Espiritu Santo; University of Valencia</t>
  </si>
  <si>
    <t>Revuelto-Taboada, L (corresponding author), Univ Valencia, Valencia, Spain.</t>
  </si>
  <si>
    <t>aportalanza@uees.edu.ec; lorenzo.revuelto@uv.es</t>
  </si>
  <si>
    <t>Revuelto-Taboada, Lorenzo/C-4007-2017</t>
  </si>
  <si>
    <t>Revuelto-Taboada, Lorenzo/0000-0002-4957-8626</t>
  </si>
  <si>
    <t>Springer Nature; CRUE-CSIC</t>
  </si>
  <si>
    <t>Open Access funding provided thanks to the CRUE-CSIC agreement with Springer Nature.Open Access funding provided thanks to the CRUE-CSIC agreement with Springer Nature</t>
  </si>
  <si>
    <t>10.1007/s11365-023-00848-3</t>
  </si>
  <si>
    <t>9T3QV</t>
  </si>
  <si>
    <t>WOS:000946945700001</t>
  </si>
  <si>
    <t>Chen, J; Cooper-Thomas, HD; Cheung, G</t>
  </si>
  <si>
    <t>Chen, Jenny; Cooper-Thomas, Helena D.; Cheung, Gordon</t>
  </si>
  <si>
    <t>Cue consistency matters: how and when newcomers respond to supervisor creativity expectations</t>
  </si>
  <si>
    <t>Newcomer; supervisor; innovation; work design; self-efficacy</t>
  </si>
  <si>
    <t>SELF-EFFICACY; SOCIALIZATION TACTICS; INNOVATIVE BEHAVIOR; WORK; ADJUSTMENT; INFORMATION; INVOLVEMENT; PERFORMANCE; MANAGEMENT; LEADERSHIP</t>
  </si>
  <si>
    <t>Organizations may hire newcomers as a source of creativity, bringing fresh ideas and novel solutions to benefit organizational performance. However, the conditions that foster newcomer innovation are not well understood. Drawing on behavioral plasticity and cue consistency theories, we investigate the combined influence of new job self-efficacy and two work design factors (work autonomy and work demands) affecting how supervisor creativity expectations (SCEs) translate into newcomers behaving innovatively. Two-wave data were collected from 108 graduates of a university in China. Results using reliability-corrected single indicator latent moderated structural equation modeling (RCSLMS) supported our hypotheses. Thus, SCEs predicted newcomer innovative behavior more strongly for newcomers with low new job self-efficacy. Moreover, supporting cue consistency theory, newcomers who perceived high SCEs and low new job self-efficacy demonstrated the highest level of innovative behavior when work autonomy was high or work demands were low. These results broaden the application of behavioral plasticity theory for understanding newcomer behaviors. Further, our findings emphasize the importance of consistent work environment cues to encourage newcomer innovation.</t>
  </si>
  <si>
    <t>[Chen, Jenny] Univ West England, Fac Business &amp; Law, Bristol, England; [Cooper-Thomas, Helena D.] Auckland Univ Technol, Fac Business Econ &amp; Law, Auckland, New Zealand; [Cheung, Gordon] Univ Auckland, Dept Management &amp; Int Business, Auckland, New Zealand; [Chen, Jenny] Univ West England, Fac Business &amp; Law, Frenchay Campus, Bristol BS16 1QY, England</t>
  </si>
  <si>
    <t>University of West England; Auckland University of Technology; University of Auckland; University of West England</t>
  </si>
  <si>
    <t>Chen, J (corresponding author), Univ West England, Fac Business &amp; Law, Frenchay Campus, Bristol BS16 1QY, England.</t>
  </si>
  <si>
    <t>jenny.chen@uwe.ac.uk</t>
  </si>
  <si>
    <t>Cooper-Thomas, Helena/M-8637-2017</t>
  </si>
  <si>
    <t>Cooper-Thomas, Helena/0000-0003-4080-9704</t>
  </si>
  <si>
    <t>10.1080/09585192.2023.2189022</t>
  </si>
  <si>
    <t>9X7IR</t>
  </si>
  <si>
    <t>WOS:000949940500001</t>
  </si>
  <si>
    <t>Li, Q; Liu, MH</t>
  </si>
  <si>
    <t>Li, Qiu; Liu, Minghui</t>
  </si>
  <si>
    <t>The effect of family supportive supervisor behavior on teachers' innovative behavior and thriving at work: A moderated mediation model</t>
  </si>
  <si>
    <t>family-supportive supervisor behavior; work-family enrichment; teacher innovative behavior; thriving at work; proactive personality</t>
  </si>
  <si>
    <t>PROACTIVE PERSONALITY; JOB-PERFORMANCE; INTRINSIC MOTIVATION; EMPLOYEE CREATIVITY; CONFLICT; ENGAGEMENT; LEADERSHIP; LIFE; SATISFACTION; ENVIRONMENT</t>
  </si>
  <si>
    <t>ObjectiveIn today's society, teachers are increasingly focused on the harmonious development of work and family. However, few studies have discussed family supportive supervisor behavior to promote teachers' innovative behaviors and thriving at work. The study explores the mechanisms of family-supportive supervisor behaviors on teachers' innovative behaviors and thriving at work. MethodsIn this study, we adopt a questionnaire-based follow-up study of 409 career married teachers in Northwest China at three time points based on the Work-home Resource Model and Resource Conservation Theory. ResultsThe results indicate that family supportive supervisor behavior has a significant positive predictive effect on teachers' innovative behavior and thriving at work, and work-family enrichment mediates between this relationship. In addition, proactive personality moderates the relationship between family-supportive supervisor behavior and work-family enrichment and the mediating role of work-family enrichment. ConclusionPrior research has focused more on the impact of job characteristics within the work domain on work innovation behavior and thriving at work, and some studies have explored the impact of family-level factors on teacher behavior, but more often than not, they have been described based on a conflict perspective. This paper explores the positive impact of family-supportive supervisor behavior on teachers' innovative behaviors and thriving at work from a resource flow perspective and identifies its potential boundary conditions. This study extends theoretical research on family-work relationships while providing new grounding and research perspectives for improving teacher work and family enrichment.</t>
  </si>
  <si>
    <t>[Li, Qiu; Liu, Minghui] Dongbei Univ Finance &amp; Econ, Sch Publ Finance &amp; Taxat, Dalian, Peoples R China</t>
  </si>
  <si>
    <t>Dongbei University of Finance &amp; Economics</t>
  </si>
  <si>
    <t>Li, Q (corresponding author), Dongbei Univ Finance &amp; Econ, Sch Publ Finance &amp; Taxat, Dalian, Peoples R China.</t>
  </si>
  <si>
    <t>lqsusan21@126.com</t>
  </si>
  <si>
    <t>MAR 8</t>
  </si>
  <si>
    <t>10.3389/fpsyg.2023.1129486</t>
  </si>
  <si>
    <t>A3IN3</t>
  </si>
  <si>
    <t>WOS:000954103800001</t>
  </si>
  <si>
    <t>Ali, A; Das, S; Jana, RN</t>
  </si>
  <si>
    <t>Ali, Asgar; Das, Sanatan; Jana, Rabindra Nath</t>
  </si>
  <si>
    <t>MHD gyrating stream of non-Newtonian modified hybrid nanofluid past a vertical plate with ramped motion, Newtonian heating and Hall currents</t>
  </si>
  <si>
    <t>ZAMM-ZEITSCHRIFT FUR ANGEWANDTE MATHEMATIK UND MECHANIK</t>
  </si>
  <si>
    <t>CASSON FLUID-FLOW; THERMAL-RADIATION; CHEMICAL-REACTION</t>
  </si>
  <si>
    <t>In this modern era, the thermal efficiency of susceptible systems is a major concern in many scientific and technical operations. Hybridized nanomaterials have innovative behaviours, which make them significant in various applications. Hybrid nanofluids (HNFs) are primarily utilized to address heat transfer concerns efficiently. Keeping view of these facts, the main motive of the current investigation is to address the critical role of magnetohydrodynamics with Hall currents on a time-dependent gyrating stream of non-Newtonian modified hybrid nanofluid (MHNF) with Casson fluid model past a vertically fluctuating plate with ramped motion, and Newtonian heating in a porous environment. As a counter-example to Casson fluid, sodium alginate (SA) is considered. Graphite oxide, alumina and copper oxide nanoparticles are dispersed in the host fluid (SA) to constitute a MHNF. Thermal transportation is analysed under the physical consequence of thermal radiation. Darcy's law is utilized to counterfeit the porous medium's resistance in the flow field. The modelled problem is initially expressed in terms of physical conditions and partial differential equations (PDEs). The resulting dimensionless PDEs are solved analytically by dint of the Laplace transform technique. The physical consequences of significant physical and geometrical parameters on the profiles of associated flow quantities of industrial concern are visualized and explained in-deep via several graphs and tables. Our simulation reveals that the fluid motion is noteworthy amended due to the existence of Coriolis and Lorentz forces with Hall currents. Hall currents and Darcian drag force have a dominating attribute on the primary shear stress, while they expose a positive response to the secondary shear stress. Comparative analysis suggests that the heat migration rate at the plate is superior for MHNF due to higher thermal conductivity than usual HNF. The ongoing research is relevant to hybrid nanolubricants in thermal management systems, dynamics of nanopolymers, industrial procedures and so forth.</t>
  </si>
  <si>
    <t>[Ali, Asgar] Bajkul Milani Mahavidyalaya, Dept Math, Purba Medinipur, India; [Das, Sanatan] Univ Gour Banga, Dept Math, Malda, India; [Jana, Rabindra Nath] Vidyasagar Univ, Dept Appl Math, Midnapore, India</t>
  </si>
  <si>
    <t>University of Gour Banga; Vidyasagar University</t>
  </si>
  <si>
    <t>Ali, A (corresponding author), Bajkul Milani Mahavidyalaya, Dept Math, Purba Medinipur, India.</t>
  </si>
  <si>
    <t>asgaralimath@gmail.com</t>
  </si>
  <si>
    <t>Ali, Asgar/AAV-8495-2020</t>
  </si>
  <si>
    <t>Ali, Asgar/0000-0001-8587-0002</t>
  </si>
  <si>
    <t>0044-2267</t>
  </si>
  <si>
    <t>1521-4001</t>
  </si>
  <si>
    <t>ZAMM-Z ANGEW MATH ME</t>
  </si>
  <si>
    <t>ZAMM-Z. Angew. Math. Mech.</t>
  </si>
  <si>
    <t>10.1002/zamm.202200080</t>
  </si>
  <si>
    <t>Mathematics, Applied; Mechanics</t>
  </si>
  <si>
    <t>Mathematics; Mechanics</t>
  </si>
  <si>
    <t>9O2MR</t>
  </si>
  <si>
    <t>WOS:000943438700001</t>
  </si>
  <si>
    <t>Wu, GF; Li, M</t>
  </si>
  <si>
    <t>Wu, Guo-feng; Li, Mei</t>
  </si>
  <si>
    <t>Impact of inclusive leadership on employees' innovative behavior: A relational silence approach</t>
  </si>
  <si>
    <t>inclusive leadership; relational silence; employee innovative behavior; China; Guangdong Province</t>
  </si>
  <si>
    <t>PSYCHOLOGICAL SAFETY; MEDIATING ROLE; AUTHENTIC LEADERSHIP; MANAGING INNOVATION; ETHICAL LEADERSHIP; VOICE; WORKPLACE; MODEL; NEED</t>
  </si>
  <si>
    <t>IntroductionAlthough employees' silence is a common phenomenon in organizations, the mediating role of relational silence has not been studied in inclusive leadership and innovative behavior. In this study, based on the theory of social exchange, relational silence is used as a mediating variable to explore the internal mechanisms of inclusive leadership on employees' innovative behavior. MethodsData from 263 in-service leaders and employees were collected using convenience sampling and analyzed using Amos and SPSS statistical software package via questionnaires distributed to companies in six cities in the Guangdong province of China. ResultsThe results showed that inclusive leadership has a significant positive predictive effect on employees' innovative behavior (beta = 0.590, p &lt; 0.01), while inclusive leadership is negative and significantly correlated with relational silence (beta = -0.469, p &lt; 0.01). More so, relational silence has a significant negative correlation with employees' innovative behavior (beta = -0.408, p &lt; 0.01), and relational silence partially mediates the relationship between inclusive leadership and employee innovation behavior. DiscussionThe mediating role of relational silence between inclusive leadership and employees' innovative behavior is revealed for the first time, theoretically broadening and enriching the connotation of inclusive leadership's influence mechanism on employees' innovative behavior and providing new ideas in practice for constructing inclusive leadership styles, reducing the incidence of relational silence, and evoking employees' innovative behavior.</t>
  </si>
  <si>
    <t>[Wu, Guo-feng; Li, Mei] Univ Elect Sci &amp; Technol China, Zhongshan Inst, Zhongshan, Peoples R China</t>
  </si>
  <si>
    <t>Li, M (corresponding author), Univ Elect Sci &amp; Technol China, Zhongshan Inst, Zhongshan, Peoples R China.</t>
  </si>
  <si>
    <t>lm2570@163.com</t>
  </si>
  <si>
    <t>MAR 6</t>
  </si>
  <si>
    <t>10.3389/fpsyg.2023.1144791</t>
  </si>
  <si>
    <t>A2MB3</t>
  </si>
  <si>
    <t>WOS:000953513200001</t>
  </si>
  <si>
    <t>Zhang, H; Zhu, PF; Yao, ZC</t>
  </si>
  <si>
    <t>Zhang, Hao; Zhu, Peifeng; Yao, Zhichao</t>
  </si>
  <si>
    <t>An Agent-Based Model to Simulate the Diffusion of New Energy Vehicles</t>
  </si>
  <si>
    <t>COMPLEXITY</t>
  </si>
  <si>
    <t>INNOVATION DIFFUSION; BEHAVIOR</t>
  </si>
  <si>
    <t>This paper demonstrates the use of an agent-based model (ABM) to study the mechanism of social influence in the diffusion of new energy vehicles. We introduce the consumat cognition model so that agents with different need satisfaction thresholds have different cognitive processes. In addition, supported by survey data, our study considers more characteristics of opinion leaders, such as innovative behavior, lower sensitivity to price influence, and a better ability to judge the product quality. Through the primary group and control group experiments, the simulations demonstrated that the opinion leaders play a significant role in the spread of information and the percentage of product adoption. The results indicate that targeting opinion leaders will be a valuable marketing strategy for new energy vehicles. It also provides some advice for assessing policies that promote sustainable behaviors.</t>
  </si>
  <si>
    <t>[Zhang, Hao; Yao, Zhichao] Nanjing Univ Aeronaut &amp; Astronaut, Coll Econ &amp; Management, Nanjing 211106, Peoples R China; [Zhu, Peifeng] Nanjing Univ Chinese Med, Sch Hlth Econ &amp; Management, Nanjing 210023, Peoples R China</t>
  </si>
  <si>
    <t>Nanjing University of Aeronautics &amp; Astronautics; Nanjing University of Chinese Medicine</t>
  </si>
  <si>
    <t>Zhu, PF (corresponding author), Nanjing Univ Chinese Med, Sch Hlth Econ &amp; Management, Nanjing 210023, Peoples R China.</t>
  </si>
  <si>
    <t>zhanghao0216@nuaa.edu.cn; 280702@njucm.edu.cn; 660548396@139.com</t>
  </si>
  <si>
    <t>Fundamental Research Funds for the Central Universities [ND2020001]; Humanities and Social Sciences Project of the Ministry of Education [21YJA630088]</t>
  </si>
  <si>
    <t>Fundamental Research Funds for the Central Universities(Fundamental Research Funds for the Central Universities); Humanities and Social Sciences Project of the Ministry of Education</t>
  </si>
  <si>
    <t>AcknowledgmentsThis work was supported by the Fundamental Research Funds for the Central Universities (Grant No. ND2020001) and the Humanities and Social Sciences Project of the Ministry of Education (Grant No. 21YJA630088).</t>
  </si>
  <si>
    <t>1076-2787</t>
  </si>
  <si>
    <t>1099-0526</t>
  </si>
  <si>
    <t>Complexity</t>
  </si>
  <si>
    <t>MAR 4</t>
  </si>
  <si>
    <t>10.1155/2023/6773087</t>
  </si>
  <si>
    <t>9T2PE</t>
  </si>
  <si>
    <t>WOS:000946872800001</t>
  </si>
  <si>
    <t>Ahmadpour, L; Leardini, A; Fini, R; Mascia, D</t>
  </si>
  <si>
    <t>Ahmadpour, Leila; Leardini, Alberto; Fini, Riccardo; Mascia, Daniele</t>
  </si>
  <si>
    <t>Knowledge sharing in temporary teams: Exploring the use of 3D printing in orthopaedic surgery</t>
  </si>
  <si>
    <t>Temporary teams; Knowledge sharing; Healthcare teams; Additive Manufacturing Technology</t>
  </si>
  <si>
    <t>PSYCHOLOGICAL SAFETY; INNOVATIVE BEHAVIOR; LEARNING BEHAVIORS; MODERATING ROLE; TECHNOLOGY; PERFORMANCE; QUALITY; WORK; ORGANIZATIONS; CREATIVITY</t>
  </si>
  <si>
    <t>This study explores knowledge sharing in temporary teams which use 3D printing technology to support surgical interventions. We focus on the planning phase of orthopaedic surgeries when senior surgeons organise a tem-porary team to create personalised treatment using 3D printing technology. We conduct in-depth interviews with 25 surgeons and their teams in one of the leading orthopaedic research hospitals in Italy. Based on our qualitative evidence, we find that when the technology provides a basis for the surgical planning, knowledge sharing in teams mostly occurs through two-way - dyadic - relationships between team participants. Our findings also demonstrate that hierarchy within teams is important to support the formation of dyads thereby facilitating knowledge sharing practices within temporary teams. This study is novel in highlighting how temporary teams deal with knowledge sharing challenges due to the continuous changes in team composition in healthcare.</t>
  </si>
  <si>
    <t>[Ahmadpour, Leila; Fini, Riccardo] Univ Bologna, Dept Management, Via Capo Lucca 34, I-40126 Bologna, Italy; [Leardini, Alberto] IRCCS Ist Ortoped Rizzoli, Lab Movement Anal &amp; Prosthesis Funct Evaluat, Via Barbiano 1-10, I-40136 Bologna, Italy; [Mascia, Daniele] LUISS Univ, Dept Business &amp; Management, Viale Romania 32, I-00197 Rome, Italy</t>
  </si>
  <si>
    <t>University of Bologna; Luiss Guido Carli University</t>
  </si>
  <si>
    <t>Ahmadpour, L (corresponding author), Univ Bologna, Dept Management, Via Capo Lucca 34, I-40126 Bologna, Italy.;Mascia, D (corresponding author), LUISS Univ, Dept Business &amp; Management, Viale Romania 32, I-00197 Rome, Italy.</t>
  </si>
  <si>
    <t>Leila.ahmadpour2@unibo.it; leardini@ior.it; riccardo.fini@unibo.it; dmascia@luiss.it</t>
  </si>
  <si>
    <t>10.1016/j.technovation.2023.102723</t>
  </si>
  <si>
    <t>A1UY4</t>
  </si>
  <si>
    <t>WOS:000953063000001</t>
  </si>
  <si>
    <t>Alt, D; Kapshuk, Y; Dekel, H</t>
  </si>
  <si>
    <t>Alt, Dorit; Kapshuk, Yoav; Dekel, Heli</t>
  </si>
  <si>
    <t>Promoting perceived creativity and innovative behavior: Benefits of future problem-solving programs for higher education students</t>
  </si>
  <si>
    <t>Future problem solving; Perceived creativity; Innovative behavior; Higher education</t>
  </si>
  <si>
    <t>SKILLS; INTERVENTION; THINKING</t>
  </si>
  <si>
    <t>While it is widely acknowledged that Future Problem Solving (FPS) programs may have the potential for engendering creativity and innovation skills in pupils, a somewhat opaque landscape emerges in terms of identifying the benefits of such programs for higher education students. In this quasi-experimental study, an FPS program was employed in two study tracks: peace education and teacher training. Its main objective was to assess students' perceived awareness of future problem-solving, creativity, and innovative behavior before and after the program implementation. Another aim was to evaluate the potential links between the three variables. Data were collected from 432 students by using three measurements: Awareness of future problems scale; Short Scale of Creative Self - SSCS; and Innovative Behavior scale. Findings showed that the participants' awareness of future problems, their belief in their ability to produce creative ideas, and their perceived innovative behavior have increased by the end of the FPS program implementation, relative to its onset. Non-significant findings were detected in the control group. The empirical model indicated the mediating role of perceived creativity in linking awareness of future problems to students' perceived innovative behavior.</t>
  </si>
  <si>
    <t>[Alt, Dorit] Tel Hai Coll, Qiryat Shemona, Israel; [Kapshuk, Yoav] Kinneret Coll Sea Galilee, Kinneret, Israel; [Dekel, Heli] Gordon Coll Educ, Haifa, Israel; [Kapshuk, Yoav] Tzemach Junct,MP Jordan Valley, IL-15132 Jerusalem, Israel; [Dekel, Heli] Tehernikhovaki St 73, IL-3570503 Haifa, Israel</t>
  </si>
  <si>
    <t>Tel Hai Academy College</t>
  </si>
  <si>
    <t>Kapshuk, Y (corresponding author), Tzemach Junct,MP Jordan Valley, IL-15132 Jerusalem, Israel.;Dekel, H (corresponding author), Tehernikhovaki St 73, IL-3570503 Haifa, Israel.</t>
  </si>
  <si>
    <t>altdor@telhai.ac.il; kapshuk@mx.kinneret.ac.il; helidekel@gmail.com</t>
  </si>
  <si>
    <t>Kapshuk, Yoav/0000-0002-9737-4468</t>
  </si>
  <si>
    <t>10.1016/j.tsc.2022.101201</t>
  </si>
  <si>
    <t>6Z9FF</t>
  </si>
  <si>
    <t>WOS:000898072700001</t>
  </si>
  <si>
    <t>Anjum, A; Zhao, Y; Faraz, N</t>
  </si>
  <si>
    <t>Anjum, Amna; Zhao, Yan; Faraz, Naeem</t>
  </si>
  <si>
    <t>An Empirical Study Analyzing the Moderating Effect of Supervisor Support and Mediating Effect of Presenteeism among Eustress, Distress, and Innovative Behavior</t>
  </si>
  <si>
    <t>distress; eustress; presenteeism; supervisor support; innovative work behavior</t>
  </si>
  <si>
    <t>PERCEIVED ORGANIZATIONAL SUPPORT; HEALTH CONDITIONS; STRESS; WORK; DETERMINANTS; ATTENDANCE; ABSENCE</t>
  </si>
  <si>
    <t>Purpose: This article aims to illustrate that stress is not always a negative experience as it can have both positive and negative outcomes. The term eustress describes positive stress, while the term distress describes negative stress. To date, research on eustress is in the infancy stage. There are approximately 306 items that can be found in the Web of Science core collection for eustress, while there are 184,714 items found for distress. Few studies have examined the relationship between presenteeism, stress, and innovative behavior. Thus, the mechanism underlying this pathway still needs to be fully understood. Materials and Methods: A survey was conducted among 350 medical healthcare professionals from Pakistan. With the help of SPSS and AMOS, the data were analyzed and the combined effects of the variables were also investigated. Results: According to the current study, a mediation effect has been observed between innovative behavior and stress (eustress and distress). However, supervisor support moderates the relationship between stress and presenteeism and, likewise, between presenteeism and innovative behavior. Conclusion: Our analysis of variables establishes empirically robust relationships between the innovative behavior of medical healthcare professionals and the two different dimensions of stress. In addition, it describes a hypothetical alternative situation that explains how employees' innovative work behavior is affected by eustress and distress in the presence of supervisor support. This study could have implications for improving medical healthcare professionals' ability to incorporate innovative behavior into their practice in an effective manner in the future.</t>
  </si>
  <si>
    <t>[Anjum, Amna; Zhao, Yan] Shanghai Univ, Sch Management, Shanghai 200444, Peoples R China; [Faraz, Naeem] Donghua Univ, Int Cultural Exchange Sch ICES, West Yanan Rd 1882, Shanghai 200051, Peoples R China</t>
  </si>
  <si>
    <t>Shanghai University; Donghua University</t>
  </si>
  <si>
    <t>10.3390/bs13030219</t>
  </si>
  <si>
    <t>A4TE3</t>
  </si>
  <si>
    <t>WOS:000955058600001</t>
  </si>
  <si>
    <t>Shi, XJ; Xiao, ZY</t>
  </si>
  <si>
    <t>Shi, Xiaojuan; Xiao, Zhiyang</t>
  </si>
  <si>
    <t>Effect of creativity on unethical behavior</t>
  </si>
  <si>
    <t>creativity; unethical behavior; moral credential; perceived prevalence of creativity; behavioral ethics</t>
  </si>
  <si>
    <t>INNOVATIVE BEHAVIOR; INCREASES</t>
  </si>
  <si>
    <t>Although previous studies have illustrated the dark side of creativity, intermediary mechanisms have not been sufficiently explored. We used moral licensing theory to expand a new interpretation mechanism of the relationship between creativity and unethical behavior. We tested our hypotheses with an experimental study and a multiwave survey in China. Study 1 (N = 143 postgraduates) showed that creativity increased moral credential. The results of Study 2 (N = 180) replicated Study 1's findings and further showed that the effect of creativity on unethical behavior was mediated by moral credential. Study 2 further expanded the boundary condition of the dark side of creativity from the perspective of perceived prevalence of creativity. Theoretical implications for creativity and behavioral ethics research are discussed, as well as directions for future research.</t>
  </si>
  <si>
    <t>[Shi, Xiaojuan; Xiao, Zhiyang] Tibet Univ, Sch Econ &amp; Management, Dept Publ Management, Najin Campus,10 Zangda East Rd, Lhasa, Tibet, Peoples R China</t>
  </si>
  <si>
    <t>Tibet University</t>
  </si>
  <si>
    <t>Shi, XJ (corresponding author), Tibet Univ, Sch Econ &amp; Management, Dept Publ Management, Najin Campus,10 Zangda East Rd, Lhasa, Tibet, Peoples R China.</t>
  </si>
  <si>
    <t>shixiaojuan2016@163.com</t>
  </si>
  <si>
    <t>e12071</t>
  </si>
  <si>
    <t>10.2224/sbp.12071</t>
  </si>
  <si>
    <t>D7IN1</t>
  </si>
  <si>
    <t>WOS:000970426800003</t>
  </si>
  <si>
    <t>Kim, S; Kim, J</t>
  </si>
  <si>
    <t>Kim, Sojeong; Kim, Jarim</t>
  </si>
  <si>
    <t>How Does Internal Brand Communication Affect Organizational Outcomes? The Mediating Roles of Brand Identification and Employee Behaviors</t>
  </si>
  <si>
    <t>JOURNAL OF PUBLIC RELATIONS RESEARCH</t>
  </si>
  <si>
    <t>Brand identification; employee behavior; internal brand communication; turnover intention</t>
  </si>
  <si>
    <t>SOCIAL IDENTITY THEORY; TURNOVER INTENTION; JOB-SATISFACTION; IN-ROLE; CITIZENSHIP BEHAVIOR; INNOVATIVE BEHAVIOR; MARKET ORIENTATION; VOLUNTARY TURNOVER; SERVICES BRANDS; MODERATING ROLE</t>
  </si>
  <si>
    <t>Using a survey of 400 full-time employees in Korea, this study investigates the underlying processes through which internal brand communication influences organizational outcomes. Specifically, the study examines how internal brand communication influences turnover intentions through brand identification and employees' in-role and innovative behaviors. The analysis showed that internal brand communication increases brand identification, which further increases the in-role and innovative behaviors of employees. It also revealed that in-role behaviors increase turnover intentions.</t>
  </si>
  <si>
    <t>[Kim, Sojeong] Yonsei Univ, Grad Sch Journalism Media &amp; Commun, Seoul, South Korea; [Kim, Jarim] Yonsei Univ, Dept Commun, Seoul, South Korea; [Kim, Jarim] Yonsei Univ, Dept Commun, 50 Yonsei Ro, Seoul 03722, South Korea</t>
  </si>
  <si>
    <t>Yonsei University; Yonsei University; Yonsei University</t>
  </si>
  <si>
    <t>Kim, J (corresponding author), Yonsei Univ, Dept Commun, 50 Yonsei Ro, Seoul 03722, South Korea.</t>
  </si>
  <si>
    <t>jarimkim@yonsei.ac.kr</t>
  </si>
  <si>
    <t>Yonsei University [2021-22-0312]</t>
  </si>
  <si>
    <t>The work was supported by the~Yonsei University Research Fund of 2021 [#2021-22-0312].</t>
  </si>
  <si>
    <t>1062-726X</t>
  </si>
  <si>
    <t>1532-754X</t>
  </si>
  <si>
    <t>J PUBLIC RELAT RES</t>
  </si>
  <si>
    <t>J. Public Relat. Res.</t>
  </si>
  <si>
    <t>10.1080/1062726X.2023.2181814</t>
  </si>
  <si>
    <t>FEB 2023</t>
  </si>
  <si>
    <t>Communication</t>
  </si>
  <si>
    <t>9M0YC</t>
  </si>
  <si>
    <t>WOS:000941964600001</t>
  </si>
  <si>
    <t>Mao, HY; Peng, S; Zhang, LN; Zhang, YJ</t>
  </si>
  <si>
    <t>Mao, Hongyi; Peng, Shuai; Zhang, Luni; Zhang, Yajun</t>
  </si>
  <si>
    <t>Self-serving leadership and innovative behavior: Roles of psychological entitlement and moral identity</t>
  </si>
  <si>
    <t>self-serving leadership; psychological entitlement; moral identity; social information processing theory; innovative behavior</t>
  </si>
  <si>
    <t>SOCIAL INFORMATION; MODERATING ROLE; SERVANT LEADERSHIP; ETHICAL LEADERSHIP; WORK BEHAVIOR; CREATIVITY; PERSPECTIVE; EFFICACY; MODEL; ORGANIZATIONS</t>
  </si>
  <si>
    <t>On the basis of social information processing theory, this study proposes a model of the influence mechanism of self-serving leadership (SL) on employee innovative behavior (IB), with psychological entitlement as the mediating variable and moral identity as the moderating variable. The paired data of 82 leaders and 372 employees collected at three time points are analyzed by the hierarchical linear modeling. Results corroborate that SL impairs employee IB. Moreover, the relationship between SL and employee IB is mediated by psychological entitlement. Finally, moral identity has a negative moderating effect of SL on psychological entitlement and an indirect effect on employee IB through psychological entitlement.</t>
  </si>
  <si>
    <t>[Mao, Hongyi; Peng, Shuai; Zhang, Luni; Zhang, Yajun] Guizhou Univ Finance &amp; Econ, Sch Business Adm, Guiyang, Peoples R China</t>
  </si>
  <si>
    <t>Guizhou University of Finance &amp; Economics</t>
  </si>
  <si>
    <t>Zhang, YJ (corresponding author), Guizhou Univ Finance &amp; Econ, Sch Business Adm, Guiyang, Peoples R China.</t>
  </si>
  <si>
    <t>zhangyajun@mail.gufe.edu.cn</t>
  </si>
  <si>
    <t>Startup Foundation for Distinguished Scholars of Guizhou University of Finance and Economics [2019YJ065]</t>
  </si>
  <si>
    <t>Startup Foundation for Distinguished Scholars of Guizhou University of Finance and Economics</t>
  </si>
  <si>
    <t>Funding This work was supported by Startup Foundation for Distinguished Scholars of Guizhou University of Finance and Economics (2019YJ065).</t>
  </si>
  <si>
    <t>10.3389/fpsyg.2023.1071457</t>
  </si>
  <si>
    <t>A2KJ6</t>
  </si>
  <si>
    <t>WOS:000953469100001</t>
  </si>
  <si>
    <t>Koch, J; Drazic, I; Schermuly, CC</t>
  </si>
  <si>
    <t>Koch, Jan; Drazic, Ivana; Schermuly, Carsten C.</t>
  </si>
  <si>
    <t>The affective, behavioural and cognitive outcomes of agile project management: A preliminary meta-analysis</t>
  </si>
  <si>
    <t>affective; agile project management; behavioural; cognitive; meta-analysis; review</t>
  </si>
  <si>
    <t>SOFTWARE-DEVELOPMENT; JOB-SATISFACTION; PSYCHOLOGICAL EMPOWERMENT; TEAM PERFORMANCE; WORK; WORKPLACE; DESIGN; MODEL; LEADERSHIP; AUTONOMY</t>
  </si>
  <si>
    <t>Agile project management (APM) refers to a set of project management frameworks that are increasingly common in a range of industries. Even though the positive effects of APM for employees and organizations are widely assumed, no systematic account of affective, behavioural and cognitive outcomes appears in the academic literature. In this pre-registered meta-analysis, we examine the effects of APM based on K = 40 records (with k = 41 independent studies, N = 73,825). Our analyses indicate the beneficial effects of APM across outcomes: For the affective outcomes of job satisfaction, affective strain and organizational commitment, the effect sizes were, on average, small. For the behavioural outcomes of performance and innovative behaviour, the effect sizes were medium to large. For the cognitive outcome of psychological empowerment, the results of our meta-analysis suggest a medium effect. Furthermore, we explore the moderating effects of contextual (team size, occupational groups, culture) and methodological boundary conditions (publication status, study design, levels of analysis, study quality). Compared to studies conducted with software developers, the effect sizes are stronger in other occupations, such as manufacturing, health care and logistics. Moreover, stronger effect sizes are found in published than in unpublished records. We conclude by discussing the state of quantitative APM research and highlight avenues for future study.</t>
  </si>
  <si>
    <t>[Koch, Jan; Drazic, Ivana; Schermuly, Carsten C.] SRH Berlin Univ Appl Sci, Berlin, Germany; [Koch, Jan] SRH Berlin Univ Appl Sci, Ernst Reuter Pl 10, D-10587 Berlin, Germany</t>
  </si>
  <si>
    <t>Koch, J (corresponding author), SRH Berlin Univ Appl Sci, Ernst Reuter Pl 10, D-10587 Berlin, Germany.</t>
  </si>
  <si>
    <t>jan.koch@srh.de</t>
  </si>
  <si>
    <t>10.1111/joop.12429</t>
  </si>
  <si>
    <t>9C0FR</t>
  </si>
  <si>
    <t>WOS:000935104000001</t>
  </si>
  <si>
    <t>Cai, XR; Khan, NA; Egorova, O</t>
  </si>
  <si>
    <t>Cai, Xuerui; Khan, Naseer Abbas; Egorova, Olga</t>
  </si>
  <si>
    <t>Transactional leadership matters in green creative behaviour through workplace learning and green knowledge management: moderating role of social network sites use</t>
  </si>
  <si>
    <t>Transactional leadership; Workplace learning; Green knowledge management; Social network sites; Green creative behaviour; Leader-member exchange theory</t>
  </si>
  <si>
    <t>MEMBER EXCHANGE; TRANSFORMATIONAL LEADERSHIP; EMPLOYEE CREATIVITY; INNOVATIVE BEHAVIOR; PERFORMANCE; ANTECEDENTS; TECHNOLOGY; TOURISM; TRAITS; TRUST</t>
  </si>
  <si>
    <t>PurposeThe purpose of this study is to investigate the predictive influence of transactional leadership on employee green creative behaviour (GCB) and the mediating role of workplace learning and green knowledge management (GKM) in this relationship. Based on the leader-member exchange (LMX) theory. This study also uses moderated mediation analysis to investigate social networking sites (SNS) use as a moderator to better understand the indirect relationship between transactional leadership and employee GCB.Design/methodology/approachThe data for this quantitative study were collected using a time-lag technique, with two time waves apart by two months. The final sample for the study included 294 employee-supervisor dyads from small and medium-sized tourism enterprises in the north eastern part of China.FindingsFindings supported the study's proposed hypotheses, indicating that transactional leadership has a significant impact on workplace learning and GKM, as well as a significant role of mediators (workplace learning and GKM) in the relationship between transactional leadership and employee GCB. Furthermore, SNS use significantly moderated the impact of both mediators in establishing a link between transactional leadership and employee GCB.Originality/valueThis study offers new perspectives and insights for entrepreneurs, decision-makers, academics and tourism sector experts by identifying and putting into practise the predictive role of transactional leadership in innovative behaviours. This study also suggests that small and mid-sized travel agencies should focus on workplace learning, GKM and SNS use to promote environment-friendly creative employee behaviour.</t>
  </si>
  <si>
    <t>[Cai, Xuerui] Wuhan Text Univ, Wuhan, Peoples R China; [Khan, Naseer Abbas; Egorova, Olga] South Ural State Univ, Natl Res Univ, Dept Ind Econom &amp; Project Management, Celabinsk, Russia</t>
  </si>
  <si>
    <t>Wuhan Textile University; South Ural State University</t>
  </si>
  <si>
    <t>Khan, NA (corresponding author), South Ural State Univ, Natl Res Univ, Dept Ind Econom &amp; Project Management, Celabinsk, Russia.</t>
  </si>
  <si>
    <t>cxredu@outlook.com; naseer@mail.ustc.edu.cn; egorovaov@susu.ru</t>
  </si>
  <si>
    <t>Khan, Naseer Abbas/Y-2960-2019</t>
  </si>
  <si>
    <t>Khan, Naseer Abbas/0000-0002-6422-4973</t>
  </si>
  <si>
    <t>10.1108/PR-12-2020-0894</t>
  </si>
  <si>
    <t>9F2US</t>
  </si>
  <si>
    <t>WOS:000937329700001</t>
  </si>
  <si>
    <t>Song, JY; Jiao, H; Wang, CH</t>
  </si>
  <si>
    <t>Song, Jiayi; Jiao, Hao; Wang, Canhao</t>
  </si>
  <si>
    <t>How work-family conflict affects knowledge workers' innovative behavior: a spillover-crossover-spillover model of dual-career couples</t>
  </si>
  <si>
    <t>Knowledge workers; Work-to-family conflict; Innovative behavior; Emotional exhaustion; Family-to-work conflict; Gender role perceptions; Dual-career couples</t>
  </si>
  <si>
    <t>PSYCHOLOGICAL DISTRESS; EMOTIONAL EXHAUSTION; ROLE ORIENTATION; JOB DEMANDS; CREATIVITY; GENDER; IMPACT; DETERMINANTS; INVOLVEMENT; PERFORMANCE</t>
  </si>
  <si>
    <t>PurposeInnovative behavior is a microfoundation of an organization's innovation. Knowledge workers are the main creators of innovations. With the boundaries between work and family becoming increasingly ambiguous, the purpose of this study is to explore how the work-family conflict affects knowledge workers' innovative behavior and when such a conflict arises. Design/methodology/approachTo test the theoretical model, this study collected data from a time-lagged matched sample of 214 dual-career couples. The data were analyzed with the bias-corrected bootstrapping method. FindingsThe results of this study showed that work-to-family conflict had not only a direct negative effect on knowledge workers' innovative behavior but also an indirect effect through spouses' within-family emotional exhaustion and knowledge workers' family-to-work conflict. If wives' gender role perceptions are traditional, then the indirect serial mediating effect is weakened, but if such perceptions are egalitarian, then the mentioned effect is aggravated. Practical implicationsIn terms of organizational implications, managers could alter their approach by reducing detrimental factors such as work-family conflict to improve knowledge workers' innovative behavior. Emotional assistance programs for both knowledge workers and their spouses can be used to prevent the detrimental effect of work-family conflict on innovative behavior. As to social implications, placing dual-career couples into a community of likeminded individuals and promoting their agreement on gender role identity will greatly reduce the negative effects of work-family conflict. Originality/valueStarting from the perspective of the behavior outcome of knowledge management, this study advances the existing knowledge management literature by enriching the antecedents of knowledge workers' innovative behavior, illuminating a spillover-crossover-spillover effect of work-family conflict on knowledge workers' innovative behavior and identifying the boundary condition of this transmission process.</t>
  </si>
  <si>
    <t>[Song, Jiayi; Jiao, Hao; Wang, Canhao] Beijing Normal Univ, Business Sch, Beijing, Peoples R China</t>
  </si>
  <si>
    <t>Beijing Normal University</t>
  </si>
  <si>
    <t>jiayisongacademy@163.com; haojiao@bnu.edu.cn; 18739976027@163.com</t>
  </si>
  <si>
    <t>Major Project of National Philosophy and Social Sciences Foundation of China [21ZD139]; National Natural Science Foundation of China [72022005]</t>
  </si>
  <si>
    <t>Major Project of National Philosophy and Social Sciences Foundation of China; National Natural Science Foundation of China(National Natural Science Foundation of China (NSFC))</t>
  </si>
  <si>
    <t>The research was supported by the Major Project of National Philosophy and Social Sciences Foundation of China (21&amp;ZD139) and National Natural Science Foundation of China (72022005).</t>
  </si>
  <si>
    <t>10.1108/JKM-06-2022-0458</t>
  </si>
  <si>
    <t>8W0QK</t>
  </si>
  <si>
    <t>WOS:000931026900001</t>
  </si>
  <si>
    <t>Surucu, L; Yildiz, H; Sagbas, M</t>
  </si>
  <si>
    <t>Surucu, Lutfi; Yildiz, Halil; Sagbas, Murat</t>
  </si>
  <si>
    <t>Paternal leadership and employee creativity: the mediating role of psychological safety</t>
  </si>
  <si>
    <t>Paternal leadership; Employee creativity; Psychological safety; Health sector</t>
  </si>
  <si>
    <t>TRANSFORMATIONAL LEADERSHIP; INNOVATIVE BEHAVIOR; WORKPLACE; CULTURE; SYSTEMS; IMPACT; VOICE</t>
  </si>
  <si>
    <t>PurposeThis research aims to analyze the factors affecting the people's performance working in the health sector to improve the services the health sector provide to society and increase the efficiency of their institutions.Design/methodology/approachConceptual model covering paternalistic leadership, employee creativity and psychological safety as an intermediary role has been suggested. A questionnaire was applied to 600 employees of three hospitals in Izmir voluntarily and 531 questionnaire data were obtained to test the proposed model. Statistical Package for the Social Sciences-23 and Amos-18 were the statistical software used to analyze the data.FindingsThe results suggest that paternalistic leadership positively affects employee creativity and psychological safety plays a mediating role in this relationship. While the effects of paternalistic leadership on employee resourcefulness are readily available, paternalistic leadership's mechanisms need elucidation.Originality/valuePrevious studies have addressed issues, such as employees' job satisfaction and organizational commitment, covering Far East countries. Yet, the present research's findings enhance the cultural understanding of the conditions, where the paternalistic leader affects employee creativity. Moreover, leader affects must have managerial contributions to institutions.</t>
  </si>
  <si>
    <t>[Surucu, Lutfi] World Peace Univ, Dept Business &amp; Management, Famagusta, Turkiye; [Yildiz, Halil; Sagbas, Murat] Turkiye Cumhuriyeti Milli Savunma Bakanligi, Land Forces Command, Eskisehir, Turkiye</t>
  </si>
  <si>
    <t>Surucu, L (corresponding author), World Peace Univ, Dept Business &amp; Management, Famagusta, Turkiye.</t>
  </si>
  <si>
    <t>lsurucu@wpucyprus.com; halilyildiz2008@gmail.com; muratsagbass@gmail.com</t>
  </si>
  <si>
    <t>Sürücü, Lütfi/AAJ-8651-2020; Sağbaş, Murat/AEU-7871-2022</t>
  </si>
  <si>
    <t>Sürücü, Lütfi/0000-0002-6286-4184; Sağbaş, Murat/0000-0001-5179-7425</t>
  </si>
  <si>
    <t>10.1108/K-01-2022-0011</t>
  </si>
  <si>
    <t>9E3YD</t>
  </si>
  <si>
    <t>WOS:000936724600001</t>
  </si>
  <si>
    <t>Zhang, XY; Zhou, XH; Wang, Q; Wu, ZY; Sui, Y</t>
  </si>
  <si>
    <t>Zhang, Xueyan; Zhou, Xiaohu; Wang, Qiao; Wu, Zhouyue; Sui, Yue</t>
  </si>
  <si>
    <t>Political skills matter: the role of academic entrepreneurs in team innovation</t>
  </si>
  <si>
    <t>Academic entrepreneurs; Political skills; Transactive memory system; Team psychological safety; Team innovation behavior</t>
  </si>
  <si>
    <t>TRANSACTIVE MEMORY-SYSTEMS; PSYCHOLOGICAL SAFETY; LEARNING-BEHAVIOR; SCALE DEVELOPMENT; PERFORMANCE; LEADERSHIP; CREATIVITY; IMPACT; MODEL; COMMERCIALIZATION</t>
  </si>
  <si>
    <t>PurposeBased on social influence theory, this paper aims to explore the influence of academic entrepreneurs on team innovation activities. The innovation behavior of academic team members is the key behavior in academic entrepreneurial activities. As a special entrepreneurial group, academic entrepreneurs' political skills play an important role in stimulating team innovative behaviors.Design/methodology/approachThis paper adopts a multi-level study design and takes as samples the paired data of 91 academic entrepreneurial teams (n = 475). Based on team cognition, it constructs a model of the influence mechanism of academic entrepreneurs' political skills on team innovation behavior and explores the mechanism of transactive memory system in this influence effect. The authors use HLM and PROCESS macro to test our multilevel model.FindingsThe results show that academic entrepreneurs' political skills positively impact team innovation behavior, and a transactive memory system plays a mediating role between them. Team psychological safety significantly enhances the positive relationship of both academic entrepreneurs' political skills and a transactive memory system with team innovation behavior. Moreover, with enhanced perceptions of team psychological safety, academic entrepreneurs' political skills are more likely to improve team innovation behavior through the transactive memory system.Originality/valueThe study explores the influence of transactive memory system on the relationship between academic entrepreneurs' political skills and team innovation behavior, with the team cognitive perspective derived from social influence theory. This provides authors with new insights on the complex dynamics at place in the team innovation process and offers implications for how we can fruitfully manage this process.</t>
  </si>
  <si>
    <t>[Zhang, Xueyan] Henan Univ Econ &amp; Law, Sch Engn Management &amp; Real Estate, Zhengzhou, Peoples R China; [Zhou, Xiaohu; Wu, Zhouyue; Sui, Yue] Nanjing Univ Sci &amp; Technol, Sch Econ &amp; Management, Nanjing, Peoples R China; [Wang, Qiao] Guizhou Univ Finance &amp; Econ, Guiyang, Peoples R China</t>
  </si>
  <si>
    <t>Henan University of Economics &amp; Law; Nanjing University of Science &amp; Technology; Guizhou University of Finance &amp; Economics</t>
  </si>
  <si>
    <t>Wang, Q (corresponding author), Guizhou Univ Finance &amp; Econ, Guiyang, Peoples R China.</t>
  </si>
  <si>
    <t>zhangxueyan1215@163.com; njustzxh@njust.edu.cn; wangqiao90521@163.com; wuzhouyue0828@163.com; suiyue@njust.edu.cn</t>
  </si>
  <si>
    <t>National Social Science Foundation of China; Bidding Project of Government Decision Research in Henan Province of China [2022JC004]; Soft Science Project in Henan Province of China [232400411071]; Project of Science and Technology Think Tank in Henan Province of China [HNKJZK-2023-75B]</t>
  </si>
  <si>
    <t>National Social Science Foundation of China; Bidding Project of Government Decision Research in Henan Province of China; Soft Science Project in Henan Province of China; Project of Science and Technology Think Tank in Henan Province of China</t>
  </si>
  <si>
    <t>The authors wish to thank the National Social Science Foundation of China. The authors also wish to acknowledge the valuable contributions of companies and individuals who participated in the interviews and surveys.The authors wish to thank the Bidding Project of Government Decision Research in Henan Province of China (2022JC004), Soft Science Project in Henan Province of China (232400411071) and Project of Science and Technology Think Tank in Henan Province of China (HNKJZK-2023-75B). The authors also wish to acknowledge the valuable contributions of the numerous companies and individuals who participated in the interviews and surveys.</t>
  </si>
  <si>
    <t>10.1108/EJIM-08-2022-0456</t>
  </si>
  <si>
    <t>8V4NK</t>
  </si>
  <si>
    <t>WOS:000930608600001</t>
  </si>
  <si>
    <t>Yu, SX; Liu, SS; Gong, XX; Lu, WZ; Liu, CE</t>
  </si>
  <si>
    <t>Yu, Shengxian; Liu, Shanshi; Gong, Xiaoxiao; Lu, Wenzhu; Liu, Chang-e</t>
  </si>
  <si>
    <t>How does deviance tolerance enhance innovative behavior? The mediating role of cognitive crafting and the moderating role of regulatory focus</t>
  </si>
  <si>
    <t>Perceived deviance tolerance; Cognitive crafting; Innovative behavior; Promotion focus; Prevention focus</t>
  </si>
  <si>
    <t>INCLUSIVE LEADERSHIP; WORK ENGAGEMENT; JOB; MOTIVATION; GRATITUDE; PERFORMANCE; MANAGEMENT; EMPLOYEES; CONTEXT; HEALTH</t>
  </si>
  <si>
    <t>PurposeDrawing on the social information processing theory, this study aims to adopt a moderated mediation model to investigate the mediation role of cognitive crafting and the moderation role of regulatory focus in the relationship between perceived deviance tolerance and employee innovative behavior. Design/methodology/approachA questionnaire study with 181 employees from a state-owned communications technology company in China was conducted through a two-wave survey, with a one-month lagged design. The model is tested through confirmatory factor analysis, correlation analysis and PROCESS bootstrapping program in SPSS24.0 and AMOS22.0 software. FindingsThis study confirms that perceived deviance tolerance is positively related to innovative behavior, while cognitive crafting mediates the relationship between perceived deviance tolerance and innovative behavior. Furthermore, the promotion focus positively moderates the relationship between perceived deviance tolerance and cognitive crafting, and higher promotion focus enhances the mediating effect of cognitive crafting on the relationship between perceived deviance tolerance and innovative behavior. The prevention focus negatively moderates the relationship between perceived deviance tolerance and cognitive crafting, and higher prevention focus weakens the mediating effect of cognitive crafting on the relationship between perceived deviance tolerance and innovative behavior. Practical implicationsOrganizations need to establish a tolerant and inclusive management system and create a harmonious working atmosphere to provide a platform basis to inspire the innovative behavior of employees. Also, regulatory focus variables are suggested to be considered in organizational human resource management processes (e.g. recruitment and training) to improve organizational person-job fit. Originality/valueThe primary contribution of this study is to confirm that perceived deviance tolerance has a positive impact on innovation behavior and thereby providing a new perspective to understand the impact effect of perceived deviance tolerance. Another contribution the study explores the mechanisms and boundary conditions of perceived deviance tolerance on innovative behavior fills the theoretical gap of perceived deviance tolerance.</t>
  </si>
  <si>
    <t>[Yu, Shengxian; Liu, Shanshi] South China Univ Technol, Sch Business Adm, Guangzhou, Peoples R China; [Gong, Xiaoxiao] Guizhou Univ, Sch Adm, Guiyang, Peoples R China; [Lu, Wenzhu] South China Univ Technol, Sch Business Adm, Guangzhou, Peoples R China; [Liu, Chang-e] Hunan Univ Technol &amp; Business, Sch Business Adm, Changsha, Peoples R China</t>
  </si>
  <si>
    <t>South China University of Technology; Guizhou University; South China University of Technology; Hunan University of Technology &amp; Business</t>
  </si>
  <si>
    <t>Yu, SX (corresponding author), South China Univ Technol, Sch Business Adm, Guangzhou, Peoples R China.</t>
  </si>
  <si>
    <t>yushengxian1012@126.com; 516722306@qq.com; xiaoxiaogong6058@126.com; lce_vip@126.com; byg0927@126.com</t>
  </si>
  <si>
    <t>Holm-Jensen, Lea/HPD-4001-2023; Gong, Xiaoxiao/ABB-8778-2021</t>
  </si>
  <si>
    <t>Gong, Xiaoxiao/0000-0001-8279-9140</t>
  </si>
  <si>
    <t>National Natural Science Foundation of China [71832003]; Ministry of Education Humanities and Social Sciences Research Planning Fund Project [22YJA630049]; Scientific Research Project of Hunan Provincial Education Department [21A0375]; Changsha Natural Science Foundation [kq2202302]; Natural Science Foundation of Hunan Province [2022JJ30208]</t>
  </si>
  <si>
    <t>National Natural Science Foundation of China(National Natural Science Foundation of China (NSFC)); Ministry of Education Humanities and Social Sciences Research Planning Fund Project; Scientific Research Project of Hunan Provincial Education Department; Changsha Natural Science Foundation; Natural Science Foundation of Hunan Province(Natural Science Foundation of Hunan Province)</t>
  </si>
  <si>
    <t>This paper was supported by the National Natural Science Foundation of China (Grant No. 71832003); The Ministry of Education Humanities and Social Sciences Research Planning Fund Project (Grant No. 22YJA630049); The Scientific Research Project of Hunan Provincial Education Department (Grant No. 21A0375); The Changsha Natural Science Foundation (Grant No. kq2202302); The Natural Science Foundation of Hunan Province (Grant No. 2022JJ30208).</t>
  </si>
  <si>
    <t>10.1108/CMS-07-2022-0240</t>
  </si>
  <si>
    <t>8J2VL</t>
  </si>
  <si>
    <t>WOS:000922278900001</t>
  </si>
  <si>
    <t>Alarifi, G; Adam, NA</t>
  </si>
  <si>
    <t>Alarifi, Ghadah; Adam, Nawal Abdalla</t>
  </si>
  <si>
    <t>The Role of Participatory Leadership and Employee Innovative Behavior on SMEs' Endurance</t>
  </si>
  <si>
    <t>participatory leadership; employee innovative work behavior; SMEs endurance; COVID-19; SMEs survival</t>
  </si>
  <si>
    <t>PSYCHOLOGICAL EMPOWERMENT; SOCIAL-EXCHANGE; MEMBER EXCHANGE; WORK BEHAVIOR; PERFORMANCE; PERCEPTIONS; ORGANIZATIONS; CREATIVITY; MANAGEMENT; WORKPLACE</t>
  </si>
  <si>
    <t>Small and medium-sized enterprises (SMEs) have struggled to survive during the COVID-19 crisis. The factors that contributed to their survival during the period deserve to be investigated. Drawing on social-exchange theory, this study aims to explore the mediating effect of participative leadership on the relationship between employee work innovative behavior (EWIB) and the survival of SMEs after the emergence of the COVID-19 pandemic. A questionnaire survey was used to collect data from 390 managers randomly selected from 114 medium-sized enterprises in Saudi Arabia. Structural equation modeling (SEM) was used to examine the hypothesized relationships between the research variables. The results of the study indicate a significant and positive association between EWIB and participatory leadership. There is a positive and important effect of both participatory leadership and EWIB on the endurance of SMEs. Participatory leadership had a partial mediating effect on the relationship between EWIB and the SMEs' endurance during the COVID-19 pandemic period. The study sheds light on the importance of the innovative behavior of the workers and the participatory leadership for the survival and continuity of SMEs in times of crisis similar to COVID-19. The study's findings provide suggestions for SMEs' managers regarding adopting a participatory leadership style to develop employees' innovative behavior and ensure the enterprise's endurance.</t>
  </si>
  <si>
    <t>[Alarifi, Ghadah; Adam, Nawal Abdalla] Princess Nourah bint Abdulrahman Univ, Fac Business &amp; Adm, Dept Business Adm, Riyadh 84428, Saudi Arabia</t>
  </si>
  <si>
    <t>Princess Nourah bint Abdulrahman University</t>
  </si>
  <si>
    <t>Alarifi, G (corresponding author), Princess Nourah bint Abdulrahman Univ, Fac Business &amp; Adm, Dept Business Adm, Riyadh 84428, Saudi Arabia.</t>
  </si>
  <si>
    <t>gaalarifi@pnu.edu.sa</t>
  </si>
  <si>
    <t>Alarifi, Ghadah/0000-0002-5180-6288</t>
  </si>
  <si>
    <t>Princess Nourah bintAbdulrahman University, Riyadh, Saudi Arabia [PNURSP2023R 277]</t>
  </si>
  <si>
    <t>Princess Nourah bintAbdulrahman University, Riyadh, Saudi Arabia(Princess Nourah bint Abdulrahman University)</t>
  </si>
  <si>
    <t>The authors acknowledge the support of Princess Nourah bint Abdulrahman University Researchers Supporting Project number (PNURSP2023R 277), Princess Nourah bintAbdulrahman University, Riyadh, Saudi Arabia</t>
  </si>
  <si>
    <t>10.3390/su15032740</t>
  </si>
  <si>
    <t>8U0KF</t>
  </si>
  <si>
    <t>WOS:000929639700001</t>
  </si>
  <si>
    <t>Gilani, SAM; Copiaco, A; Gernal, L; Yasin, N; Nair, G; Anwar, I</t>
  </si>
  <si>
    <t>Gilani, Sayed Abdul Majid; Copiaco, Abigail; Gernal, Liza; Yasin, Naveed; Nair, Gayatri; Anwar, Imran</t>
  </si>
  <si>
    <t>Savior or Distraction for Survival: Examining the Applicability of Machine Learning for Rural Family Farms in the United Arab Emirates</t>
  </si>
  <si>
    <t>machine learning; artificial intelligence; innovation; family businesses; farms; UAE; rural</t>
  </si>
  <si>
    <t>COMMUNICATION TECHNOLOGY; BUSINESSES; INFORMATION; ADOPTION; REMOTE; SMES; STRATEGIES; MANAGEMENT; INTERNET; IMPACT</t>
  </si>
  <si>
    <t>Machine learning (ML) has seen a substantial increase in its role in improving operations for staff and customers in different industries. However, there appears to be a somewhat limited adoption of ML by farm businesses, highlighted by a review of the literature investigating innovative behaviors by rural businesses. A review of the literature identified a dearth of studies investigating ML adoption by farm businesses in rural regions of the United Arab Emirates (UAE), especially in the context of family-owned farms. Therefore, this paper aims to investigate the drivers and barriers to ML adoption by family/non-family-owned farms in rural UAE. The key research questions are (1) what are the drivers and barriers for rural UAE farms adopting ML? As well as (2) is there a difference in the drivers and barriers between family and non-family-owned farms? Twenty semi-structured interviews were conducted with farm businesses across several rural regions in the UAE. Then, through a Template Analysis (TA), drivers and barriers for rural UAE-based farm owners adopting ML were identified. Interview findings highlighted that farms could benefit from adopting ML in daily operations to save costs and improve efficiency. However, 16 of 20 farms were unaware of the benefits related to ML due to access issues (highlighted by 12 farms) in incorporating ML operations, where they felt that incorporating ML into their operations was costly (identified by 8 farms). It was also identified that non-family-owned farms were more likely to take up ML, which was attributed to local culture influencing family farms (11 farms identified culture as a barrier). This study makes a theoretical contribution by proposing the Machine Learning Adoption Framework (MLAF). In terms of practical implications, this study proposes an ML program specifically targeting the needs of farm owners in rural UAE. Policy-based implications are addressed by the findings aligning with the United Nations' Sustainability Development Goals 9 (Industry, Innovation, and Infrastructure) and 11 (Sustainable Cities and Communities).</t>
  </si>
  <si>
    <t>[Gilani, Sayed Abdul Majid; Yasin, Naveed; Nair, Gayatri] Canadian Univ Dubai, Fac Commun Arts &amp; Sci, POB 600599999, Dubai, U Arab Emirates; [Copiaco, Abigail] Univ Dubai, Dept Elect Engn, POB 600599999, Dubai, U Arab Emirates; [Gernal, Liza] Westford Univ Coll, Sch Business, POB 32223, Sharjah, U Arab Emirates; [Anwar, Imran] Chandigarh Univ, Univ Ctr Res &amp; Dev, Mohali 140413, India</t>
  </si>
  <si>
    <t>Canadian University Dubai; University of Dubai; Chandigarh University</t>
  </si>
  <si>
    <t>Gilani, SAM (corresponding author), Canadian Univ Dubai, Fac Commun Arts &amp; Sci, POB 600599999, Dubai, U Arab Emirates.</t>
  </si>
  <si>
    <t>sayed.gilani@cud.ac.ae</t>
  </si>
  <si>
    <t>Anwar, Imran/AAN-5284-2020</t>
  </si>
  <si>
    <t>Anwar, Imran/0000-0002-2104-1325; Copiaco, Abigail/0000-0003-2542-8604</t>
  </si>
  <si>
    <t>10.3390/su15043720</t>
  </si>
  <si>
    <t>9L0KK</t>
  </si>
  <si>
    <t>WOS:000941246700001</t>
  </si>
  <si>
    <t>Diaz, CG; Gonzalez-Cancelas, N; Orive, AC; Flores, FS</t>
  </si>
  <si>
    <t>Gomez Diaz, Cristina; Gonzalez-Cancelas, Nicoletta; Camarero Orive, Alberto; Soler Flores, Francisco</t>
  </si>
  <si>
    <t>Digital Governance Approach to the Spanish Port System: Proposal for a Port</t>
  </si>
  <si>
    <t>JOURNAL OF MARINE SCIENCE AND ENGINEERING</t>
  </si>
  <si>
    <t>digital port governance; Business Observation Tool (BOT); SWOT matrix</t>
  </si>
  <si>
    <t>The global changes that are currently taking place and which are driven by new forms of communication, behaviours, innovative technologies, etc., mean that ports have to be aware of or take into account these new trends. They have and must actively participate in this global change and become the leaders of the transformation. The main objective of this study was to carry out an in-depth analysis of the digital governance approach to the Spanish Port System. The Business Observation Tool (BOT) was used with a SWOT matrix to identify how the study environment is doing and to be able to identify those indicators that have the potential to form, as far as possible, a better approach to digital governance in Spain. The aim is to ensure that in the current technological era, the Spanish port sector evolves in terms of port digitalisation in order to adapt to the coming changes and continues to develop towards a more digitally interconnected future. It can be concluded that the indicators obtained from the technological field are the most predominant in the analysis carried out.</t>
  </si>
  <si>
    <t>[Gomez Diaz, Cristina] Tech Univ Madrid, Sch Civil Engn, Madrid 28040, Spain; [Gonzalez-Cancelas, Nicoletta; Camarero Orive, Alberto] Tech Univ Madrid, Dept Transport Terr &amp; Urban Planning Engn, Madrid 28040, Spain; [Soler Flores, Francisco] Int Univ La Rioja, Dept Educ, Logrono 26006, Spain</t>
  </si>
  <si>
    <t>Orive, AC (corresponding author), Tech Univ Madrid, Dept Transport Terr &amp; Urban Planning Engn, Madrid 28040, Spain.</t>
  </si>
  <si>
    <t>alberto.camarero@upm.es</t>
  </si>
  <si>
    <t>Gonzalez-Cancelas, Nicoletta/0000-0001-7167-1563</t>
  </si>
  <si>
    <t>2077-1312</t>
  </si>
  <si>
    <t>J MAR SCI ENG</t>
  </si>
  <si>
    <t>J. Mar. Sci. Eng.</t>
  </si>
  <si>
    <t>10.3390/jmse11020311</t>
  </si>
  <si>
    <t>Engineering, Marine; Engineering, Ocean; Oceanography</t>
  </si>
  <si>
    <t>Engineering; Oceanography</t>
  </si>
  <si>
    <t>9J8VD</t>
  </si>
  <si>
    <t>WOS:000940456500001</t>
  </si>
  <si>
    <t>Li, L; Bai, XW; Zhou, YY</t>
  </si>
  <si>
    <t>Li, Li; Bai, Xinwen; Zhou, Yiyong</t>
  </si>
  <si>
    <t>A Social Resources Perspective of Employee Innovative Behavior and Outcomes: A Moderated Mediation Model</t>
  </si>
  <si>
    <t>social-resources theory; employee innovation; innovative behavior; organizational sustainability; supervisor support</t>
  </si>
  <si>
    <t>PSYCHOLOGICAL SAFETY; ETHICAL LEADERSHIP; KNOWLEDGE CREATION; NETWORK STRUCTURE; SELF-EFFICACY; WEAK-TIES; WORK; STRENGTH; IMPLEMENTATION; INVOLVEMENT</t>
  </si>
  <si>
    <t>Employee innovation is becoming increasingly important when organizations strive for sustainable competitive advantage. Different from previous research on employee innovation and relational/structural perspectives of social networks, the present study is the first attempt to empirically examine how social resources per se influence employee innovation. Drawing on social-resources theory, this study proposes that social resources for innovation boost employee innovation, which is strengthened by supervisor support. By conducting a field survey on 154 employees in a high-tech company and collecting the archival data of their innovative outputs, we found that employees who can access and mobilize more social resources demonstrate more innovative behavior and subsequently achieve better outputs, such as patents and invention disclosures. Supervisor support amplifies social resources' effects on employee innovative behavior and innovative outcomes. This study contributes to the literature on social networks and employee innovation by introducing a new theoretical perspective. Practically, it also adds new insights to boost innovation performance from a social-resources approach.</t>
  </si>
  <si>
    <t>[Li, Li; Bai, Xinwen] Inst Psychol, Chinese Acad Sci, CAS Key Lab Behav Sci, Beijing 100101, Peoples R China; [Li, Li; Bai, Xinwen] Univ Chinese Acad Sci, Dept Psychol, Beijing 100049, Peoples R China; [Zhou, Yiyong] Peking Univ, Sch Psychol &amp; Cognit Sci, Beijing 100871, Peoples R China</t>
  </si>
  <si>
    <t>Chinese Academy of Sciences; Chinese Academy of Sciences; University of Chinese Academy of Sciences, CAS; Peking University</t>
  </si>
  <si>
    <t>Bai, XW (corresponding author), Inst Psychol, Chinese Acad Sci, CAS Key Lab Behav Sci, Beijing 100101, Peoples R China.;Bai, XW (corresponding author), Univ Chinese Acad Sci, Dept Psychol, Beijing 100049, Peoples R China.</t>
  </si>
  <si>
    <t>baixw@psych.ac.cn</t>
  </si>
  <si>
    <t>Bai, Xinwen/A-3827-2014</t>
  </si>
  <si>
    <t>Bai, Xinwen/0000-0002-4750-4164</t>
  </si>
  <si>
    <t>National Natural Science Foundation of China [71871214]</t>
  </si>
  <si>
    <t>This research was funded by the National Natural Science Foundation of China, grant number 71871214.</t>
  </si>
  <si>
    <t>10.3390/su15032669</t>
  </si>
  <si>
    <t>8U7EQ</t>
  </si>
  <si>
    <t>WOS:000930111000001</t>
  </si>
  <si>
    <t>Senbeto, DL</t>
  </si>
  <si>
    <t>Senbeto, Dagnachew Leta</t>
  </si>
  <si>
    <t>The Greener, the Better? Probing Green Innovation in Pilgrimage Tourism Destinations</t>
  </si>
  <si>
    <t>Africa; destination; green innovation; green innovative behavior; pilgrimage; Sustainable Development Goals</t>
  </si>
  <si>
    <t>ETHIOPIAN CHURCH FORESTS; RELIGIOUS TOURISM; CONSUMPTION; MODEL</t>
  </si>
  <si>
    <t>This study examines the importance of pilgrimage tourism to green innovation and assesses the factors that influence pilgrimage tourism efforts and implementation to ensure green innovation. The results of semi-structured, in-depth interviews with religious figures and pilgrims, supplemented by secondary sources, show that linking pilgrimage capabilities and religious organizations is critical to sustaining green innovation rather than focusing on the dispersed state of consciousness. The findings underscore the importance of a practice-based teaching approach and the necessity of spiritual adherence to green innovative behavior. It is argued that the intersection between pilgrims and religious organizations supports the achievement of the United Nations Sustainable Development Goals 2030 in less developed nations, such as in Africa. The study is helpful for destination management organizations, policymakers, and tourism stakeholders, to promote green innovation through pilgrimage tourism.</t>
  </si>
  <si>
    <t>[Senbeto, Dagnachew Leta] Hong Kong Polytech Univ, Sch Hotel &amp; Tourism Management, Hong Kong, Peoples R China; [Senbeto, Dagnachew Leta] Hong Kong Polytech Univ, Sch Hotel &amp; Tourism Management, Kowloon, Hong Kong, Peoples R China</t>
  </si>
  <si>
    <t>Hong Kong Polytechnic University; Hong Kong Polytechnic University</t>
  </si>
  <si>
    <t>Senbeto, DL (corresponding author), Hong Kong Polytech Univ, Sch Hotel &amp; Tourism Management, Kowloon, Hong Kong, Peoples R China.</t>
  </si>
  <si>
    <t>dag.senbeto@polyu.edu.hk</t>
  </si>
  <si>
    <t>Senbeto, Dagnachew/0000-0002-8743-3348</t>
  </si>
  <si>
    <t>10.1177/10963480231151674</t>
  </si>
  <si>
    <t>8F9IJ</t>
  </si>
  <si>
    <t>WOS:000919967800001</t>
  </si>
  <si>
    <t>Bani-Melhem, S; Abukhait, RM; Shamsudin, FM</t>
  </si>
  <si>
    <t>Bani-Melhem, Shaker; Abukhait, Rawan Mazen; Shamsudin, Faridahwati Mohd</t>
  </si>
  <si>
    <t>This doesn't make sense! Does illegitimate tasks affect innovative behaviour?</t>
  </si>
  <si>
    <t>Illegitimate tasks; perceived work meaninglessness; innovative behaviour; passive leadership</t>
  </si>
  <si>
    <t>PUBLIC-SERVICE MOTIVATION; PASSIVE LEADERSHIP; WORK ENGAGEMENT; MEANINGFUL WORK; ORGANIZATIONAL COMMITMENT; DESTRUCTIVE LEADERSHIP; ROLE STRESSORS; JOB DESIGN; MEDIATION; EMPLOYEES</t>
  </si>
  <si>
    <t>Illegitimate tasks in the workplace are known to associate with several attitudinal and behavioural outcomes for employees, including their well-being, motivation, and turnover intention. However, why and when these adverse impacts influence employees' innovative behaviours have not yet been examined. The current study thus empirically investigates the impact of illegitimate tasks on the innovative behaviours of employees. It also examines the mediating role of work meaninglessness and the moderating impact of passive leadership in these relationships. The research analyses a sample of 145 employee-supervisor dyads in several public sector organisations in Dubai. The results demonstrate that illegitimate tasks indirectly (via work meaninglessness) and negatively influence innovative behaviours. This influence is strengthened when the supervisor/leader is passive. Our results provide more insight into the potential negative influence of illegitimate tasks on innovative behaviours through perceived work meaninglessness and the exacerbating impact of passive leadership on these relationships.</t>
  </si>
  <si>
    <t>[Bani-Melhem, Shaker; Shamsudin, Faridahwati Mohd] Univ Sharjah, Coll Business Adm, Dept Management, Sharjah, U Arab Emirates; [Abukhait, Rawan Mazen] Ajman Univ, Coll Business Adm, Dept Management, Ajman, U Arab Emirates</t>
  </si>
  <si>
    <t>University of Sharjah; Ajman University</t>
  </si>
  <si>
    <t>Bani-Melhem, S (corresponding author), Univ Sharjah, Coll Business Adm, Dept Management, Sharjah, U Arab Emirates.</t>
  </si>
  <si>
    <t>Bani Melhem, Shaker/0000-0002-6137-7691</t>
  </si>
  <si>
    <t>10.1080/02642069.2022.2163994</t>
  </si>
  <si>
    <t>8Y8ZS</t>
  </si>
  <si>
    <t>WOS:000932981700001</t>
  </si>
  <si>
    <t>Liu, H; Xu, F; Wu, C</t>
  </si>
  <si>
    <t>Liu, He; Xu, Feng; Wu, Chong</t>
  </si>
  <si>
    <t>The role of synergistic interplay among LMX, leader creativity expectations and job characteristics in stimulating creative process engagement</t>
  </si>
  <si>
    <t>Leader-member exchange; Creative process engagement; Leader creativity expectations; Decision autonomy; Task interdependence</t>
  </si>
  <si>
    <t>MEMBER EXCHANGE LMX; INNOVATIVE WORK BEHAVIOR; TASK INTERDEPENDENCE; TRANSFORMATIONAL LEADERSHIP; EMPLOYEE CREATIVITY; SELF-EFFICACY; CITIZENSHIP BEHAVIORS; CONTEXTUAL FACTORS; MODERATING ROLE; MEDIATING ROLE</t>
  </si>
  <si>
    <t>PurposeAs a typical creative behavior, creative process engagement (CPE) has received increased attention in recent years. Leadership behaviors such as leader-member exchange (LMX) and leader creativity expectations (LCE) have been found as two key predictive factors of CPE. However, the mechanism underlying this relationship is not well understood. This study aims to clarify how LMX influences follower CPE by considering the interplay among LCE, decision autonomy and task interdependence from an interactionist perspective.Design/methodology/approachUsing a sample of 371 leader-employee dyads from eight enterprises in mainland China, this study conducts a hierarchical regression analysis to test the hypotheses for the proposed model.FindingsResults reveal that the significant two- and three-way interactions where LCE, decision autonomy and task interdependence moderate the relationship between LMX and follower CPE. The relationship between LMX and follower CPE is not significant as expected, but the moderating role of LCE is positive and significant, and the relationship is strongest when conducted with either low task interdependence or high decision autonomy.Originality/valueDifferent from previous research that only investigated one certain leadership factor' effect on employees' innovative behaviors, this study comprehensively considered the combined influence of two related but significantly different connotation leadership factors on follower CPE and found the contingency effect of LCE on the relationship between LMX and follower CPE. Furthermore, the authors found the regional effectiveness of the leadership factor. The effect of leadership factors on follower CPE varies under the influence of different job characteristics, and is conducive to enrich the interactionist view on follower CPE.</t>
  </si>
  <si>
    <t>[Liu, He; Wu, Chong] Harbin Inst Technol, Sch Management, Harbin, Peoples R China; [Xu, Feng] Harbin Inst Technol, Harbin, Peoples R China</t>
  </si>
  <si>
    <t>Xu, F (corresponding author), Harbin Inst Technol, Harbin, Peoples R China.</t>
  </si>
  <si>
    <t>liuhe0823@hit.edu.cn; hitxufeng@hit.edu.cn; wuchong@hit.edu.cn</t>
  </si>
  <si>
    <t>Liu, He/0000-0002-1047-3966</t>
  </si>
  <si>
    <t>National Natural Science Foundation of China; Philosophy and Social Science Program of Heilongjiang; Postdoctoral Sustentation Fund of Heilongjiang Human Resources and Social Security Bureau; Scientific Research Foundation for Returned Scholars; Fundamental Research Funds for the Central Universities;  [72102056];  [21EDE318];  [LBH-Z19148];  [LC2018031];  [HIT.HSS.202125]</t>
  </si>
  <si>
    <t xml:space="preserve">National Natural Science Foundation of China(National Natural Science Foundation of China (NSFC)); Philosophy and Social Science Program of Heilongjiang; Postdoctoral Sustentation Fund of Heilongjiang Human Resources and Social Security Bureau; Scientific Research Foundation for Returned Scholars(Scientific Research Foundation for the Returned Overseas Chinese Scholars); Fundamental Research Funds for the Central Universities(Fundamental Research Funds for the Central Universities); ; ; ; ; </t>
  </si>
  <si>
    <t>Funding: This study was supported by the National Natural Science Foundation of China (grant number: 72102056), Philosophy and Social Science Program of Heilongjiang (grant number: 21EDE318), Postdoctoral Sustentation Fund of Heilongjiang Human Resources and Social Security Bureau (grant number: LBH-Z19148), Scientific Research Foundation for Returned Scholars (grant number: LC2018031) and the Fundamental Research Funds for the Central Universities (grant number: HIT.HSS.202125). The authors would like to thank the Editor-in-Chief Brandon Randolph-Seng and the anonymous reviewers for their insightful and constructive comments, which significantly improved the quality of the paper.</t>
  </si>
  <si>
    <t>10.1108/MD-08-2021-1113</t>
  </si>
  <si>
    <t>9Y2EE</t>
  </si>
  <si>
    <t>WOS:000911593800001</t>
  </si>
  <si>
    <t>Song, D; Bai, Y; Wu, HA; Wang, XY</t>
  </si>
  <si>
    <t>Song, Dian; Bai, Yan; Wu, Hainan; Wang, Xiaoyuan</t>
  </si>
  <si>
    <t>How does the perceived green human resource management impact employee's green innovative behavior? -From the perspective of theory of planned behavior</t>
  </si>
  <si>
    <t>theory of planned behavior; perceived green human resource management; green innovative behavior; system identity; green supply chain management</t>
  </si>
  <si>
    <t>SUPPLY CHAIN MANAGEMENT; ORGANIZATIONAL IDENTITY; PERFORMANCE; CONSTRUCT; EFFICACY</t>
  </si>
  <si>
    <t>Employees' green innovative behavior encouraged by enterprises plays an important role in the enterprise sustainable development. The study explores the impact of perceived green human resource management on employees' innovative behavior. Drawing upon the planned behavior theory, this study examines how perceived green human resource management impact employees' green innovation behavior. Through three-stage questionnaire survey, 207 samples are obtained and hierarchical regression is employed to test the hypothesis., Data analysis results show that perceived green human resource management has a directly positive effect on employees' green innovative behavior. Green behavior intention, self-efficacy of environmental protection behavior, and identity with the company's green environmental protection system are the mediators between perceived green human resource management and employees' green innovative behavior. Meanwhile, the results demonstrate that there is a chain mediating relationship among these variables. In addition, green supply chain management moderates the relationship between the identity of a green environmental protection system and employees' green innovative behavior. These conclusions transcend the macro perspective and open the black box between green human resource management and enterprise performance. Enterprise should take a holistic view to play the role of green human resource management and supply chain management in the implementation of environmental strategy.</t>
  </si>
  <si>
    <t>[Song, Dian; Bai, Yan] Soochow Univ, Sch Polit &amp; Publ Adm, Suzhou, Peoples R China; [Wu, Hainan] Anhui Univ Finance &amp; Econ, Sch Finance &amp; Publ Adm, Bengbu, Peoples R China; [Wang, Xiaoyuan] Soochow Univ, Business Sch, Suzhou, Peoples R China</t>
  </si>
  <si>
    <t>Soochow University - China; Anhui University of Finance &amp; Economics; Soochow University - China</t>
  </si>
  <si>
    <t>Wu, HA (corresponding author), Anhui Univ Finance &amp; Econ, Sch Finance &amp; Publ Adm, Bengbu, Peoples R China.</t>
  </si>
  <si>
    <t>wuhainan@aufe.edu.cn</t>
  </si>
  <si>
    <t>JAN 16</t>
  </si>
  <si>
    <t>10.3389/fpsyg.2022.1106494</t>
  </si>
  <si>
    <t>8I3MW</t>
  </si>
  <si>
    <t>WOS:000921630200001</t>
  </si>
  <si>
    <t>Liu, LC; Wan, ZT; Wang, L</t>
  </si>
  <si>
    <t>Liu, Liangcan; Wan, Zhitao; Wang, Li</t>
  </si>
  <si>
    <t>Cross-level research on the impact of self-serving leadership on employee innovation behavior: The roles of workplace anxiety and team psychological safety</t>
  </si>
  <si>
    <t>self-serving leadership; team psychological safety; workplace anxiety; employee innovation behavior; cross-level</t>
  </si>
  <si>
    <t>ABUSIVE SUPERVISION; TRANSFORMATIONAL LEADERSHIP; EMPOWERING LEADERSHIP; CITIZENSHIP BEHAVIORS; INCLUSIVE LEADERSHIP; MEDIATING ROLES; WORK ENGAGEMENT; MODERATING ROLE; METHOD BIAS; CREATIVITY</t>
  </si>
  <si>
    <t>Employee innovative behavior is significant in maintaining an organization's sustainable development. This study explored the impact of team psychological safety and workplace anxiety on the association between self-serving leadership and employee innovation behavior by synthesizing social information processing theory, conservation of resources theory, and ego depletion theory. We conducted a hierarchical linear model analysis using three-wave paired data collected from 86 leaders and 392 employees. The research results showed that self-serving leadership is negatively correlated with employee innovation behavior. Meanwhile, team psychological safety and workplace anxiety mediated this relationship. In addition, team psychological safety mitigates the impact of workplace anxiety on employee innovation behavior and the indirect impact of self-serving leadership on employee innovation behavior via workplace anxiety. These findings have a number of theoretical and practical implications in the domains of self-serving leadership and employee innovation behavior.</t>
  </si>
  <si>
    <t>[Liu, Liangcan; Wan, Zhitao] Guizhou Univ Finance &amp; Econ, Sch Business Adm, Guiyang, Peoples R China; [Wang, Li] Guizhou Univ Commerce, Sch Econ &amp; Finance, Guiyang, Peoples R China</t>
  </si>
  <si>
    <t>Guizhou University of Finance &amp; Economics; Guizhou University of Commerce</t>
  </si>
  <si>
    <t>Wan, ZT (corresponding author), Guizhou Univ Finance &amp; Econ, Sch Business Adm, Guiyang, Peoples R China.</t>
  </si>
  <si>
    <t>wanmingxin22@163.com</t>
  </si>
  <si>
    <t>National Social Science Foundation of China [21XJL003]</t>
  </si>
  <si>
    <t>Funding This project was funded by the National Social Science Foundation of China (No. 21XJL003).</t>
  </si>
  <si>
    <t>10.3389/fpsyg.2022.1069022</t>
  </si>
  <si>
    <t>8D7OO</t>
  </si>
  <si>
    <t>WOS:000918478100001</t>
  </si>
  <si>
    <t>Baran, M; Hazenberg, R; Iwinska, K; Kasianiuk, K; Perifanos, I; Da Silva, JMF; Vasconcelos, C</t>
  </si>
  <si>
    <t>Baran, Malgorzata; Hazenberg, Richard; Iwinska, Katarzyna; Kasianiuk, Krzysztof; Perifanos, Ioannis; Da Silva, Joana Maria Ferreira; Vasconcelos, Clara</t>
  </si>
  <si>
    <t>Between innovative and habitual behavior. Evidence from a study on sustainability in Greece, Poland, Portugal, Sweden, and the United Kingdom</t>
  </si>
  <si>
    <t>FRONTIERS IN ENERGY RESEARCH</t>
  </si>
  <si>
    <t>sustainability; environmental action; innovative behavior; environmental awareness; energy</t>
  </si>
  <si>
    <t>VALUES; POWER; MODEL</t>
  </si>
  <si>
    <t>In this article, we explore individuals' pro-environmental innovative behavior (PEIB) as one of the conditions for developing more sustainable cities. We assume that energy-efficient sustainable cities are those where people behave sustainably. Hence, studying the conditions of human behavior is essential for understanding the transformation of cities. We focused on individual antecedents of pro-environmental innovative behavior with a survey conducted in five European countries and a sample of 2502 participants. Descriptive and correlation statistical analyses confirm a moderate relationship between environmental awareness and environmental action. Based on this rudimentary analysis, we suggest further research on city energy transformation, including multiple aspects of individual behavior.</t>
  </si>
  <si>
    <t>[Baran, Malgorzata] Coll Civitas, Dept Management, Warsaw, Poland; [Hazenberg, Richard] Univ Northampton, Inst Social Innovat &amp; Impact, Northampton, England; [Iwinska, Katarzyna] Coll Civitas, Edmund Wnuk Lipinski Inst Sociol, Warsaw, Poland; [Kasianiuk, Krzysztof] Inst Polit Sci, Inst Polit Sci &amp; Int Relat Dept Management, HIVE Syst Collect Design Lab, Coll Civitas Warsaw, Warsaw, Poland; [Perifanos, Ioannis] Agr Univ Athens, Athens, Greece; [Da Silva, Joana Maria Ferreira] Univ Porto, Fac Sci FCUP, Interdisciplinary Ctr Marine &amp; Environm Res CIIMAR, Porto, Portugal; [Vasconcelos, Clara] Univ Porto, Fac Sci FCUP, Interdisciplinary Ctr Marine &amp; Environm Res CIIMAR, Sci Teaching Unit UEC, Porto, Portugal; [Vasconcelos, Clara] Univ Porto, Fac Sci FCUP, Dept Geosci Environm &amp; Spatial Planning DGAOT, Porto, Portugal</t>
  </si>
  <si>
    <t>University of Northampton; Agricultural University of Athens; Universidade do Porto; Universidade do Porto; Universidade do Porto</t>
  </si>
  <si>
    <t>Kasianiuk, K (corresponding author), Inst Polit Sci, Inst Polit Sci &amp; Int Relat Dept Management, HIVE Syst Collect Design Lab, Coll Civitas Warsaw, Warsaw, Poland.</t>
  </si>
  <si>
    <t>krzysztof.kasianiuk@civitas.edu.pl</t>
  </si>
  <si>
    <t>; Vasconcelos, Clara/HCI-4238-2022</t>
  </si>
  <si>
    <t>Hazenberg, Richard/0000-0002-2178-9157; Iwinska, Katarzyna/0000-0002-7337-915X; Vasconcelos, Clara/0000-0002-4524-9788</t>
  </si>
  <si>
    <t>Polish National Agency for Academic Exchange (NAWA) [PPI/APM/2019/1/00096/DEC/01]</t>
  </si>
  <si>
    <t>Polish National Agency for Academic Exchange (NAWA)(Polish National Agency for Academic Exchange (NAWA))</t>
  </si>
  <si>
    <t>This research has been conducted within the PASSION-Partnership for Sustainable development and Social Innovation project, funded by Polish National Agency for Academic Exchange (NAWA). Grant Number: PPI/APM/2019/1/00096/DEC/01.</t>
  </si>
  <si>
    <t>2296-598X</t>
  </si>
  <si>
    <t>FRONT ENERGY RES</t>
  </si>
  <si>
    <t>Front. Energy Res.</t>
  </si>
  <si>
    <t>JAN 9</t>
  </si>
  <si>
    <t>10.3389/fenrg.2022.1030418</t>
  </si>
  <si>
    <t>Energy &amp; Fuels</t>
  </si>
  <si>
    <t>8I0YQ</t>
  </si>
  <si>
    <t>WOS:000921454800001</t>
  </si>
  <si>
    <t>Aguirre, FB; Malagon, SYM; Tellez, LCC</t>
  </si>
  <si>
    <t>Aguirre, Fernando Barrios; Malagon, Sandra Yaneth Mora; Tellez, Luis Carlos Castillo</t>
  </si>
  <si>
    <t>Innovation and Informality: An Analysis With the Colombian Manufacturing Industry 2007 to 2016</t>
  </si>
  <si>
    <t>informality; innovation; manufacturing industry</t>
  </si>
  <si>
    <t>The purpose of the research is to analyze the effects caused by the competition of companies with labor informality on the innovative behavior of companies with labor formality that compete in the same industry. This research references and analyzes the implementation of law 1429 of 2010, which stimulates the formalization of labor and informal firms. The results estimated by fixed effects exhibit a positive and significant effect of the competition of companies with labor informality in the total innovation of formal companies. On the other hand, once the formalization and job creation policy was implemented, there was a decrease in total innovations of formal companies. The empirical analysis also highlights a different impact of informal competition depending on whether the innovation is in process or product. In particular, this research finds that process innovations are more intensely affected by labor informality than product innovations. The quantitative strategy relies on a panel data econometric model between 2007 and 2016 using the Survey of Innovation and Technological Development (EDIT) and the Great Integrated Household Survey (GEIH) provided by the National Administrative Department of Statistics (DANE).</t>
  </si>
  <si>
    <t>[Aguirre, Fernando Barrios; Malagon, Sandra Yaneth Mora] Andes Univ, Bogota, Colombia; [Aguirre, Fernando Barrios] Fdn Univ Area Andina, Bogota, Colombia; [Tellez, Luis Carlos Castillo] Istanbul Univ, Istanbul, Turkiye</t>
  </si>
  <si>
    <t>Universidad de los Andes (Colombia); Fundacion Universitaria del Area Andina; Istanbul University</t>
  </si>
  <si>
    <t>Aguirre, FB (corresponding author), Fdn Univ Area Andina, Sch Management Business &amp; Econ Sci, 135 St 53-76, Bogota 111156, Colombia.</t>
  </si>
  <si>
    <t>fbarrios4@areandina.edu.co</t>
  </si>
  <si>
    <t>Barrios Aguirre, Fernando/HMP-6512-2023</t>
  </si>
  <si>
    <t>Barrios Aguirre, Fernando/0000-0001-9577-3329</t>
  </si>
  <si>
    <t>Fundacion Universitaria del Area Andina, Colombia</t>
  </si>
  <si>
    <t>The author(s) disclosed receipt of the following financial support for the research, authorship, and/or publication of this article: This research received no external funding, and the APC was funded by Fundacion Universitaria del Area Andina, Colombia.</t>
  </si>
  <si>
    <t>10.1177/21582440231155346</t>
  </si>
  <si>
    <t>9Y6RY</t>
  </si>
  <si>
    <t>WOS:000950585400001</t>
  </si>
  <si>
    <t>Aparisi-Torrijo, S; Ribes-Giner, G; Chaves-Vargas, JC</t>
  </si>
  <si>
    <t>Aparisi-Torrijo, Sofia; Ribes-Giner, Gabriela; Chaves-Vargas, Joana-Carolina</t>
  </si>
  <si>
    <t>HOW LEADERSHIP FACTORS IMPACT DIFFERENT ENTREPRENEURSHIP PHASES: AN ANALYSIS WITH PLS-SEM</t>
  </si>
  <si>
    <t>entrepreneurial leadership; entrepreneurial leadership factors; PLS SEM; entrepre-neurship; new firms? growth; entrepreneurship life cycle</t>
  </si>
  <si>
    <t>PARTIAL LEAST-SQUARES; VARIABLES</t>
  </si>
  <si>
    <t>This research work empirically contributes to the entrepreneurial leadership field by ana-lysing how certain combinations of leadership factors impact entrepreneurship in both its launch and consolidation phases. Two relational models are proposed to study whether entrepreneurial leadership factors are positively related to different entrepreneurial activity process stages. The first analyses the effect on the venture's launch and start-up phases, and the second examines the impact on the entrepreneurship consolidation stage. Utilising data from 50 countries of the Global Entre-preneurship Monitor, a quantitative partial least squares structural equation method was employed to validate the proposed models. The main conclusion was that the use of some leadership capabili-ties has an unequal influence on entrepreneurship during its life cycle. This study contributes to the field in two ways: we firstly show that leadership factors are contextual, and their contribution depends on the stage of the entrepreneurial process in which the activity is located; secondly, this research reveals that the development of leadership factors, such as self-efficacy, networking, vision and innovative behaviour, positively condition the start-up and launch phases of entrepreneurship. The outcomes of this research demonstrate significant theoretical and empirical implications by bridging the existing gaps in the niche of entrepreneurial leadership factors.</t>
  </si>
  <si>
    <t>[Aparisi-Torrijo, Sofia; Ribes-Giner, Gabriela; Chaves-Vargas, Joana-Carolina] Univ Politecn Valencia, Valencia, Spain</t>
  </si>
  <si>
    <t>Aparisi-Torrijo, S (corresponding author), Univ Politecn Valencia, Valencia, Spain.</t>
  </si>
  <si>
    <t>soaptor@omp.upv.es</t>
  </si>
  <si>
    <t>Ribes-Giner, Gabriela/0000-0001-6843-6968; Aparisi-Torrijo, Sofia/0000-0003-4518-2461</t>
  </si>
  <si>
    <t>2029-4433</t>
  </si>
  <si>
    <t>10.3846/jbem.2023.18599</t>
  </si>
  <si>
    <t>9V8JR</t>
  </si>
  <si>
    <t>WOS:000948633500001</t>
  </si>
  <si>
    <t>Lecic, MS; Milic, B; Visnjic, R; Culibrk, J</t>
  </si>
  <si>
    <t>Lecic, Milan S.; Milic, Bojana; Visnjic, Ruzica; Culibrk, Jelena</t>
  </si>
  <si>
    <t>Leadership, Innovative Behavior and the Case of Innovative Climate-When the Mediator Becomes the Mediated</t>
  </si>
  <si>
    <t>leadership; LMX; innovative climate; innovative behavior; internal trust; organizational commitment</t>
  </si>
  <si>
    <t>RESEARCH-AND-DEVELOPMENT; ORGANIZATIONAL COMMITMENT; TRANSFORMATIONAL LEADERSHIP; CREATIVE CLIMATE; TRUST; PERFORMANCE; CULTURE; DETERMINANTS; EMPOWERMENT; MODEL</t>
  </si>
  <si>
    <t>This study investigates how leadership, more precisely leader-member exchange (LMX), affects innovative behavior through an innovative climate as well as, indirectly, through organizational commitment and internal trust. A total of 1114 samples were collected from employees working in firms in Slovenia and Serbia. The quantitative data and the proposed model were analyzed with the partial least squares-SEM technique. The results indicate that an innovative climate is a mediator in the relationship between leadership and innovative behavior, and this relationship is also further mediated by internal trust and organizational commitment. These results reveal serial mediation or the complex role of an innovative climate in the process of influencing innovative work behavior. Implications for theory and recommendations for practice are discussed.</t>
  </si>
  <si>
    <t>[Lecic, Milan S.; Milic, Bojana; Visnjic, Ruzica; Culibrk, Jelena] Univ Novi Sad, Fac Tech Sci, Novi Sad 21000, Serbia</t>
  </si>
  <si>
    <t>Milic, B; Culibrk, J (corresponding author), Univ Novi Sad, Fac Tech Sci, Novi Sad 21000, Serbia.</t>
  </si>
  <si>
    <t>bojana.milic@uns.ac.rs; jculibrk@uns.ac.rs</t>
  </si>
  <si>
    <t>Milić, Bojana/S-2221-2019</t>
  </si>
  <si>
    <t>Milić, Bojana/0000-0001-6327-6424</t>
  </si>
  <si>
    <t>10.3390/bs13010040</t>
  </si>
  <si>
    <t>7X6QS</t>
  </si>
  <si>
    <t>WOS:000914325200001</t>
  </si>
  <si>
    <t>Li, H; Huang, SH; Jiang, JY</t>
  </si>
  <si>
    <t>Li, Hu; Huang, Sihong; Jiang, Jane Yan</t>
  </si>
  <si>
    <t>Comparing the effects of interpersonal and intergroup relative leader-member exchange in nested workgroups</t>
  </si>
  <si>
    <t>interpersonal relative leader-member exchange; intergroup relative leader-member exchange; task performance; innovative behavior; temporary employees; permanent employees; internal workers</t>
  </si>
  <si>
    <t>DIFFERENTIATION; PERSPECTIVE; BEHAVIOR; LMX</t>
  </si>
  <si>
    <t>In this study we explored the influence on employees of interpersonal relative leader-member exchange and intergroup relative leader-member exchange in regard to work behaviors with different levels of risk and uncertainty (i.e., task performance vs. innovative behavior), depending on subgroup uncertainty. We examined our theoretical model by surveying 309 employees in 58 member subgroups. Results showed that both interpersonal and intergroup relative leader-member exchange were positively associated with internal and temporary workers' task performance, interpersonal relative leader-member exchange was positively associated with the innovative behavior of internal workers but not temporary workers, and intergroup relative leader-member exchange was positively related to temporary workers' innovative behavior but negatively linked to internal workers' innovative behavior. Our findings suggest that the effects of interpersonal and intergroup relative leader-member exchange on members' behaviors may vary with the subgroup identities.</t>
  </si>
  <si>
    <t>[Li, Hu; Jiang, Jane Yan] Nanjing Univ, Business Sch, 16 Jinyin St, Nanjing, Jiangsu, Peoples R China; [Li, Hu; Jiang, Jane Yan] Nanjing Univ, Dept Business Adm, Nanjing, Peoples R China; [Huang, Sihong] Hong Kong Baptist Univ, Dept Management, Hong Kong, Peoples R China</t>
  </si>
  <si>
    <t>Nanjing University; Nanjing University; Hong Kong Baptist University</t>
  </si>
  <si>
    <t>Jiang, JY (corresponding author), Nanjing Univ, Business Sch, 16 Jinyin St, Nanjing, Jiangsu, Peoples R China.</t>
  </si>
  <si>
    <t>jiangyan@nju.edu.cn</t>
  </si>
  <si>
    <t>Jiang, Jane Yi/IAQ-7059-2023</t>
  </si>
  <si>
    <t>e11978</t>
  </si>
  <si>
    <t>10.2224/sbp.11978</t>
  </si>
  <si>
    <t>7T2GS</t>
  </si>
  <si>
    <t>WOS:000911265600003</t>
  </si>
  <si>
    <t>Li, M; Xiao, WH</t>
  </si>
  <si>
    <t>Li, Min; Xiao, Weihao</t>
  </si>
  <si>
    <t>Research on the Effect of E-Leadership on Employee Innovation Behavior in the Context of Self and Relationship</t>
  </si>
  <si>
    <t>JOURNAL OF ORGANIZATIONAL AND END USER COMPUTING</t>
  </si>
  <si>
    <t>Affective Commitment to Leadership; Psychological Capital; E-Leadership; Employee Innovative Behavior; Power Distance</t>
  </si>
  <si>
    <t>The influence of leaders on employees' innovative behavior is a new problem. Based on the relationship culture and digital technology situation in China, with reference to information processing and other theories, this study constructs a double intermediary model of the impact of e-leadership on employee innovation behavior from the perspective of self and relationship, and introduces employee power distance as the boundary condition. The results show that psychological capital and affective commitment to leadership play a mediating effect between e-leadership and employee innovation behavior, and employee power distance weakens the positive impact of e-leadership on employee innovation behavior through psychological capital and emotional commitment. The research conclusion of this paper provides theoretical basis and practical enlightenment for enterprise leaders to promote employee innovation behavior by improving their e-leadership level and understanding the relationship between themselves and employees.</t>
  </si>
  <si>
    <t>[Li, Min; Xiao, Weihao] Jiangxi Univ Finance &amp; Econ, Nanchang, Peoples R China</t>
  </si>
  <si>
    <t>Jiangxi University of Finance &amp; Economics</t>
  </si>
  <si>
    <t>Xiao, WH (corresponding author), Jiangxi Univ Finance &amp; Econ, Nanchang, Peoples R China.</t>
  </si>
  <si>
    <t>IGI GLOBAL</t>
  </si>
  <si>
    <t>HERSHEY</t>
  </si>
  <si>
    <t>701 E CHOCOLATE AVE, STE 200, HERSHEY, PA 17033-1240 USA</t>
  </si>
  <si>
    <t>1546-2234</t>
  </si>
  <si>
    <t>1546-5012</t>
  </si>
  <si>
    <t>J ORGAN END USER COM</t>
  </si>
  <si>
    <t>J. Organ. End User Comput.</t>
  </si>
  <si>
    <t>10.4018/JOEUC.317090</t>
  </si>
  <si>
    <t>8Q3HO</t>
  </si>
  <si>
    <t>WOS:000927101900002</t>
  </si>
  <si>
    <t>Murrieta-Oquendo, ME; De la Vega, IM</t>
  </si>
  <si>
    <t>Murrieta-Oquendo, Maria Elena; De la Vega, Ivan Manuel</t>
  </si>
  <si>
    <t>State and Dynamics of the Innovative Performance of Medium and Large Firms in the Manufacturing Sector in Emerging Economies: The Cases of Peru and Ecuador</t>
  </si>
  <si>
    <t>innovation; economic performance; large firms; medium firms; firm age; emerging countries</t>
  </si>
  <si>
    <t>COLLABORATION; TECHNOLOGY; NETWORKS; MATURITY; PARTNERS; CULTURE; MODEL; NPD; AGE</t>
  </si>
  <si>
    <t>The purpose of this study was to analyze the current state and dynamics of the innovative behavior of medium and large manufacturing firms in Peru and Ecuador. It has been shown that the factors that enhance or enable the possibilities of innovation in organizations can be internal or external. This study took a quantitative approach, and regression models were applied to samples composed of firms. The relationships between external factors and business resources following the implementation of innovation were analyzed, as was the impact that these factors had on sales performance, considering the effect of the size and age of the firms. The innovations most implemented in firms in Ecuador were processes, and in Peru, organizational innovations were predominant. There were no external factors or business resources statistically related to these types of innovation for each country. For Peruvian firms, the age of the firm presented an inverse relationship to its performance. The study confirms the results of other studies conducted in Peru, and for Ecuador, these findings represent one of the first contributions on this topic. This study contributes to the discussion of the effects, in emerging Latin American countries, of a firm's age on its ability to innovate.</t>
  </si>
  <si>
    <t>[Murrieta-Oquendo, Maria Elena; De la Vega, Ivan Manuel] CENTRUM Catolica Grad Business Sch, Lima, Peru; [Murrieta-Oquendo, Maria Elena; De la Vega, Ivan Manuel] Pontificia Univ Catolica Peru, Lima, Peru; [Murrieta-Oquendo, Maria Elena] ESPOL Polytech Univ, Escuela Super Politecn Litoral, Fac Ingn Mecan &amp; Ciencias Prod, ESPOL, Campus Gustavo Galindo Km 30 5 Via Perimetral,POB, Guayaquil, Ecuador</t>
  </si>
  <si>
    <t>Pontificia Universidad Catolica del Peru; Escuela Superior Politecnica del Litoral</t>
  </si>
  <si>
    <t>Murrieta-Oquendo, ME (corresponding author), CENTRUM Catolica Grad Business Sch, Lima, Peru.;Murrieta-Oquendo, ME (corresponding author), Pontificia Univ Catolica Peru, Lima, Peru.;Murrieta-Oquendo, ME (corresponding author), ESPOL Polytech Univ, Escuela Super Politecn Litoral, Fac Ingn Mecan &amp; Ciencias Prod, ESPOL, Campus Gustavo Galindo Km 30 5 Via Perimetral,POB, Guayaquil, Ecuador.</t>
  </si>
  <si>
    <t>mmurriet@espol.edu.ec</t>
  </si>
  <si>
    <t>De la Vega Hernandez, Ivan Manuel/0000-0002-8554-0510</t>
  </si>
  <si>
    <t>10.3390/su15010670</t>
  </si>
  <si>
    <t>7P3XF</t>
  </si>
  <si>
    <t>WOS:000908641800001</t>
  </si>
  <si>
    <t>Prieto, L; Talukder, MF</t>
  </si>
  <si>
    <t>Prieto, Leonel; Talukder, Md Farid</t>
  </si>
  <si>
    <t>Resilient Agility: A Necessary Condition for Employee and Organizational Sustainability</t>
  </si>
  <si>
    <t>resilient agility; creativity; supervisors' safety; job satisfaction; workplace belongingness; willingness to embrace organizational change; organizational restructuring; relational-based constructs</t>
  </si>
  <si>
    <t>MEDIATING ROLE; JOB-SATISFACTION; PSYCHOLOGICAL SAFETY; INCLUSIVE LEADERSHIP; INNOVATIVE BEHAVIORS; SUPERVISOR SUPPORT; TASK CONFLICT; CREATIVITY; WORKPLACE; WORK</t>
  </si>
  <si>
    <t>Resilient agility is a novel concept that refers to the combined resilience-agility capability that allows an actor to successfully perform in rapidly changing contexts. Change dynamics, at all levels, increase uncertainties and responsibilities for employees augmenting the need to strengthen the self via resilient agility. This study examines employee resilient agility as anteceded by supervisors' safety, coworkers' safety, workplace belongingness, job satisfaction, willingness to embrace organizational change, and creativity. Respondents are from multiple organizations, industries, and regions of the United States. Analyses were carried out utilizing PLS-SEM software. Findings indicate that supervisors' safety, workplace belongingness, willingness to embrace organizational change, and creativity have substantial effects on explaining and understanding employees' resilient agility. In contrast, the effects of coworkers' safety were insignificant. This study (a) contributes to the nomological network of resilient agility by examining a set of its key antecedents and (b) suggests that drastic organizational restructuring (e.g., significant changes in the relative proportion of remote working during the COVID-19 pandemic) may negatively impact both relational-based constructs in organizations and employees' ability to rapidly and effectively respond to change. Theoretical and practical implications as well as limitations and future research are discussed.</t>
  </si>
  <si>
    <t>[Prieto, Leonel; Talukder, Md Farid] Texas A&amp;M Int Univ, A R Sanchez Jr Sch Business, Laredo, TX 78041 USA</t>
  </si>
  <si>
    <t>Texas A&amp;M University System; Texas A&amp;M International University</t>
  </si>
  <si>
    <t>Prieto, L (corresponding author), Texas A&amp;M Int Univ, A R Sanchez Jr Sch Business, Laredo, TX 78041 USA.</t>
  </si>
  <si>
    <t>lprieto@tamiu.edu</t>
  </si>
  <si>
    <t>10.3390/su15021552</t>
  </si>
  <si>
    <t>8Q4NB</t>
  </si>
  <si>
    <t>WOS:000927184700001</t>
  </si>
  <si>
    <t>Velu, SR</t>
  </si>
  <si>
    <t>Velu, Shubashini Rathina</t>
  </si>
  <si>
    <t>Design Thinking Approach for Increasing Innovative Action in Universities: ICT's Mediating Effect</t>
  </si>
  <si>
    <t>design thinking; innovative learning experiences; designer's sensibility; problem-solving; innovative action; information and communication technology (ICT)</t>
  </si>
  <si>
    <t>Introduction: The spread of the COVID-19 virus and the supremacy of digital technologies have amplified global market volatility in all industries. This circumstance will have a lasting impact on students' employability, so the education sector, particularly universities, should refocus its learning objectives. Design thinking (DT) is a collaborative and resourceful approach to problem-solving in which the demands of end-users and content creators take precedence. Objectives: In this study, the author seeks to comprehend how design thinking procedures in higher learning institutions inspire innovative behavior among undergraduate students. In light of the extensive literature regarding the adoption of Information and Communication Technology (ICT) in terms of innovative actions, this study integrates two theoretical foundations (i.e., activity theory to mediate the nature of human activity and how its internalization affects mental development) and constructive learning theory to enhance students' innovative action. Methods: The data for this quantitative investigation were acquired using an online survey. A total of 300 questionnaires were delivered to undergraduate university students in the eastern part of Saudi Arabia, of whom 208 responded. SmartPLS was utilized to analyze the data. The methodology proposed in this study aims to cultivate in university undergraduate students the sensibility and techniques of designers that are compatible with technological feasible innovative action. Results: This study addresses technology-assisted education in the context of Saudi Arabia. Students' innovative learning experiences are characterized by autonomy and are supported by design thinking processes mediated by information and communication technology (ICT). On the basis of the findings of this study, the role of empathy and prototype in the DT process appears to be crucial to innovativeness, whereas the roles of define and ideate are detrimental to innovativeness. It has also been determined that ICT indirectly promotes innovative student behavior. Conclusions: Students valued the incorporation of design thinking and ICT in the creation of inventive action to foster creativity in problem-solving skills throughout the digital acceleration. To evaluate the transferability of these findings, future study might be undertaken in other education sectors, such as schools, vocational institutes, and the industry itself. In addition, future data should be analyzed through in-depth interviews or root cause analysis from the perspective of educators and instructional designers.</t>
  </si>
  <si>
    <t>[Velu, Shubashini Rathina] Prince Mohammad Bin Fahd Univ, MIS Dept, Khobar 34754, Saudi Arabia</t>
  </si>
  <si>
    <t>Prince Mohammad Bin Fahd University</t>
  </si>
  <si>
    <t>Velu, SR (corresponding author), Prince Mohammad Bin Fahd Univ, MIS Dept, Khobar 34754, Saudi Arabia.</t>
  </si>
  <si>
    <t>svelu@pmu.edu.sa</t>
  </si>
  <si>
    <t>Velu, Shubashini Rathina/HHS-2441-2022</t>
  </si>
  <si>
    <t>Velu, Shubashini Rathina/0000-0002-7124-2010</t>
  </si>
  <si>
    <t>10.3390/su15010024</t>
  </si>
  <si>
    <t>7P9JM</t>
  </si>
  <si>
    <t>WOS:000909013800001</t>
  </si>
  <si>
    <t>Yepes, V; Lopez, S</t>
  </si>
  <si>
    <t>Yepes, Victor; Lopez, Salvador</t>
  </si>
  <si>
    <t>The Knowledge Sharing Capability in Innovative Behavior: A SEM Approach from Graduate Students' Insights</t>
  </si>
  <si>
    <t>knowledge sharing capability; knowledge sharing facilitators; innovative behavior; innovation climate; graduate students; SEM</t>
  </si>
  <si>
    <t>TRANSFORMATIONAL LEADERSHIP; ORGANIZATIONAL-CLIMATE; MODERATING ROLE; SELF-EFFICACY; PLS-SEM; WORK; IMPACT; CONSTRUCTION; INFORMATION; RECIPROCITY</t>
  </si>
  <si>
    <t>The capability to share knowledge is considered one of the most relevant components of knowledge management. Moreover, there is little empirical evidence indicating how future human resources in the construction industry value the richness of knowledge sharing and the richness of their innovative behavior. The purposes of this study are (1) to determine which facilitators, from the point of view of master's degree students related to engineering and construction management in Spain, most substantially influence knowledge sharing capability; (2) to test whether knowledge sharing capability (KS) positively influences innovative behavior (IB); and (3) demonstrating whether organizational innovation climate (OIC) is a factor that moderates the relationship between KS and IB. In this research, we have proposed a theoretical model and empirically tested the model in a sample of 253 master's degree students in public universities in Spain. The findings support the proposed model, and the structural equation modeling (SEM) evaluation suggests that, among all the facilitators of KS, information and communication technologies (ICT) stand out among the other facilitators and have a more significant influence on KS. Furthermore, the research found a direct correlation between KS and IB and causal links between OIC and IB.</t>
  </si>
  <si>
    <t>[Yepes, Victor; Lopez, Salvador] Univ Politecn Valencia, Inst Concrete Sci &amp; Technol ICITECH, Valencia 46022, Spain</t>
  </si>
  <si>
    <t>Yepes, V (corresponding author), Univ Politecn Valencia, Inst Concrete Sci &amp; Technol ICITECH, Valencia 46022, Spain.</t>
  </si>
  <si>
    <t>vyepesp@cst.upv.es</t>
  </si>
  <si>
    <t>Yepes, Victor/K-9763-2014</t>
  </si>
  <si>
    <t>Yepes, Victor/0000-0001-5488-6001</t>
  </si>
  <si>
    <t>ERDF A way of making Europe [MCIN/AEI/10.13039/501100011033, PID2020-117056RB-I00]</t>
  </si>
  <si>
    <t>ERDF A way of making Europe</t>
  </si>
  <si>
    <t>This research was funded by MCIN/AEI/10.13039/501100011033, grant number PID2020-117056RB-I00 and The APC was funded by ERDF A way of making Europe.</t>
  </si>
  <si>
    <t>10.3390/ijerph20021284</t>
  </si>
  <si>
    <t>7Y9DR</t>
  </si>
  <si>
    <t>WOS:000915170800001</t>
  </si>
  <si>
    <t>Zhen, JW; Feng, CY; Xie, HT; Zhao, XB; Wu, GD</t>
  </si>
  <si>
    <t>Zhen, Junwei; Feng, Chunyuan; Xie, Hongtao; Zhao, Xianbo; Wu, Guangdong</t>
  </si>
  <si>
    <t>Ambidextrous Leadership and Innovative Behaviors in Construction Projects: Dual-Edged Sword Effects and Social Information Processing Perspective</t>
  </si>
  <si>
    <t>Ambidextrous leadership; Perceived overqualification; Creative self-efficacy; Leader-member exchange (LMX); Innovative behavior; Social information processing (SIP) theory</t>
  </si>
  <si>
    <t>CREATIVE SELF-EFFICACY; EMPOWERING LEADERSHIP; EMPLOYEE CREATIVITY; MEMBER EXCHANGE; TRANSFORMATIONAL LEADERSHIP; PSYCHOLOGICAL EMPOWERMENT; ORGANIZATIONAL JUSTICE; HORIZONTAL LEADERSHIP; MEDIATING ROLE; JOB-ATTITUDES</t>
  </si>
  <si>
    <t>Innovation has become a focus of research and practice of construction projects. However, the existing literature has not addressed when and how ambidextrous leadership influences innovation from the individual psychological perspective in the context of construction projects. In the present study, a moderated mediation model was constructed based on social information processing theory. Psychological cognitive mechanisms of empowering and directive leadership on project members' innovative behavior were analyzed. Drawing on the sample of 15 project managers and 161 project members, the model was studied using structural equation modeling and bootstrapping methods. The results indicate that empowering leadership exerts a positive effect on creative self-efficacy. Directive leadership positively relates to perceived overqualification. Creative self-efficacy and perceived overqualification play mediating roles between ambidextrous leadership and innovative behavior. Leader-member exchange (LMX) serves as a buffering moderator between directive leadership and innovative behavior via perceived overqualification. Ambidexterity-oriented managers can be trained to promote innovation and project success. The dual-edged sword impacts of the ambidexterity-oriented strategy must be recognized and considered with caution.</t>
  </si>
  <si>
    <t>[Zhen, Junwei; Feng, Chunyuan] Kunming Univ Sci &amp; Technol, Fac Civil Engn &amp; Mech, Kunming 650500, Peoples R China; [Xie, Hongtao] Kunming Univ Sci &amp; Technol, Fac Management &amp; Econ, Kunming 650093, Peoples R China; [Zhao, Xianbo] Cent Queensland Univ, Sch Engn &amp; Technol, Sydney, NSW 2000, Australia; [Wu, Guangdong] Chongqing Univ, Sch Publ Policy &amp; Adm, Chongqing 400044, Peoples R China</t>
  </si>
  <si>
    <t>Kunming University of Science &amp; Technology; Kunming University of Science &amp; Technology; Central Queensland University; Chongqing University</t>
  </si>
  <si>
    <t>Wu, GD (corresponding author), Chongqing Univ, Sch Publ Policy &amp; Adm, Chongqing 400044, Peoples R China.</t>
  </si>
  <si>
    <t>zjwkmust@163.com; fengchunyuan@stu.kust.edu.cn; xhtkmust@kust.edu.cn; b.zhao@cqu.edu.au; gd198410@163.com</t>
  </si>
  <si>
    <t>National Natural Science Foundation of China;  [72161021];  [72162026];  [71972018];  [71701083]</t>
  </si>
  <si>
    <t xml:space="preserve">National Natural Science Foundation of China(National Natural Science Foundation of China (NSFC)); ; ; ; </t>
  </si>
  <si>
    <t>AcknowledgmentsThis research is supported by the National Natural Science Foundation of China (Grant Nos. 72161021, 72162026, 71972018, and 71701083).</t>
  </si>
  <si>
    <t>10.1061/(ASCE)ME.1943-5479.0001104</t>
  </si>
  <si>
    <t>6I3NR</t>
  </si>
  <si>
    <t>WOS:000886035600005</t>
  </si>
  <si>
    <t>Cheung, JCS; To, SM; Liu, XY; Chan, AMY</t>
  </si>
  <si>
    <t>Cheung, Johnson Chun-Sing; To, Siu-Ming; Liu, Xiaoyu; Chan, Adam Man-Yuk</t>
  </si>
  <si>
    <t>Inter-Professional Education and Collaborative Practice in Social Work: Associations between Youth Work Practitioners' Experience in Inter-Professional Learning, Creative Self-Efficacy and Innovative Behaviour</t>
  </si>
  <si>
    <t>BRITISH JOURNAL OF SOCIAL WORK</t>
  </si>
  <si>
    <t>creative self-efficacy; innovative behaviour; inter-professional learning; social worker self-efficacy</t>
  </si>
  <si>
    <t>INTERPROFESSIONAL EDUCATION; CARE STUDENTS; HEALTH; COMPETENCE; OUTCOMES; CONTEXT</t>
  </si>
  <si>
    <t>A rising trend is being observed in enhancing Inter-Professional Education and Collaborative Practice (IPECP) in health care settings. Empirical evidence on its effects, particularly in youth settings, remains limited. This study examined the moderating role of inter-professional learning in the relation between youth work practitioners' self-efficacy in social work and their creative self-efficacy and innovative behaviour. A total of 227 youth work practitioners from sixteen district-based youth services in Hong Kong were invited to participate in a survey. The results of regression analyses indicate a positive association between practitioners' sense of self-efficacy in social work and their creative self-efficacy and innovative behaviour. They also show a positive association between practitioners' inter-professional learning experience and their creative self-efficacy and innovative behaviour. However, concerning the interaction effect between self-efficacy in social work and inter-professional learning, the results indicate that the positive relationship between self-efficacy in social work and creative self-efficacy and innovative behaviour was weaker for practitioners who had a higher level of inter-professional learning. The promotion of IPECP and the preparation of social workers to be collaboration-ready were deemed essential in fostering an effective multi-agency and multi-profession partnership, especially for seasoned practitioners who were more likely to possess a silo mentality. Empirical evidence on the effects of inter-professional learning in the field of social work, particularly in youth settings, remains limited. This study examined the effect of inter-professional learning on the relationship between youth work practitioners' self-efficacy in social work and their creative self-efficacy and innovative behaviour. The findings indicate that the self-efficacy of youth work practitioners is an essential factor in service innovation, as shown by a positive association between the measuring variables. The findings also show that both sense of self-efficacy and inter-professional learning are important predictors of social workers' creative self-efficacy and innovative behaviour. This study offers insights for organisations regarding the need to emphasise social workers' sense of self-efficacy in the evolving pursuit of service innovation. The need to train experienced social workers to be collaboration-ready was deemed essential in fostering an effective multi-agency and multi-profession partnership. In the case of district-based youth services in Hong Kong, creating opportunities for inter-disciplinary collaboration within and between organisations ensures that social workers, service beneficiaries and stakeholders can all contribute to service innovation.</t>
  </si>
  <si>
    <t>[Cheung, Johnson Chun-Sing] Univ Hong Kong, Dept Social Work &amp; Social Adm, Hong Kong, Peoples R China; [To, Siu-Ming; Chan, Adam Man-Yuk] Chinese Univ Hong Kong, Dept Social Work, Hong Kong, Peoples R China; [Liu, Xiaoyu] Hong Kong Lutheran Social Serv, Hong Kong, Peoples R China; [Cheung, Johnson Chun-Sing] Univ Hong Kong, Dept Social Work &amp; Social Adm, 5 F Jockey Club Tower Centennial Campus, Hong Kong, Peoples R China</t>
  </si>
  <si>
    <t>University of Hong Kong; Chinese University of Hong Kong; University of Hong Kong</t>
  </si>
  <si>
    <t>Cheung, JCS (corresponding author), Univ Hong Kong, Dept Social Work &amp; Social Adm, 5 F Jockey Club Tower Centennial Campus, Hong Kong, Peoples R China.</t>
  </si>
  <si>
    <t>cjcs@hku.hk</t>
  </si>
  <si>
    <t>Cheung, Johnson Chun-Sing/U-5320-2019</t>
  </si>
  <si>
    <t>Cheung, Johnson Chun-Sing/0000-0002-7837-282X</t>
  </si>
  <si>
    <t>Hong Kong Jockey Club Charities Trust [7105626]</t>
  </si>
  <si>
    <t>Hong Kong Jockey Club Charities Trust</t>
  </si>
  <si>
    <t>This study was funded by the Hong Kong Jockey Club Charities Trust(Project Code: 7105626).</t>
  </si>
  <si>
    <t>0045-3102</t>
  </si>
  <si>
    <t>1468-263X</t>
  </si>
  <si>
    <t>BRIT J SOC WORK</t>
  </si>
  <si>
    <t>Br. J. Soc. Work</t>
  </si>
  <si>
    <t>10.1093/bjsw/bcac236</t>
  </si>
  <si>
    <t>Social Work</t>
  </si>
  <si>
    <t>7J5XL</t>
  </si>
  <si>
    <t>WOS:000904655700001</t>
  </si>
  <si>
    <t>Iqbal, A; Ahmad, MS; Nazir, T</t>
  </si>
  <si>
    <t>Iqbal, Amjad; Ahmad, Muhammad Shakil; Nazir, Tahira</t>
  </si>
  <si>
    <t>Does servant leadership predict innovative behaviour above and beyond transformational leadership? Examining the role of affective commitment and creative self-efficacy</t>
  </si>
  <si>
    <t>Transformational leadership; Servant leadership; Innovative behaviour; Creative self-efficacy; Affective commitment</t>
  </si>
  <si>
    <t>MEDIATING ROLE; EMPLOYEE CREATIVITY; ANTECEDENTS; SUPERVISOR; IDENTIFICATION; CONSEQUENCES; TRUST</t>
  </si>
  <si>
    <t>PurposeThe purpose of this study is to investigate the comparative effect of transformational and servant leadership and to determine incremental variance that servant leadership can explain in employee innovative behaviour above and beyond transformational leadership. This research also examines the competing mechanisms by which transformational and servant leadership influence innovative behaviour.Design/methodology/approachThe data were gathered from 338 employees working in information technology firms of Pakistan and the proposed relationships were tested through partial least squares technique using SmartPLS software.FindingsThe results reveal that servant leadership not only exerts stronger influence on innovative behaviour, but also explains an incremental variance in innovative behaviour above and beyond transformational leadership. The findings further indicate that the impact of transformational leadership on innovative behaviour is better transmitted by affective commitment. On the contrary, the impact of servant leadership is better translated through creative self-efficacy.Practical implicationsThis research unravels the role of transformational and servant leadership in fostering innovative behaviour in knowledge-intensive organizations. Findings of this investigation also suggest that by following a two-pronged leadership strategy, managers can augment innovative behaviour by enhancing employees' creative self-efficacy and affective commitment.Originality/valueThis research provides initial empirical evidence regarding the incremental variance that servant leadership can explain in innovative behaviour above and beyond transformational leadership. Moreover, this research adds to leadership and innovation literature by unravelling the comparative effects of these two forms of leadership on innovative behaviour through theory-driven competing mechanisms.</t>
  </si>
  <si>
    <t>[Iqbal, Amjad; Nazir, Tahira] COMSATS Univ Islamabad, Dept Management Sci, Wah Campus, Wah Cantt, Pakistan; [Ahmad, Muhammad Shakil] Sohar Univ, Fac Business, Sohar, Oman</t>
  </si>
  <si>
    <t>COMSATS University Islamabad (CUI); Sohar University</t>
  </si>
  <si>
    <t>amjadiqbal76536@gmail.com; onlyshakil@gmail.com; tahiranazir@ciitwah.edu.pk</t>
  </si>
  <si>
    <t>Iqbal, Amjad/AAH-6943-2020; Ahmad, Muhammad Shakil/T-5381-2019</t>
  </si>
  <si>
    <t>Iqbal, Amjad/0000-0003-1475-0913; Ahmad, Muhammad Shakil/0000-0002-2458-3082</t>
  </si>
  <si>
    <t>10.1108/LODJ-01-2022-0016</t>
  </si>
  <si>
    <t>9M5RF</t>
  </si>
  <si>
    <t>WOS:000903133600001</t>
  </si>
  <si>
    <t>Arshad, HM; Akhtar, MW; Imran, M; Batool, I; Asrar-ul-Haq, M; Akbar, M</t>
  </si>
  <si>
    <t>Arshad, Hafiz Muhammad; Akhtar, Muhammad Waheed; Imran, Muhammad; Batool, Irem; Asrar-ul-Haq, Muhammad; Akbar, Minhas</t>
  </si>
  <si>
    <t>Effectiveness of leader-member exchange on employee outcomes in cross-cultural environment of China-Pakistan economic corridor</t>
  </si>
  <si>
    <t>Leader-member exchange; Employee outcomes; China-Pakistan economic corridor</t>
  </si>
  <si>
    <t>ORGANIZATIONAL CITIZENSHIP BEHAVIOR; WORK ENGAGEMENT; MEDIATING ROLE; PLS-SEM; LMX DIFFERENTIATION; INNOVATIVE BEHAVIOR; COMMITMENT; PERFORMANCE; INTERDEPENDENCE; IMPACT</t>
  </si>
  <si>
    <t>PurposeChina-Pakistan Economic Corridor (CPEC) is a framework of regional connectivity in which employees have to work in a cross-cultural environment. This study has extended the leader-member exchange theory by investigating the mediating role of employee commitment (EC) between the relationship of leader-member exchange (LMX) and employee's work-related behaviors.Design/methodology/approachPLS-SEM technique was used to test the model by utilizing a multi-wave/two-source data collected from employees and their supervisors (n = 500) working in different energy projects of CPEC.FindingsAccording to the results/findings, LMX has a significant positive impact on employee commitment, employee performance (EP) and open-minded discussions, but insignificant impact on innovative work behaviour (IWB). Mediating role of employee commitment was significant between the relationship of LMX with EP and open-minded discussions, but insignificant with the IWB.Originality/valueThe study contributes empirical evidence to understanding the leader-member exchange relationship among Chinese managers and Pakistani workers. It also contributes to the LMX theory literature by investigating the effect of LMX on followers' outcomes (employee performance, IWB, open-minded discussions) through employee commitment.</t>
  </si>
  <si>
    <t>[Arshad, Hafiz Muhammad; Akhtar, Muhammad Waheed; Imran, Muhammad; Asrar-ul-Haq, Muhammad; Akbar, Minhas] COMSATS Univ Islamabad, Dept Management Sci, Sahiwal Campus, Sahiwal, Pakistan; [Batool, Irem] Univ Management &amp; Technol, Dept Management Sci, Lahore, Pakistan</t>
  </si>
  <si>
    <t>COMSATS University Islamabad (CUI); University of Management &amp; Technology (UMT)</t>
  </si>
  <si>
    <t>Akhtar, MW (corresponding author), COMSATS Univ Islamabad, Dept Management Sci, Sahiwal Campus, Sahiwal, Pakistan.</t>
  </si>
  <si>
    <t>hmarshadphd@cuisahiwal.edu.pk; waheed.mgt118@gmail.com; imran9060@gmail.com; irem.batool@umt.edu.pk; asrar.uiuc@gmail.com; minhasakbar@cuisahiwal.edu.pk</t>
  </si>
  <si>
    <t>Akhtar, Muhammad Waheed/AAQ-1051-2021; Akbar, Minhas/AAQ-5007-2020</t>
  </si>
  <si>
    <t>Akhtar, Muhammad Waheed/0000-0002-7579-5720; Asrar-ul-Haq, Muhammad/0000-0003-3639-0234; Arshad, Dr Hafiz Muhammad/0000-0002-6987-1336</t>
  </si>
  <si>
    <t>10.1108/K-05-2022-0746</t>
  </si>
  <si>
    <t>7F0QT</t>
  </si>
  <si>
    <t>WOS:000901562900001</t>
  </si>
  <si>
    <t>Cheah, LF; Cheng, MY; Hen, KW</t>
  </si>
  <si>
    <t>Cheah, Lee Fong; Cheng, Ming Yu; Hen, Kai Wah</t>
  </si>
  <si>
    <t>The effect of quality management practices on academics' innovative performance in Malaysian higher education institutions</t>
  </si>
  <si>
    <t>STUDIES IN HIGHER EDUCATION</t>
  </si>
  <si>
    <t>Innovative work behaviour; socio-technical systems; total quality management; innovative work performance; Malaysia higher education</t>
  </si>
  <si>
    <t>SOCIOTECHNICAL SYSTEMS; BEHAVIOR; DRIVERS; HARD; TQM</t>
  </si>
  <si>
    <t>Several studies in higher education have attempted to study the impact of quality management practices on organisational innovation processes and outcomes in higher education institutions (HEIs). However, there is relatively limited research examining the impact of multidimensional quality management practices (QM-practices) on academics' innovative behaviour and performance. This paper aims to explore the relationship between QM-practices and academics' innovative work behaviour and examine how innovative behaviour affects academics' innovative work performance. A total of 586 responses were collected from public and private universities with self-accreditation status in Malaysia. The results indicated a significant and positive relationship between Social QM-practices and academics' innovative work behaviour. Also, a significant and positive relationship was found between innovative work behaviour and work performance. However, there is no direct impact between Social and Technical QM-practices on academic work performance. The relationship between Social QM-practices and work performance is indirectly established through innovative work behaviour. The findings signified the importance of innovative work behaviour on academic's work performance and highlighted the indirect impacts of Social QM-practices on innovative performance through innovative work behaviour in Malaysian HEIs. Efforts to improve Social QM-practices especially in promoting leadership for quality management, developing strategic vision, and providing effective educational support, as well as training may facilitate innovative work behaviour and enhance work performance at Malaysian HEIs.</t>
  </si>
  <si>
    <t>[Cheah, Lee Fong; Cheng, Ming Yu] Univ Tunku Abdul Rahman, Fac Accountancy &amp; Management, Petaling Jaya, Selangor, Malaysia; [Hen, Kai Wah] Tunghai Univ, Int Coll, Taichung, Taiwan</t>
  </si>
  <si>
    <t>Universiti Tunku Abdul Rahman (UTAR); Tunghai University</t>
  </si>
  <si>
    <t>Cheah, LF (corresponding author), Univ Tunku Abdul Rahman, Fac Accountancy &amp; Management, Petaling Jaya, Selangor, Malaysia.</t>
  </si>
  <si>
    <t>cheahlf@utar.edu.my</t>
  </si>
  <si>
    <t>Hen, Kai Wah/0000-0003-4940-5650; Cheah, Lee Fong/0000-0002-8584-9884; Cheng, Ming Yu/0000-0002-5638-3966</t>
  </si>
  <si>
    <t>0307-5079</t>
  </si>
  <si>
    <t>1470-174X</t>
  </si>
  <si>
    <t>STUD HIGH EDUC</t>
  </si>
  <si>
    <t>Stud. High. Educ.</t>
  </si>
  <si>
    <t>10.1080/03075079.2022.2160702</t>
  </si>
  <si>
    <t>9V1WX</t>
  </si>
  <si>
    <t>WOS:000903648800001</t>
  </si>
  <si>
    <t>Influence of leadership empowering behavior on employee innovation behavior: The moderating effect of personal development support</t>
  </si>
  <si>
    <t>leadership empowering behavior; participative decision making; thriving at work; employee innovation behavior; personal development support</t>
  </si>
  <si>
    <t>MEDIATING ROLE; ETHICAL LEADERSHIP; TRANSFORMATIONAL LEADERSHIP; PSYCHOLOGICAL EMPOWERMENT; SERVANT LEADERSHIP; JOB-SATISFACTION; WORK-ENVIRONMENT; CREATIVITY; IMPACT; MODEL</t>
  </si>
  <si>
    <t>The main purpose of this study is to explore the influence of leadership empowering behavior (personal development support, participative decision making and delegation of authority) and thriving at work (vigor, learning) on employee innovation behavior and analyze the moderating effect of personal development support on participative decision making and innovation behavior. The questionnaire survey method is used to survey Chinese industrial workers, and a total of 290 valid questionnaires are collected. The model is verified using SmartPLS. Results show that the personal development support and participative decision making dimensions of leadership empowering behavior have a significant positive influence on employee innovation behavior. Vigor and learning has a significant positive influence on employee innovation behavior, and personal development support has a significant moderating effect on the relationship between participative decision making and innovative behavior.</t>
  </si>
  <si>
    <t>[Ye, Pinghao; Liu, Liqiong] Wuhan Business Univ, Sch Informat Engn, Wuhan, Peoples R China; [Tan, Joseph] McMaster Univ, DeGroote Sch Business, Hamilton, ON, Canada</t>
  </si>
  <si>
    <t>Ye, PH; Liu, LQ (corresponding author), Wuhan Business Univ, Sch Informat Engn, Wuhan, Peoples R China.</t>
  </si>
  <si>
    <t>yezigege1977@163.com; quandian7373@163.com</t>
  </si>
  <si>
    <t>Hubei province technical innovation project [2019ADD160]</t>
  </si>
  <si>
    <t>Hubei province technical innovation project</t>
  </si>
  <si>
    <t>DEC 19</t>
  </si>
  <si>
    <t>10.3389/fpsyg.2022.1022377</t>
  </si>
  <si>
    <t>7L4SJ</t>
  </si>
  <si>
    <t>WOS:000905957300001</t>
  </si>
  <si>
    <t>Liu, XM; Yu, Y; Zhao, XW; Zhang, NJ</t>
  </si>
  <si>
    <t>Liu, Xuemei; Yu, Yuan; Zhao, Xiuwen; Zhang, Ningjun</t>
  </si>
  <si>
    <t>Top management team boundary-spanning leadership: Measurement development and its impact on innovative behavior</t>
  </si>
  <si>
    <t>innovative behavior; measurement development; perceived motivational climate; social information processing theory; top management team boundary-spanning leadership</t>
  </si>
  <si>
    <t>SCALE DEVELOPMENT; MOTIVATIONAL CLIMATE; FIRM PERFORMANCE; TRANSFORMATIONAL LEADERSHIP; MODERATING ROLE; CREATIVITY; MODEL; PERSONALITY; NETWORKS; EMPLOYEE</t>
  </si>
  <si>
    <t>With the advancement of digital economy, organizations around the world need to stretch the boundaries of their strategy, business, and knowledge to gain a competitive advantage and achieve sustainable growth. Although boundary-spanning leadership, with a set of practical tools developed by the Center for Creative Leadership (CCL), has been explored over the past 10 years, the comprehensive understanding of top management team boundary-spanning leadership has still reached no consensus. This research focuses on the concept of top management team boundary-spanning leadership (TMTBSL) and its effect on employees' innovative behavior. Study 1 comprises the concept of TMTBSL and the measurement of its development. The classical grounded theory was used to analyze biographical texts and in-depth interview data from local Chinese organizations. We developed a 5-dimension scale with14 items for TMTBSL. In Study 2, we empirically examined the impact of TMTBSL on employees' innovative behavior. The results demonstrate that TMTBSL can promote employee innovative behavior through perceived motivational climate. The theoretical and practical implications are also outlined.</t>
  </si>
  <si>
    <t>[Liu, Xuemei; Zhang, Ningjun] Southwestern Univ Finance &amp; Econ, Sch Business Adm, Chengdu, Peoples R China; [Liu, Xuemei; Yu, Yuan; Zhao, Xiuwen] Xihua Univ, Sch Management, Chengdu, Peoples R China; [Yu, Yuan] Yibin Univ, Sch Law &amp; Publ Adm, Yibin, Peoples R China</t>
  </si>
  <si>
    <t>Southwestern University of Finance &amp; Economics - China; Xihua University; Yibin University</t>
  </si>
  <si>
    <t>Yu, Y (corresponding author), Xihua Univ, Sch Management, Chengdu, Peoples R China.;Yu, Y (corresponding author), Yibin Univ, Sch Law &amp; Publ Adm, Yibin, Peoples R China.</t>
  </si>
  <si>
    <t>2448297379@qq.com</t>
  </si>
  <si>
    <t>National Social Science Fund of China [20VYJ016]; Innovational Fund of Xihua University Postgraduate [YCJJ2020006]; Institute of International Economics and Management Innovation Program [20200013]; Open Project of Sichuan Applied Psychology Research Center [CSXL-212A05]</t>
  </si>
  <si>
    <t>National Social Science Fund of China; Innovational Fund of Xihua University Postgraduate; Institute of International Economics and Management Innovation Program; Open Project of Sichuan Applied Psychology Research Center</t>
  </si>
  <si>
    <t>This work was supported by the National Social Science Fund of China (Project No. 20VYJ016), Innovational Fund of Xihua University Postgraduate (Project No. YCJJ2020006), Institute of International Economics and Management Innovation Program (Project No. 20200013), and Open Project of Sichuan Applied Psychology Research Center (Project No. CSXL-212A05).</t>
  </si>
  <si>
    <t>DEC 15</t>
  </si>
  <si>
    <t>10.3389/fpsyg.2022.988771</t>
  </si>
  <si>
    <t>7K8WR</t>
  </si>
  <si>
    <t>WOS:000905557300001</t>
  </si>
  <si>
    <t>Huang, YF; Lin, HC; Lee, HM</t>
  </si>
  <si>
    <t>Huang, Yi-Fen; Lin, Hung-Chun; Lee, Hsu-Mei</t>
  </si>
  <si>
    <t>Innovation in manufacturing SMEs during the COVID-19 pandemic: How does environmental dynamism reinforce employee proactive behavior?</t>
  </si>
  <si>
    <t>Creative self-efficacy; Knowledge acquisition; Environmental dynamism; Employee innovative behavior</t>
  </si>
  <si>
    <t>CREATIVE SELF-EFFICACY; KNOWLEDGE ACQUISITION; SERVICE INNOVATION; CAPABILITY; WORK; PERFORMANCE; LEADERSHIP; ROLES; ANTECEDENTS; PERSONALITY</t>
  </si>
  <si>
    <t>In a turbulent environment such as during the COVID-19 pandemic crisis, employee proactive behavior is imperative for innovation initiatives in small-and medium-sized enterprises (SMEs). We ask whether and how turbulent environments motivate employees to proactively engage in innovative behavior. This study argues that employees' perceptions of environmental dynamism reinforce employee proactive innovation behavior. Using a sample comprising 262 innovative employees from 40 manufacturing SMEs in Taiwan, this study tests a moderated-mediation model in which environmental dynamism is expected to increase the indirect effect of creative self-efficacy on employee innovative behavior through knowledge acquisition. The results confirm the mediating role of knowledge acquisition and the positive moderating effect of environmental dynamism. This study sheds light on the issue of employee proactive behavior in response to changing environments.</t>
  </si>
  <si>
    <t>[Huang, Yi-Fen] Dayeh Univ, Dept Business Adm, 168 Univ Rd, Changhua, Taiwan; [Lin, Hung-Chun] Dayeh Univ, Coll Management, 168 Univ Rd, Changhua, Taiwan; [Lee, Hsu-Mei] Dayeh Univ, Dept Int Business Management, 168 Univ Rd, Changhua, Taiwan</t>
  </si>
  <si>
    <t>Da Yeh University; Da Yeh University; Da Yeh University</t>
  </si>
  <si>
    <t>Huang, YF (corresponding author), Dayeh Univ, Dept Business Adm, 168 Univ Rd, Changhua, Taiwan.</t>
  </si>
  <si>
    <t>yifen@mail.dyu.edu.tw; hmmlee@mail.dyu.edu.tw</t>
  </si>
  <si>
    <t>10.1016/j.techfore.2022.122247</t>
  </si>
  <si>
    <t>D5ZF8</t>
  </si>
  <si>
    <t>WOS:000969505700024</t>
  </si>
  <si>
    <t>Liu, YJ; Zhang, H</t>
  </si>
  <si>
    <t>Liu, Yanjun; Zhang, Hui</t>
  </si>
  <si>
    <t>Making things happen: How employees' paradox mindset influences innovative performance</t>
  </si>
  <si>
    <t>paradox mindset; role breadth self-efficacy; individual ambidexterity; innovative performance; social cognitive theory</t>
  </si>
  <si>
    <t>BREADTH SELF-EFFICACY; ORGANIZATIONAL AMBIDEXTERITY; INDIVIDUAL AMBIDEXTERITY; AMBIDEXTROUS LEADERSHIP; GOAL ORIENTATION; MEDIATING ROLE; WORK BEHAVIOR; CREATIVITY; EXPLORATION; MODEL</t>
  </si>
  <si>
    <t>Individual innovation involves many contradicted behavioral options such as creative vs. habitual actions and explorative vs. exploitative activities. However, the agentic nature of innovative behaviors has been widely ignored, and we know less about what factors lead individuals to approach and balance the contradictions caused by competing demands and intentionally engage in innovative behaviors. Integrating social cognitive theory and innovation paradox, we propose a chain-mediating model to explain how employees with a paradox mindset realize the creative benefits through their innovative endeavors, considering role breadth self-efficacy (RBSE) and individual ambidexterity as two mediators. Using data collected from 480 employees paired with 100 supervisors at 3-time points, the results show that RBSE and individual ambidexterity play a mediating role, respectively, even though they sequentially play a chain-mediating role between employees' paradox mindset and innovative performance. Individuals who hold a paradox mindset are more likely to perceive high capability beliefs in successfully undertaking expanded roles, promoting behavioral tendencies to switch between exploration and exploitation, and in turn encouraging employees to undertake more innovative behaviors. Finally, we discuss the theoretical and practical implications for promoting employees' innovative performance from an agentic perspective. Employees with a paradox mindset can make creative things happen by managing the tensions between exploration and exploitation proactively. Thus, organizations may try to enhance employees' proactive motivation states and behavioral capability to encourage individual innovation.</t>
  </si>
  <si>
    <t>[Liu, Yanjun] North China Univ Technol, Sch Econ &amp; Management, Beijing, Peoples R China; [Zhang, Hui] Huazhong Univ Sci &amp; Technol, Sch Sociol, Wuhan, Peoples R China</t>
  </si>
  <si>
    <t>North China University of Technology; Huazhong University of Science &amp; Technology</t>
  </si>
  <si>
    <t>Liu, YJ (corresponding author), North China Univ Technol, Sch Econ &amp; Management, Beijing, Peoples R China.</t>
  </si>
  <si>
    <t>yjliupsy@ncut.edu.cn</t>
  </si>
  <si>
    <t>National Natural Science Foundation of China; North China University of Technology;  [72101005];  [71901098];  [110051360002]</t>
  </si>
  <si>
    <t xml:space="preserve">National Natural Science Foundation of China(National Natural Science Foundation of China (NSFC)); North China University of Technology; ; ; </t>
  </si>
  <si>
    <t>Funding This current research was supported by a grant from the National Natural Science Foundation of China (Grant Nos. 72101005 and 71901098) and start-up research funds from North China University of Technology (Grant No. 110051360002).</t>
  </si>
  <si>
    <t>DEC 12</t>
  </si>
  <si>
    <t>10.3389/fpsyg.2022.1009209</t>
  </si>
  <si>
    <t>7F5US</t>
  </si>
  <si>
    <t>WOS:000901912800001</t>
  </si>
  <si>
    <t>Liu, JN; Hou, YZ; Wang, J; Fu, P; Xia, CZ</t>
  </si>
  <si>
    <t>Liu, Jun-Na; Hou, Yun-Zhang; Wang, Jun; Fu, Ping; Xia, Cong-Zhen</t>
  </si>
  <si>
    <t>How does leaders' information-sharing behavior affect subordinates' taking charge behavior in public sector? A moderated mediation effect</t>
  </si>
  <si>
    <t>information sharing behavior of public sector leaders; taking charge behavior; public service motivation; emotional trust; moderated median model</t>
  </si>
  <si>
    <t>ORGANIZATIONAL CITIZENSHIP BEHAVIOR; PATERNALISTIC LEADERSHIP; INNOVATIVE BEHAVIOR; MOTIVATIONAL BASES; SERVICE MOTIVATION; JOB-PERFORMANCE; EMPLOYEE VOICE; TRUST; COMMUNICATION; EMPOWERMENT</t>
  </si>
  <si>
    <t>IntroductionTaking charge behavior (TCB) of civil servants is an important part of individual innovation performance, which is not only a key step for innovation in the public but also a real need for high-quality cadres construction in the public sector in the new era. Therefore, it is necessary to carry out an in-depth discussion on civil servants' taking charge behavior. Based on the theory of planned behavior, this paper constructs the framework ofcognition-motivation-behavior to deeply explore the relationship between public sector leaders' information-sharing behavior and subordinates' taking charge behavior, as well as the mediating and moderating effects of subordinates' public service motivation and emotional trust. MethodThis study collected 200 civil servants' questionnaires by online survey, and conducted regression analysis through SPSS/AMOS/PROCESS. Result and discussionThe empirical study finds that the information-sharing behavior of leaders in the public sector can significantly affect the TCB of subordinates; the public service motivation partially mediates the relationship between them; emotional trust positively moderates the mediation effect of public service motivation in the relationship between leaders' information-sharing behavior and subordinates' TCB in the public. This study not only enriches the research on civil servants' TCB theoretically but also provides meaningful enlightenment for promoting civil servants' taking charge behavior.</t>
  </si>
  <si>
    <t>[Liu, Jun-Na] Univ Elect Sci &amp; Technol China, Sch Publ Affairs &amp; Adm, Chengdu, Peoples R China; [Hou, Yun-Zhang] Fudan Univ, Sch Management, Shanghai, Peoples R China; [Wang, Jun] Huaqiao Univ, Business Sch, Quanzhou, Peoples R China; [Fu, Ping] Hainan Univ, Management Sch, Hainan, Peoples R China; [Fu, Ping] Univ Sanya, Sch Management, Hainan, Peoples R China; [Xia, Cong-Zhen] Univ Sydney, Fac Engn, Sydney, NSW, Australia</t>
  </si>
  <si>
    <t>University of Electronic Science &amp; Technology of China; Fudan University; Huaqiao University; Hainan University; University of Sanya; University of Sydney</t>
  </si>
  <si>
    <t>Hou, YZ (corresponding author), Fudan Univ, Sch Management, Shanghai, Peoples R China.</t>
  </si>
  <si>
    <t>yzhanghou@fudan.edu.cn</t>
  </si>
  <si>
    <t>program of the Shanghai Social Science Foundation [2020BGL004]; National Natural Science Foundation of China [71471041]</t>
  </si>
  <si>
    <t>program of the Shanghai Social Science Foundation; National Natural Science Foundation of China(National Natural Science Foundation of China (NSFC))</t>
  </si>
  <si>
    <t>This work was supported by the program of the Shanghai Social Science Foundation [Grant Number 2020BGL004] and the National Natural Science Foundation of China [Grant Number 71471041].</t>
  </si>
  <si>
    <t>10.3389/fpsyg.2022.938762</t>
  </si>
  <si>
    <t>7E1WZ</t>
  </si>
  <si>
    <t>WOS:000900968700001</t>
  </si>
  <si>
    <t>Lin, WX; Chang, YC</t>
  </si>
  <si>
    <t>Lin, Weixin; Chang, Yuan-Cheng</t>
  </si>
  <si>
    <t>School climate's effect on hospitality department students' aesthetic experience, professional identity and innovative behavior</t>
  </si>
  <si>
    <t>school climate; aesthetic experience; professional identity; innovative behavior; hospitality department students</t>
  </si>
  <si>
    <t>CULTURAL-PLURALISM; MODEL; SOCIALIZATION; CREATIVITY; ADJUSTMENT; CHINESE; MIDDLE</t>
  </si>
  <si>
    <t>This study investigated the effects of school climate and students' aesthetic experience on their professional identity and innovative behavior. A survey was conducted with 385 students from hospitality-related departments of colleges and universities in Hainan, China, and the data were analyzed using a hierarchical linear model (HLM). Using the criteria constituting the students' aesthetic experience scale proposed by Chang, it was found that teacher support can improve students' professional identity; school climate and students' understanding of beauty and full experience contribute to the development of students' innovative behavior; students' understanding of beauty and full experience have mediating effects between teacher support and professional cognition; students' understanding of beauty and full experience have mediating effects between student support and innovative behavior; student support positively moderates the relationships between full experience with professional cognition and students' appraisal of the hospitality industry; and teacher support positively moderates the relationship between students' full experience and professional emotion. Therefore, teacher support under school climate and students' understanding of beauty and full experience under aesthetic experience were the most important factors in enhancing hospitality department students' professional identity and innovative behavior.</t>
  </si>
  <si>
    <t>[Lin, Weixin] Hainan Vocat Univ Sci &amp; Technol, Dept Visual Commun Design, Haikou, Hainan, Peoples R China; [Chang, Yuan-Cheng] Dhurakij Pundit Univ, Chinese Int Coll, Dept Educ Management, Bangkok, Thailand</t>
  </si>
  <si>
    <t>Chang, YC (corresponding author), Dhurakij Pundit Univ, Chinese Int Coll, Dept Educ Management, Bangkok, Thailand.</t>
  </si>
  <si>
    <t>yuan-cheg.cha@dpu.ac.th</t>
  </si>
  <si>
    <t>DEC 5</t>
  </si>
  <si>
    <t>10.3389/fpsyg.2022.1059572</t>
  </si>
  <si>
    <t>7C2MX</t>
  </si>
  <si>
    <t>WOS:000899653400001</t>
  </si>
  <si>
    <t>Lee, MS; Jeong, GY</t>
  </si>
  <si>
    <t>Lee, Myoung-Soung; Jeong, Gap-Yeon</t>
  </si>
  <si>
    <t>The Effects of Internal Market Orientation on Service Providers' Service Innovative Behavior: A Serial Multiple Mediation Effect on Perceived Social Capital on Customers and Work Engagement</t>
  </si>
  <si>
    <t>internal market orientation; perceived social capital on customers; work engagement; service innovative behavior; service providers</t>
  </si>
  <si>
    <t>EMOTIONAL LABOR; JOB DEMANDS; ETHICAL LEADERSHIP; PERFORMANCE; RESOURCES; EXCHANGE; CLIMATE; IMPACT; LMX; INTELLIGENCE</t>
  </si>
  <si>
    <t>The purpose of this study is to understand the process through which internal market orientation leads to service innovative behavior via a serial multiple mediator model, with perceived social capital on customers and work engagement. It set and verified perceived social capital on customers and work engagement as serial multiple mediation factors between internal market orientation and service innovative behavior. To achieve this, surveys targeting service providers working in the finance and insurance industries in South Korea were conducted. A total of 270 data were collected and used for analysis. The analysis showed that internal market orientation significantly increased perceived social capital on customers, and that perceived social capital on customers positively improved work engagement. In addition, it appeared that work engagement improved service innovative behavior. Regarding the serial multiple mediation effect, the direct effect of internal market orientation on service innovative behavior was not significant, but the serial multiple effect through perceived social capital and work engagement was significant. Thus, perceived social capital and work engagement fully mediated the relationship between internal market orientation and service innovative behavior.</t>
  </si>
  <si>
    <t>[Lee, Myoung-Soung] Kyungnam Univ, Dept Food Franchise Business, Chang Won 51767, South Korea; [Jeong, Gap-Yeon] Andong Natl Univ, Dept Int Trade, Andong 36729, South Korea</t>
  </si>
  <si>
    <t>Kyungnam University; Andong National University</t>
  </si>
  <si>
    <t>Jeong, GY (corresponding author), Andong Natl Univ, Dept Int Trade, Andong 36729, South Korea.</t>
  </si>
  <si>
    <t>kingkap@anu.ac.kr</t>
  </si>
  <si>
    <t>10.3390/su142315891</t>
  </si>
  <si>
    <t>6X4OZ</t>
  </si>
  <si>
    <t>WOS:000896395700001</t>
  </si>
  <si>
    <t>Li, ZW; Liu, LJ</t>
  </si>
  <si>
    <t>Li, Zhiwei; Liu, Lijun</t>
  </si>
  <si>
    <t>The impact of organizational innovation culture on employees' innovation behavior</t>
  </si>
  <si>
    <t>innovation culture; organizational identity; innovative self-efficacy; employee innovation; innovation behavior</t>
  </si>
  <si>
    <t>CREATIVE SELF-EFFICACY; SOCIAL IDENTITY; DETERMINANTS; ANTECEDENTS; COMMITMENT</t>
  </si>
  <si>
    <t>Faced with increasingly fierce market competition, more and more organizations have recognized that organizational innovation culture is an important driver of employees' innovation behavior. On the basis of data collected from 482 respondents and using SPSS 24.0 and Mplus 8.0 for analysis, we obtained the following results: First, organizational innovation culture had a positive impact on employees' innovation behavior. Second, innovation self-efficacy played a mediating role between organizational innovation culture and employees' innovation behavior. Third, organizational identity played a moderating role in the relationship between organizational innovation culture and employees' innovation behavior. The research results enrich theoretical understanding in the field of human resource management and also provide a reference for enterprise managers on how to effectively stimulate employees' innovative behavior.</t>
  </si>
  <si>
    <t>[Li, Zhiwei] Henan Univ Anim Husb &amp; Econ, Coll Business Adm, Zhengzhou, Peoples R China; [Liu, Lijun] Pingdingshan Univ, Sch Teachers Educ, Southern Sect Weilai Rd, Pingdingshan City, Henan, Peoples R China; [Liu, Lijun] Al Farabi Kazakh Natl Univ, Sch Teachers Educ, Alma Ata, Kazakhstan</t>
  </si>
  <si>
    <t>Henan University of Animal Husbandry &amp; Economy; Pingdingshan University; Al-Farabi Kazakh National University</t>
  </si>
  <si>
    <t>Liu, LJ (corresponding author), Pingdingshan Univ, Sch Teachers Educ, Southern Sect Weilai Rd, Pingdingshan City, Henan, Peoples R China.</t>
  </si>
  <si>
    <t>lijunliu2022@126.com</t>
  </si>
  <si>
    <t>Liu, Lijun/HPE-9054-2023</t>
  </si>
  <si>
    <t>Liu, Lijun/0000-0002-5408-0726</t>
  </si>
  <si>
    <t>e11934</t>
  </si>
  <si>
    <t>10.2224/sbp.11934</t>
  </si>
  <si>
    <t>6S9MW</t>
  </si>
  <si>
    <t>WOS:000893308600010</t>
  </si>
  <si>
    <t>Zheng, KR; Li, YJ; Xin, XH</t>
  </si>
  <si>
    <t>Zheng, Kairui; Li, Yijie; Xin, Xiaohui</t>
  </si>
  <si>
    <t>The Influencing Mechanism of High-Speed Rail on Innovation: Firm-Level Evidence from China</t>
  </si>
  <si>
    <t>HSR; firm innovation; knowledge spillover</t>
  </si>
  <si>
    <t>RESEARCH-AND-DEVELOPMENT; MARKET-SIZE; TRADE; IMPACT; POLICY; COMPETITION; ROADS</t>
  </si>
  <si>
    <t>There is an urgent need to change the economic development mode from resources driven to innovation driven with the stagnation of the economy in China. Most existing research on the effect of high-speed rail (HSR) on firm innovation has lacked theoretical support and empirical evidence of firm innovation through knowledge spillover. This study introduces HSR as a cost coefficient to the classical heterogeneous firm model to construct a theoretical framework to determine the impact of HSR on firms' innovation output. By matching the data of listed firms with the data of prefecture-level cities, the general difference-in-differences (DID) method is used to explore the impact of HSR on firm innovation and its mechanism. The research shows that the construction of HSR has a significant effect on the number of applied patent and authorized patents of firms and that there is a marginal increasing trend relating to the density and timing of HSR. The study found that in peripheral cities, firms in industries with rapid technological advances and highly innovative behaviors benefit more from HSR. HSR is associated with knowledge spillover within and between central and peripheral cities. It also has a heterogeneous sorting effect bounded by city size that promotes highly educated talent and the innovative output of firms that becomes significant only after the population size of a city reaches a certain threshold. HSR stimulates firm innovation mainly by improving the effect of firm resource allocation, promoting the spillover effect of innovation due to the flow and aggregation of resources, and increasing the scale effect of market expansion. Therefore, when designing innovation policies, the role of improving the construction of transportation to increase the frequency of face-to-face communication should be included, thus promoting the flow of knowledge and research collaboration.</t>
  </si>
  <si>
    <t>[Zheng, Kairui; Xin, Xiaohui] Beijing Jiaotong Univ, Sch Econ &amp; Management, Beijing 100044, Peoples R China; [Li, Yijie] Peking Univ, Guanghua Sch Management, Beijing 100871, Peoples R China</t>
  </si>
  <si>
    <t>Beijing Jiaotong University; Peking University</t>
  </si>
  <si>
    <t>Zheng, KR (corresponding author), Beijing Jiaotong Univ, Sch Econ &amp; Management, Beijing 100044, Peoples R China.</t>
  </si>
  <si>
    <t>19113025@bjtu.edu.cn</t>
  </si>
  <si>
    <t>LI, yi/HKO-0480-2023</t>
  </si>
  <si>
    <t>Fundamental Research Funds for the Central Universities;  [2021JBWB002]</t>
  </si>
  <si>
    <t xml:space="preserve">Fundamental Research Funds for the Central Universities(Fundamental Research Funds for the Central Universities); </t>
  </si>
  <si>
    <t>This research was funded by Fundamental Research Funds for the Central Universities, grant number 2021JBWB002.</t>
  </si>
  <si>
    <t>10.3390/su142416592</t>
  </si>
  <si>
    <t>7H1NA</t>
  </si>
  <si>
    <t>WOS:000902975200001</t>
  </si>
  <si>
    <t>Feng, LP; Li, MY; Peng, JF; Xu, SY; Yang, W; Luo, DY</t>
  </si>
  <si>
    <t>Feng, Liping; Li, Mengyi; Peng, Jianfeng; Xu, Shiyong; Yang, Wa; Luo, Dongying</t>
  </si>
  <si>
    <t>How and when paradoxical leadership fosters employee innovative behaviours: The role of proactive personality and work engagement</t>
  </si>
  <si>
    <t>JOURNAL OF PSYCHOLOGY IN AFRICA</t>
  </si>
  <si>
    <t>innovative behaviours; paradoxical leadership; proactive personality; work engagement</t>
  </si>
  <si>
    <t>JOB DEMANDS; MODEL; CREATIVITY; PERFORMANCE; RESOURCES; ORGANIZATIONS; EXPLORATION; PERSPECTIVE; MOTIVATION; BURNOUT</t>
  </si>
  <si>
    <t>We investigated the association between paradoxical leadership and employee innovative behaviours, and the role of proactive personality and work engagement in the relationship. Participants were 514 employees of a large Chinese internet company (female = 259; mean age = 29.85 years, SD = 5.88 years). Following a moderated mediating model, results indicated that paradoxical leadership was associated with higher employee innovative behaviours via work engagement. Furthermore, proactive personality strengthened the effects of paradoxical leadership on employee work engagement and innovative behaviours associated with higher employee productivity. Specifically, the integrative leading style of paradoxical leadership was conducive to improve employee work engagement and innovative behaviours, especially for employees with high proactive personality.</t>
  </si>
  <si>
    <t>[Feng, Liping; Li, Mengyi; Peng, Jianfeng; Xu, Shiyong; Yang, Wa; Luo, Dongying] Renmin Univ China, Sch Lab &amp; Human Resources, Beijing, Peoples R China</t>
  </si>
  <si>
    <t>Li, MY (corresponding author), Renmin Univ China, Sch Lab &amp; Human Resources, Beijing, Peoples R China.</t>
  </si>
  <si>
    <t>ellenli@ruc.edu.cn</t>
  </si>
  <si>
    <t>1433-0237</t>
  </si>
  <si>
    <t>1815-5626</t>
  </si>
  <si>
    <t>J PSYCHOL AFR</t>
  </si>
  <si>
    <t>J. Psychol. Afr.</t>
  </si>
  <si>
    <t>NOV 28</t>
  </si>
  <si>
    <t>10.1080/14330237.2022.2121484</t>
  </si>
  <si>
    <t>7G3LU</t>
  </si>
  <si>
    <t>WOS:000902431200002</t>
  </si>
  <si>
    <t>Ma, HJ; Tang, SS; Zhao, CY</t>
  </si>
  <si>
    <t>Ma, Hongjia; Tang, Sisi; Zhao, Changyi</t>
  </si>
  <si>
    <t>CEOs' leadership behaviors and new venture team stability: The effects of knowledge hiding and team collectivism</t>
  </si>
  <si>
    <t>transformational leadership; transactional leadership; knowledge hiding; new venture team stability; team collectivism</t>
  </si>
  <si>
    <t>TRANSFORMATIONAL LEADERSHIP; TRANSACTIONAL LEADERSHIP; INNOVATIVE BEHAVIOR; EMPIRICAL-EVIDENCE; MODERATING ROLE; JOB-ATTITUDES; PERFORMANCE; MEDIATION; STYLES; ROLES</t>
  </si>
  <si>
    <t>PurposeThe reasons for new venture team instability gradually have become a vital issue in the entrepreneurship literature. While chief executive officers' (CEOs) leadership behaviors is regarded as a critical element of governance within new venture teams, few studies explored the role played by CEOs' leadership behaviors in new venture team stability. Drawing on the transactional-transformational leadership model, this study divides CEOs' leadership behaviors in new ventures into two categories, namely, transformational and transactional leadership behaviors. Based on the social exchange theory and the social information processing theory, this study constructs a moderating mediation model to understand how transformational and transactional leadership affects new venture team stability. In this model, knowledge hiding is used as mediating role and team collectivism is used as moderating role. Design/methodology/approachThree-wave and two-source data was collected from 66 new ventures in China and an ordinary least squares hierarchical regression model and Hayes' moderated-mediation approach were applied to test the hypotheses.Findings-The results show transformational leadership and transactional leadership are positively related to new venture team stability. Knowledge hiding mediates the association between transformational leadership and new venture team stability and that between transactional leadership and new venture team stability. Moreover, a high level of team collectivism corresponds to a stronger relationship between transformational leadership and knowledge hiding and a greater indirect effect of transformational leadership on new venture team stability through knowledge hiding. Originality/valueThis study explores the mechanisms and boundary conditions of the effect of transformational leadership, transactional leadership, and new venture team stability, which is an enrichment to the study of governance within new venture teams. It enlightens managers to take effective measures to reduce knowledge hiding and maintain team stability in new venture teams.</t>
  </si>
  <si>
    <t>[Ma, Hongjia; Tang, Sisi] Jilin Univ, Sch Business &amp; Management, Changchun, Peoples R China; [Zhao, Changyi] Sichuan Univ, Sch Business, Chengdu, Peoples R China</t>
  </si>
  <si>
    <t>Jilin University; Sichuan University</t>
  </si>
  <si>
    <t>Zhao, CY (corresponding author), Sichuan Univ, Sch Business, Chengdu, Peoples R China.</t>
  </si>
  <si>
    <t>zhaochangyi@scu.edu.cn</t>
  </si>
  <si>
    <t>Tang, Sisi/0000-0002-1240-3734</t>
  </si>
  <si>
    <t>National Natural Science Foundation of China [71972084]; project of innovation team for the Jilin University [2022CXTD10]; Fundamental Research Funds for the Sichuan university [2021CXC23]</t>
  </si>
  <si>
    <t>National Natural Science Foundation of China(National Natural Science Foundation of China (NSFC)); project of innovation team for the Jilin University; Fundamental Research Funds for the Sichuan university</t>
  </si>
  <si>
    <t>This work was supported by the National Natural Science Foundation of China (Grant Number 71972084), the project of innovation team for the Jilin University (Grant Number 2022CXTD10), the Fundamental Research Funds for the Sichuan university (Grant No. 2021CXC23).</t>
  </si>
  <si>
    <t>10.3389/fpsyg.2022.1001277</t>
  </si>
  <si>
    <t>6Z6CG</t>
  </si>
  <si>
    <t>WOS:000897861700001</t>
  </si>
  <si>
    <t>Zhang, MY; Chen, HY; Wang, N; Li, Y; Liu, Y</t>
  </si>
  <si>
    <t>Zhang, Minyi; Chen, Hongyu; Wang, Ning; Li, Yao; Liu, Yan</t>
  </si>
  <si>
    <t>Does transformational leadership and psychological empowerment improve nurses' innovative behaviour during COVID-19 outbreak? A cross-sectional study</t>
  </si>
  <si>
    <t>COVID-19; innovative behaviour; nurses; psychological empowerment; transformational leadership</t>
  </si>
  <si>
    <t>HEALTH-CARE; MODEL</t>
  </si>
  <si>
    <t>AimsTo investigate the relationships between transformational leadership, psychological empowerment and innovative behaviour among nurses in China. BackgroundThe innovative behaviour of nurses is important to adapt to the changing medical environment. However, there is currently a limited understanding of the relationship between nurses' innovative behaviour and transformational leadership and psychological empowerment during the pandemic. MethodsConvenience sampling was used to conduct an investigation involving 1317 nurses from 10 hospitals in China from January 2022 to April 2022. Data analysis was performed using correlation analysis, univariate analysis and multiple regression analysis. The STROBE checklist was followed when writing this manuscript. ResultsHigh transformational leadership and high psychological empowerment were associated with high innovative behaviour. The results of the multiple linear regression analysis showed that physical condition, whether or not you have attended academic conferences or whether or not you have participated in fund research projects, transformational leadership and psychological empowerment were the main factors on nurses' innovative behaviour, together explaining 64.5% of the total variance. ConclusionPromotion of transformational leadership and psychological empowerment is vital for nurses to promote innovation, thereby meeting the urgent demand for innovative nurses and the rapid development of nursing disciplines. Implications for Nursing ManagementThis study highlights the importance of transformational leadership in developing nurses' innovative behaviours. Understanding the role of psychological empowerment can help nurse managers formulate relevant intervention strategies and cultivate nurses' innovative behaviour.</t>
  </si>
  <si>
    <t>[Zhang, Minyi; Chen, Hongyu; Wang, Ning; Li, Yao; Liu, Yan] China Med Univ, Hosp 1, Dept Neurosurg, Shenyang, Peoples R China</t>
  </si>
  <si>
    <t>China Medical University</t>
  </si>
  <si>
    <t>Liu, Y (corresponding author), China Med Univ, Hosp 1, Dept Neurosurg, Shenyang, Peoples R China.</t>
  </si>
  <si>
    <t>cwx0609@sina.com</t>
  </si>
  <si>
    <t>chen, hongyu/HHS-4314-2022; 张, 敏仪/GZH-3254-2022</t>
  </si>
  <si>
    <t>张, 敏仪/0000-0002-2796-0904</t>
  </si>
  <si>
    <t>Scientific Research Project of China Medical University [HLB-2020-01]; Natural Science Project of Liaoning Province's Education Department; Scientific Research Project of China Medical University's First Hospital;  [FWZR2020004];  [2019HL-01]</t>
  </si>
  <si>
    <t xml:space="preserve">Scientific Research Project of China Medical University; Natural Science Project of Liaoning Province's Education Department; Scientific Research Project of China Medical University's First Hospital; ; </t>
  </si>
  <si>
    <t>Scientific Research Project of China MedicalUniversity, Grant/Award Number: 2019HL-01;Natural Science Project of Liaoning Province'sEducation Department, Grant/Award Number: FWZR2020004; Scientific Research Project ofChina Medical University's First Hospital,Grant/Award Number: HLB-2020-01</t>
  </si>
  <si>
    <t>10.1111/jonm.13877</t>
  </si>
  <si>
    <t>8H7AI</t>
  </si>
  <si>
    <t>WOS:000891201200001</t>
  </si>
  <si>
    <t>Cai, LL; Xiao, ZR; Ji, XF</t>
  </si>
  <si>
    <t>Cai, Liling; Xiao, Zengrui; Ji, Xiaofen</t>
  </si>
  <si>
    <t>Impact of supervisor developmental feedback on employee innovative behavior: roles of psychological safety and face orientation</t>
  </si>
  <si>
    <t>Supervisor developmental feedback; Psychological safety; Face orientation; Acquisitive face orientation; Protective face orientation; Employee innovative behavior</t>
  </si>
  <si>
    <t>TRANSFORMATIONAL LEADERSHIP; PROACTIVE PERSONALITY; PERFORMANCE; WORK; CREATIVITY; ENVIRONMENT; ENGAGEMENT; MODEL</t>
  </si>
  <si>
    <t>PurposeDrawing on social cognitive theory, this study aims to examine the relationship between supervisor developmental feedback and employee innovative behavior, incorporating with the mediating role of psychological safety and the moderating role of face orientation.Design/methodology/approachA survey was conducted in 15 manufacturing companies in China. The participants comprised 302 employees. Hierarchical regression analysis was used to test the hypotheses. The mediating effects and the moderated mediating effects are further examined with bias-corrected bootstrapping method.FindingsSupervisor developmental feedback has a positive effect on employee innovative behavior through psychological safety, and this mediating effect is weakened by protective face orientation (fear of losing face), while the moderating effect of acquisitive face orientation (desire to gain face) is not significant.Practical implicationsOrganizations should create a development-oriented and safe innovation atmosphere for employees. In addition, leaders should adopt differentiated feedback and communication methods according to subordinates' face orientation.Originality/valueThe study has demonstrated the positive effect of supervisor developmental feedback on employee innovative behavior, which is different from previous studies on performance feedback and leadership types. Meanwhile, this study has also explored the mediating effect of psychological safety and the moderating effect of face orientation, which provides more insights on the mechanism and boundary conditions of the effect of supervisor developmental feedback.</t>
  </si>
  <si>
    <t>[Cai, Liling; Xiao, Zengrui; Ji, Xiaofen] Zhejiang Sci Tech Univ, Sch Int Educ, Hangzhou, Peoples R China; [Ji, Xiaofen] China Silk Museum, Hangzhou, Peoples R China</t>
  </si>
  <si>
    <t>Zhejiang Sci-Tech University</t>
  </si>
  <si>
    <t>Ji, XF (corresponding author), Zhejiang Sci Tech Univ, Sch Int Educ, Hangzhou, Peoples R China.;Ji, XF (corresponding author), China Silk Museum, Hangzhou, Peoples R China.</t>
  </si>
  <si>
    <t>caililing@zstu.edu.cn; xiaozengrui@zstu.edu.cn; xiaofenji@zstu.edu.cn</t>
  </si>
  <si>
    <t>Xiao, Zengrui/T-7278-2018</t>
  </si>
  <si>
    <t>Xiao, Zengrui/0000-0002-8383-4232; Cai, Liling/0000-0001-9573-6683</t>
  </si>
  <si>
    <t>Philosophy and Social Science Planning Projects of Zhejiang Province; National Natural Science Foundation of China; Zhejiang Provincial Natural Science Foundation of China; Fundamental Research Funds of Zhejiang Sci-Tech University;  [21NDJC062YB];  [72101233];  [LQ22G020006];  [2021Q063]</t>
  </si>
  <si>
    <t xml:space="preserve">Philosophy and Social Science Planning Projects of Zhejiang Province; National Natural Science Foundation of China(National Natural Science Foundation of China (NSFC)); Zhejiang Provincial Natural Science Foundation of China(Natural Science Foundation of Zhejiang Province); Fundamental Research Funds of Zhejiang Sci-Tech University(Zhejiang Sci-Tech University); ; ; ; </t>
  </si>
  <si>
    <t>This research was supported by Philosophy and Social Science Planning Projects of Zhejiang Province (21NDJC062YB), National Natural Science Foundation of China (72101233), Zhejiang Provincial Natural Science Foundation of China (LQ22G020006) and Fundamental Research Funds of Zhejiang Sci-Tech University (2021Q063).</t>
  </si>
  <si>
    <t>JAN 26</t>
  </si>
  <si>
    <t>10.1108/JMP-12-2021-0670</t>
  </si>
  <si>
    <t>8F7YR</t>
  </si>
  <si>
    <t>WOS:000889754300001</t>
  </si>
  <si>
    <t>Su, WL; Zhang, YN</t>
  </si>
  <si>
    <t>Su, Weilin; Zhang, Yinan</t>
  </si>
  <si>
    <t>More positive, more innovative: a moderated-mediation model of supervisor positive feedback and subordinate innovative behavior</t>
  </si>
  <si>
    <t>Supervisor positive feedback; Subordinate innovative behavior; Feedback orientation; Intrinsic motivation</t>
  </si>
  <si>
    <t>INTRINSIC MOTIVATION; TRANSFORMATIONAL LEADERSHIP; WORK BEHAVIOR; DEVELOPMENTAL FEEDBACK; ETHICAL LEADERSHIP; PERFORMANCE; ORIENTATION; IMPACT; METAANALYSIS; SCALE</t>
  </si>
  <si>
    <t>This study attempted to establish and validate a moderated-mediation model to discuss the effect of supervisor positive feedback on subordinate innovative behavior. Based on cognitive evaluation theory, the mediating role of intrinsic motivation and the moderating role of feedback orientation were also discussed in such relationship. The three-wave time lagged data of 411 Chinese subordinates and their direct supervisors were collected, and the PROCESS macro was used to test the research hypothesis in this study. The results showed that supervisor positive feedback has a strong predictive effect on subordinate innovative behavior. Meanwhile, intrinsic motivation partially mediated the positive effect of supervisor positive feedback subordinate innovative behavior. In addition, feedback orientation of subordinates moderated the associations among supervisor positive feedback, their intrinsic motivation, and innovative behavior, whereby supervisor positive feedback could make subordinates with high feedback orientation have higher intrinsic motivation level than those with low feedback orientation, and finally result in more innovative behavior. Taken together, these conclusions provide a new perspective the academic circle to explain the relationships between supervisor positive feedback, subordinate feedback orientation, intrinsic motivation, and innovative behavior, which also have certain enlightenment for improving subordinate innovative behavior in practice.</t>
  </si>
  <si>
    <t>[Su, Weilin; Zhang, Yinan] Capital Normal Univ, Sch Literature, 83 Xisanhuan North Rd, Beijing, Peoples R China</t>
  </si>
  <si>
    <t>Capital Normal University</t>
  </si>
  <si>
    <t>Zhang, YN (corresponding author), Capital Normal Univ, Sch Literature, 83 Xisanhuan North Rd, Beijing, Peoples R China.</t>
  </si>
  <si>
    <t>zhangyinan@cnu.edu.cn</t>
  </si>
  <si>
    <t>10.1007/s12144-022-04047-1</t>
  </si>
  <si>
    <t>6J5AO</t>
  </si>
  <si>
    <t>WOS:000886835800003</t>
  </si>
  <si>
    <t>Eisenbart, B; Lovallo, D; Garbuio, M; Cristofaro, M; Dong, AY</t>
  </si>
  <si>
    <t>Eisenbart, Boris; Lovallo, Dan; Garbuio, Massimo; Cristofaro, Matteo; Dong, Andy</t>
  </si>
  <si>
    <t>Future thinking and managers' innovative behavior: an experimental study</t>
  </si>
  <si>
    <t>Innovative behavior; Future thinking; Knowledge creation; Decision-making; Abductive reasoning</t>
  </si>
  <si>
    <t>DECISION-MAKING; INDIVIDUAL INNOVATION; POSITIVE PSYCHOLOGY; KNOWLEDGE CREATION; EPISODIC FORESIGHT; DESIGN; DETERMINANTS; UNCERTAINTY; INFORMATION; COGNITION</t>
  </si>
  <si>
    <t>PurposeDoes future thinking enhance managers' innovative behavior? This study aims to posit that the ability to project events while considering current/future variables and their development (i.e. future thinking) - inextricably linked with the knowledge creation process - may enhance the manager's accuracy and the number of potentially successful innovative ideas for organizations. Design/methodology/approachThe authors use a between-group experiment to examine the innovation choices of 47 subjects with experience in evaluating the market potential of new products when asked to support or otherwise reject real-life innovation-related ideas. The authors test the accuracy of decisions made by participants primed to apply future thinking, practically implemented through abductive reasoning, in their decision-making. FindingsThe authors found a significant change in managers' innovative choices, with participants primed for future thinking making significantly more accurate decisions than the control group. Those participants both correctly chose innovation-related ideas with significant future potential and rejected ideas with limited potential that ultimately failed. Originality/valueThis study explores how future thinking enhances managers' innovative behavior in organizations. It provides empirical evidence on how future thinking, practiced through abductive reasoning, can work to foster innovative behavior, which is an antecedent of knowledge creation. Organizations that foster future thinking concurrently create knowledge, increasing their competitive advantage in the long run.</t>
  </si>
  <si>
    <t>[Eisenbart, Boris] Swinburne Univ Technol, Dept Ind &amp; Architectural Design, Melbourne, Australia; [Lovallo, Dan; Garbuio, Massimo] Univ Sydney, Discipline Strategy Innovat &amp; Entrepreneurship, Business Sch, Sydney, Australia; [Cristofaro, Matteo] Univ Roma Tor Vergata, Dept Management &amp; Law, Rome, Italy; [Dong, Andy] Oregon State Univ, Sch Mech Ind &amp; Mfg Engn, Corvallis, OR USA</t>
  </si>
  <si>
    <t>Swinburne University of Technology; University of Sydney; University of Rome Tor Vergata; Oregon State University</t>
  </si>
  <si>
    <t>Garbuio, M (corresponding author), Univ Sydney, Discipline Strategy Innovat &amp; Entrepreneurship, Business Sch, Sydney, Australia.</t>
  </si>
  <si>
    <t>beisenbart@swin.edu.au; dan.lovallo@gmail.com; massimo.garbuio@sydney.edu.au; matteo.cristofaro@uniroma2.it; andy.dong@oregonstate.edu</t>
  </si>
  <si>
    <t>Garbuio, Massimo/HNI-6134-2023</t>
  </si>
  <si>
    <t>10.1108/JKM-02-2022-0102</t>
  </si>
  <si>
    <t>6I9US</t>
  </si>
  <si>
    <t>WOS:000886475700001</t>
  </si>
  <si>
    <t>Jain, P</t>
  </si>
  <si>
    <t>Jain, Priyanka</t>
  </si>
  <si>
    <t>Spiritual leadership and innovative work behavior: the mediated relationship of interpersonal trust and knowledge sharing in the hospitality sector of India</t>
  </si>
  <si>
    <t>Spiritual leadership; Innovative work behavior; Interpersonal trust; Knowledge; Sharing; Hospitality sector</t>
  </si>
  <si>
    <t>ORGANIZATIONAL PERFORMANCE; SERVANT LEADERSHIP; ETHICAL LEADERSHIP; CREATIVITY; EMPLOYEES; DETERMINANTS; ENGAGEMENT; WORKPLACE; HOTELS; MODEL</t>
  </si>
  <si>
    <t>PurposeThe paper aims to explore the relationship between spiritual leadership and employees' innovative behavior in the hospitality sector of India. The author proposes a holistic (serial mediation) model based on relational signaling theory (RST) and integrates individual, i.e. interpersonal trust and knowledge sharing factors as explanatory mechanisms.Design/methodology/approachThe study is conducted through probability sampling on 435 participants working in the hospitality sector of India. The proposed serial mediation model was examined using a structural equation modeling (SEM) method and the PROCESS model 6.FindingsThe result supports the full mediation model. Although spiritual leadership and innovative work behavior (IWB) had a little direct impact, they had considerable overall effects and indirect effects due to interpersonal trust and knowledge sharing. Similar to this, the study discovered evidence in favor of individual characteristics serving as explanatory mechanisms in the connection between spiritual leadership and IWB.Originality/valueBased on the RST, the study reveals that spiritual leaders motivate and inspire employees by involving the application of spiritual values and principles which help them in generating trust and share knowledge, leading to innovative behavior.</t>
  </si>
  <si>
    <t>[Jain, Priyanka] Amity Univ, Amity Business Sch, Noida, India</t>
  </si>
  <si>
    <t>Amity University Noida</t>
  </si>
  <si>
    <t>Jain, P (corresponding author), Amity Univ, Amity Business Sch, Noida, India.</t>
  </si>
  <si>
    <t>jainpriyanka301@gmail.com</t>
  </si>
  <si>
    <t>10.1108/LODJ-03-2022-0128</t>
  </si>
  <si>
    <t>WOS:000885047200001</t>
  </si>
  <si>
    <t>Kuang, TY; Hu, Y; Lu, Y</t>
  </si>
  <si>
    <t>Kuang, Ting Yue; Hu, Yue; Lu, Yan</t>
  </si>
  <si>
    <t>The effect of employee mindfulness in the new media industry on innovative behavior: The chain mediating role of positive emotion and work engagement</t>
  </si>
  <si>
    <t>employee mindfulness; positive emotion; work engagement; innovative behavior; new media industry</t>
  </si>
  <si>
    <t>JOB RESOURCES; INDIVIDUAL INNOVATION; STATE MINDFULNESS; NEGATIVE AFFECT; MODERATING ROLE; LEADERSHIP; CONSERVATION; CREATIVITY; DEMANDS; DETERMINANTS</t>
  </si>
  <si>
    <t>Mindfulness has long been concerned and emphasized by scholars in the field of psychology, but there is still a lack of research on mindfulness in management in China. In this study, a questionnaire survey was conducted among 483 employees in the new media industry in Beijing, Shanghai, Guangzhou, Shenzhen, and Hangzhou, China. After modeling and analysis, it was found that employee mindfulness has a positive influence on innovative behavior. Employee mindfulness and innovative behavior are mediated by positive emotions. Employee mindfulness and innovative behavior are mediated by work engagement. Employee mindfulness and innovative behavior are mediated by a chain of positive emotions and work engagement. Enterprise managers should improve the level of mindfulness of employees in the new media industry through mindfulness training and courses for mindfulness training, create an organizational environment that can arouse positive emotions and improve the positive emotions of employees, pay attention to arousing the enthusiasm of the staff, and promote the innovative behavior of staff while enhancing work engagement.</t>
  </si>
  <si>
    <t>[Kuang, Ting Yue] City Univ Macau, Fac Business, Macau, Peoples R China; [Hu, Yue; Lu, Yan] City Univ Macau, Inst Res Portuguese Speaking Countries IROPC, Macau, Peoples R China</t>
  </si>
  <si>
    <t>City University of Macau; City University of Macau</t>
  </si>
  <si>
    <t>Hu, Y; Lu, Y (corresponding author), City Univ Macau, Inst Res Portuguese Speaking Countries IROPC, Macau, Peoples R China.</t>
  </si>
  <si>
    <t>yueceeyhu@163.com; lannylu@163.com</t>
  </si>
  <si>
    <t>NOV 14</t>
  </si>
  <si>
    <t>10.3389/fpsyg.2022.976504</t>
  </si>
  <si>
    <t>6O7DY</t>
  </si>
  <si>
    <t>WOS:000890402800001</t>
  </si>
  <si>
    <t>Lashari, IA; Li, QY; Maitlo, Q; Bughio, FA; Jhatial, AA; Syed, OR</t>
  </si>
  <si>
    <t>Lashari, Ishfaque Ahmed; Li, Qiyuan; Maitlo, Qamaruddin; Bughio, Faraz Ali; Jhatial, Ashique Ali; Syed, Obed Rashidi</t>
  </si>
  <si>
    <t>Environmental sustainability through green HRM: Measuring the perception of university managers</t>
  </si>
  <si>
    <t>GHRM; employee innovative work behavior; environmental sustainability; RBV; private universities; innovation</t>
  </si>
  <si>
    <t>HUMAN-RESOURCE MANAGEMENT; SUPPLY CHAIN MANAGEMENT; OF-THE-ART; INNOVATIVE BEHAVIOR; INDIVIDUAL INNOVATION; CITIZENSHIP BEHAVIOR; EMPIRICAL-EVIDENCE; PLS-SEM; PERFORMANCE; FUTURE</t>
  </si>
  <si>
    <t>Environmental sustainability has gained great momentum worldwide especially in the United Nations (UN), governments, and corporations, and by those who promote global awareness of environmental challenges and are engaged in environmental management. Even as these stakeholders struggle hard, academia has actively engaged in an ongoing debate to make green human resource management an independent field of research and teaching. From the large body of academic literature, it has been observed that the field is yet in its embryonic stage in many developing countries such as Pakistan and there is insufficient knowledge on how universities face and manage environmental challenges. Hence, this study addressed this gap in the literature and measured the perception of public and private sector university managers regarding environmental sustainability by using a multi-respondent multi-wave design and collected data from academic heads/supervisors and university faculty in three-time intervals. The data found support for all the hypothetical relationships. The study revealed that the green human resource management (GHRM) practices of public and private universities have a positive impact on environmental sustainability through the mediation of innovative work behavior of employees.</t>
  </si>
  <si>
    <t>[Lashari, Ishfaque Ahmed] Wuhan Univ Technol, Sch Management, Wuhan, Peoples R China; [Li, Qiyuan] China West Normal Univ, Sch Management, Nanchong, Sichuan, Peoples R China; [Maitlo, Qamaruddin] Sukkur IBA Univ, Dept Business Adm, Sukkur, Pakistan; [Bughio, Faraz Ali] Botswana Int Univ Sci &amp; Technol, Palapye, Botswana; [Jhatial, Ashique Ali] Univ Sindh, Inst Commerce, Jamshoro, Pakistan</t>
  </si>
  <si>
    <t>Wuhan University of Technology; China West Normal University; Sukkur IBA University; University of Sindh</t>
  </si>
  <si>
    <t>Li, QY (corresponding author), China West Normal Univ, Sch Management, Nanchong, Sichuan, Peoples R China.</t>
  </si>
  <si>
    <t>191895426@qq.com</t>
  </si>
  <si>
    <t>10.3389/fpsyg.2022.1007710</t>
  </si>
  <si>
    <t>6R7SE</t>
  </si>
  <si>
    <t>WOS:000892497800001</t>
  </si>
  <si>
    <t>Shen, YF; Zhang, ZD; Song, HY; Zheng, JW; Bu, Q</t>
  </si>
  <si>
    <t>Shen, Yifei; Zhang, Zhenduo; Song, Haoyang; Zheng, Junwei; Bu, Qiong</t>
  </si>
  <si>
    <t>Being helpful and being innovative: The role of psychological meaningfulness and positive affect</t>
  </si>
  <si>
    <t>helping behavior; innovative behavior; psychological meaningfulness; positive affect; conservation of resources theory</t>
  </si>
  <si>
    <t>JOB-SATISFACTION; NEGATIVE AFFECT; WORK; BEHAVIOR; PERFORMANCE; ENGAGEMENT; SUPPORT; CONSERVATION; REFLECTIONS; VALIDATION</t>
  </si>
  <si>
    <t>The present study is developed based on conservation of resources theory (COR) to explore the underlying mechanism and boundary condition for the relationship between helping behavior and innovative behavior. To avoid the shortages of cross-sectional data, the present study collected two-wave and multi-source data. By collecting from 193 full-time Chinese workers and 68 supervisors at two separate time points, this study developed and examined a moderated mediation model using Mplus 7.0. The results show that helping behavior increases innovative behavior through enhancing positive affect, and psychological meaningfulness moderates the indirect relationship between helping behavior and innovative behavior through positive affect. In the condition of high psychological meaningfulness, helping behavior has a stronger indirect impact on innovative behavior through enhancing positive affect. This study enriches the literature on the outcomes of helping behavior. Moreover, this study provides several managerial implications to amplify the positive impact of helping behavior on innovative behavior. This study develops several strategies to enhance psychological meaningfulness and promote the benefits of helping behavior.</t>
  </si>
  <si>
    <t>[Shen, Yifei; Zhang, Zhenduo] Dalian Univ Technol, Sch Econ &amp; Management, Dalian, Peoples R China; [Song, Haoyang] Sun Yat sen Univ, Sch Informat Management, Guangzhou, Peoples R China; [Zheng, Junwei] Kunming Univ Sci &amp; Technol, Fac Civil Engn &amp; Mech, Kunming, Yunnan, Peoples R China; [Bu, Qiong] China Business Execut Acad, Dalian, Peoples R China</t>
  </si>
  <si>
    <t>Dalian University of Technology; Sun Yat Sen University; Kunming University of Science &amp; Technology</t>
  </si>
  <si>
    <t>Song, HY (corresponding author), Sun Yat sen Univ, Sch Informat Management, Guangzhou, Peoples R China.</t>
  </si>
  <si>
    <t>songhy29@mail.sysu.edu.cn</t>
  </si>
  <si>
    <t>Zheng, Junwei/0000-0002-1621-8210; SHEN, YIFEI/0000-0003-3886-3445</t>
  </si>
  <si>
    <t>Fundamental Research Funds for the Central Universities; National Natural Science Foundation of China; Guangdong Planning Office of Philosophy and Social Science;  [DUT21RC[3]089];  [72104256];  [71701083];  [GD21YTS02]</t>
  </si>
  <si>
    <t xml:space="preserve">Fundamental Research Funds for the Central Universities(Fundamental Research Funds for the Central Universities); National Natural Science Foundation of China(National Natural Science Foundation of China (NSFC)); Guangdong Planning Office of Philosophy and Social Science; ; ; ; </t>
  </si>
  <si>
    <t>Funding This research was supported by the Fundamental Research Funds for the Central Universities (DUT21RC[3]089), the National Natural Science Foundation of China (72104256 and 71701083), and the Guangdong Planning Office of Philosophy and Social Science (GD21YTS02).</t>
  </si>
  <si>
    <t>10.3389/fpsyg.2022.1045845</t>
  </si>
  <si>
    <t>6N5RU</t>
  </si>
  <si>
    <t>WOS:000889614400001</t>
  </si>
  <si>
    <t>Haverkamp, FJC; Rahim, I; Hoencamp, R; Fluit, CRMG; Van Laarhoven, KJHM; Tan, ECTH</t>
  </si>
  <si>
    <t>Haverkamp, Frederike J. C.; Rahim, Idris; Hoencamp, Rigo; Fluit, Cornelia R. M. G.; Van Laarhoven, Kees J. H. M.; Tan, Edward C. T. H.</t>
  </si>
  <si>
    <t>Self-efficacy and application of skills in the workplace after multidisciplinary trauma masterclass participation: a mixed methods survey and interview study</t>
  </si>
  <si>
    <t>EUROPEAN JOURNAL OF TRAUMA AND EMERGENCY SURGERY</t>
  </si>
  <si>
    <t>Team training; Damage control surgery; Trauma masterclass</t>
  </si>
  <si>
    <t>ADAPTIVE EXPERTISE; INNOVATIVE BEHAVIOR; PENETRATING TRAUMA; CRISIS MANAGEMENT; PERFORMANCE; EXPOSURE; MODEL</t>
  </si>
  <si>
    <t>Purpose The most complex injuries are usually least often encountered by trauma team members, limiting learning opportunities at work. Identifying teaching formats that enhance trauma skills can guide future curricula. This study evaluates self-assessed technical and nontechnical trauma skills and their integration into novel work situations for multidisciplinary trauma masterclass participants. Methods This mixed methods study included participants of a multidisciplinary 3-day trauma masterclass. Ratings of trauma skills were collected through pre- and postcourse questionnaires with 1-year follow-up. Qualitative semi-structured interviews 9 months postcourse focused on the course format and self-perceived association with technical and nontechnical skills applied at work. Results Response rates of pre- and postcourse questionnaires after 1 day, 3 months, and 1 year were respectively 72% (51/71), 85% (60/71), 34% (24/71), and 14% (10/71). Respondents were surgeons (58%), anesthesiologists (31%), and scrub nurses (11%). Self-efficacy in nontechnical (mean 3.4, SD 0.6 vs. mean 3.8, SD 0.5) and technical (mean 2.9, SD 0.6 vs. mean 3.6, SD 0.6) skills significantly increased postcourse (n = 40, p &lt; 0.001). Qualitative interviews (n = 11) demonstrated that increased self-efficacy in trauma skills was the greatest benefit experienced at work. Innovative application of skills and enhanced reflection demonstrate adaptive expertise. Small-group case discussions and the operative porcine laboratory were considered the most educational working formats. The experienced faculty and unique focus on multidisciplinary teamwork were highly valued. Conclusion Course participants' self-assessed work performance mostly benefited from greater self-efficacy and nontechnical skills. Future trauma curricula should consider aligning the teaching strategies accordingly.</t>
  </si>
  <si>
    <t>[Haverkamp, Frederike J. C.; Rahim, Idris; Van Laarhoven, Kees J. H. M.; Tan, Edward C. T. H.] Radboudumc, Dept Surg, Internal Postal Code 618,POB 9101, NL-6500 HB Nijmegen, Netherlands; [Hoencamp, Rigo] Alrijne Med Ctr, Dept Surg, Leiderdorp, Netherlands; [Hoencamp, Rigo] Erasmus MC, Dept Surg, Rotterdam, Netherlands; [Hoencamp, Rigo] Minist Def, Def Healthcare Org, The Hague, Netherlands; [Hoencamp, Rigo] Leiden Univ Med Ctr, Dept Surg, Leiden, Netherlands; [Fluit, Cornelia R. M. G.] Radboudumc Hlth Acad, Nijmegen, Netherlands</t>
  </si>
  <si>
    <t>Radboud University Nijmegen; Erasmus University Rotterdam; Erasmus MC; Leiden University; Leiden University Medical Center (LUMC)</t>
  </si>
  <si>
    <t>Haverkamp, FJC (corresponding author), Radboudumc, Dept Surg, Internal Postal Code 618,POB 9101, NL-6500 HB Nijmegen, Netherlands.</t>
  </si>
  <si>
    <t>Frederike.haverkamp@radboudumc.nl; idris.rahim@radboudumc.nl; rhoencamp@alrijne.nl; lia.fluit@radboudumc.nl; kees.vanlaarhoven@radboudumc.nl; Edward.tan@radboudumc.nl</t>
  </si>
  <si>
    <t>Fluit, Cornelia/AAC-4924-2021; Tan, Edward C.T.H./L-4681-2015</t>
  </si>
  <si>
    <t>Fluit, Cornelia/0000-0002-8714-9339; Tan, Edward C.T.H./0000-0002-9978-249X; Haverkamp, Frederike/0000-0003-4279-5916</t>
  </si>
  <si>
    <t>1863-9933</t>
  </si>
  <si>
    <t>1863-9941</t>
  </si>
  <si>
    <t>EUR J TRAUMA EMERG S</t>
  </si>
  <si>
    <t>Eur. J. Trauma Emerg. Surg.</t>
  </si>
  <si>
    <t>10.1007/s00068-022-02159-8</t>
  </si>
  <si>
    <t>Emergency Medicine</t>
  </si>
  <si>
    <t>6B8ZU</t>
  </si>
  <si>
    <t>WOS:000881616000002</t>
  </si>
  <si>
    <t>Kang, H; Song, M; Li, Y</t>
  </si>
  <si>
    <t>Kang, Hyesun; Song, Minyoung; Li, Yiran</t>
  </si>
  <si>
    <t>Self-Leadership and Innovative Behavior: Mediation of Informal Learning and Moderation of Social Capital</t>
  </si>
  <si>
    <t>self-leadership; innovative behavior; informal learning; social capital; organizational innovation; PROCESS Macro</t>
  </si>
  <si>
    <t>COGNITIVE THEORY; CREATIVITY; WORK; ORIENTATION; MANAGEMENT; PERFORMANCE; KNOWLEDGE; IMPLEMENTATION; WORKPLACE; EFFICACY</t>
  </si>
  <si>
    <t>As the business environment is rapidly changing, interest in the innovation of organizational members is accelerating. Therefore, this study investigated how individual-level resources, particularly self-leadership, affect workers' innovative behavior. Many studies have emphasized that employee initiative can lead to job performance at the individual level and organizational performance improvement. Self-leadership is a spontaneous and an active behavior, or mindset, defined as the ability to lead an individual in challenging situations characterized by learned behaviors that can be augmented by training. It is of interest to many researchers and practitioners. Further, we tested the mediation of informal learning, another individual-level resource, in this relationship and the moderation of social capital, a social resource, in the mediation. We analyzed the responses of 551 employees of South Korean companies using Model 6 and 14 of PROCESS Macro. The results revealed that self-leadership positively influenced workers' innovative behavior, and informal learning mediated this relationship. We also confirmed that social capital strengthened the positive mediating effect of informal learning. This study empirically verifies the role of self-leadership, informal learning, and social capital as the determinants of innovative behavior and expands the discussion on leadership by highlighting the significance of self-leadership as opposed to traditional leadership approaches.</t>
  </si>
  <si>
    <t>[Kang, Hyesun; Li, Yiran] Kyung Hee Univ, Sch Management, 701 Orbis Hall,24 Kyungheedae Ro, Seoul 02453, South Korea; [Song, Minyoung] Korea Lab &amp; Employment Serv, Mapo Daero 130, Seoul 04212, South Korea; [Li, Yiran] Yonsei Univ, Inst Educ Res, Fac Educ, 50 Yonsei Ro, Seoul 03722, South Korea</t>
  </si>
  <si>
    <t>Kyung Hee University; Yonsei University</t>
  </si>
  <si>
    <t>Li, Y (corresponding author), Kyung Hee Univ, Sch Management, 701 Orbis Hall,24 Kyungheedae Ro, Seoul 02453, South Korea.;Li, Y (corresponding author), Yonsei Univ, Inst Educ Res, Fac Educ, 50 Yonsei Ro, Seoul 03722, South Korea.</t>
  </si>
  <si>
    <t>ley@yonsei.ac.kr</t>
  </si>
  <si>
    <t>10.3390/bs12110443</t>
  </si>
  <si>
    <t>6U4IN</t>
  </si>
  <si>
    <t>WOS:000894332500001</t>
  </si>
  <si>
    <t>Cai, ZJ; Tian, YX; Wang, Z</t>
  </si>
  <si>
    <t>Cai, Zijun; Tian, Yixin; Wang, Zhen</t>
  </si>
  <si>
    <t>Career adaptability and proactive work behaviour: A relational model</t>
  </si>
  <si>
    <t>career adaptability; future work selves; proactive work behaviour</t>
  </si>
  <si>
    <t>INNOVATIVE BEHAVIOR; SOCIAL-EXCHANGE; JOB-PERFORMANCE; SELF-EFFICACY; LEADER; CONSTRUCTION; OUTCOMES; SATISFACTION; PERSONALITY; PREDICTORS</t>
  </si>
  <si>
    <t>Research on career adaptability has found that it helps people adapt at work. However, in modern uncertain and dynamic work environment, people need to perform proactive work behaviour to ensure individual effectiveness. Thus, to understand how career adaptability advances career development, it is necessary to examine its influences on proactive work behaviour. Adopting a relational perceptive, the current paper proposed leader-member exchange and perceived coworker support as the mediators and future work self salience as a moderator. Data were collected with a three-wave design in China. Findings largely supported the propositions, albeit showing partial mediation effects. This study extends existing understandings of the role of career adaptability at work, provides a new perspective about why it influences work-related outcomes and enriches the knowledge about the antecedents of proactive work behaviour.</t>
  </si>
  <si>
    <t>[Cai, Zijun] Beijing Normal Univ, Business Sch, Beijing, Peoples R China; [Tian, Yixin] Singapore Management Sch, Lee Kong Chian Sch Business, Singapore, Singapore; [Wang, Zhen] Renmin Univ China, Sch Lab &amp; Human Resources, 50 Zhongguancun St, Beijing 100872, Peoples R China</t>
  </si>
  <si>
    <t>Beijing Normal University; Singapore Management University; Renmin University of China</t>
  </si>
  <si>
    <t>Wang, Z (corresponding author), Renmin Univ China, Sch Lab &amp; Human Resources, 50 Zhongguancun St, Beijing 100872, Peoples R China.</t>
  </si>
  <si>
    <t>Wang, Zhen/0000-0003-4450-2304</t>
  </si>
  <si>
    <t>Fundamental Research Funds for the Central Universities [2019NTSS09]; Humanity and Social Science Youth Foundation of the Ministry of Education of China [18YJC630192]; National Natural Science Foundation of China [71971211]</t>
  </si>
  <si>
    <t>Fundamental Research Funds for the Central Universities(Fundamental Research Funds for the Central Universities); Humanity and Social Science Youth Foundation of the Ministry of Education of China; National Natural Science Foundation of China(National Natural Science Foundation of China (NSFC))</t>
  </si>
  <si>
    <t>Fundamental Research Funds for the Central Universities, Grant/Award Number: 2019NTSS09; Humanity and Social Science Youth Foundation of the Ministry of Education of China, Grant/Award Number: 18YJC630192; National Natural Science Foundation of China, Grant/Award Number: 71971211</t>
  </si>
  <si>
    <t>10.1111/joop.12411</t>
  </si>
  <si>
    <t>8T4HS</t>
  </si>
  <si>
    <t>WOS:000876555000001</t>
  </si>
  <si>
    <t>Bilgen, A; Elci, M</t>
  </si>
  <si>
    <t>Bilgen, Ayse; Elci, Meral</t>
  </si>
  <si>
    <t>The mediating role of organizational intelligence in the relationship between quantum leadership and innovative behavior</t>
  </si>
  <si>
    <t>innovative behavior; quantum leadership; organizational intelligence; leadership; COVID-19 pandemic</t>
  </si>
  <si>
    <t>COMPLEXITY SCIENCE; WORK; DETERMINANTS</t>
  </si>
  <si>
    <t>The present study aims to examine the mediator effect of organizational intelligence between quantum leadership and innovative behavior of employees in health organizations. It is aimed to examine the mediator effect of organizational intelligence between quantum leadership and innovative behavior of employees in health organizations. The data of the study were collected from 626 healthcare professionals working in hospitals and health centers in Istanbul, Turkey, by survey method. After the analysis of normality, validity and reliability, the hypotheses of the research were tested on the LISREL program using the structural equal modelling. The findings have showed that the three hypotheses of the research were confirmed: quantum leadership and organizational intelligence affect the innovative behaviors of employees positively and significantly, and organizational intelligence has a mediator effect between quantum leadership and the innovative behavior of employees. It is imperative that healthcare organizations, which are likely to encounter chaos and crisis risks such as the Covid-19 pandemic, follow innovation in order to provide better quality services. Quantum leadership and organizational intelligence are necessities in terms of revealing innovative behavior for healthcare organizations operating in a dynamic and chaotic environment. Since the effects of quantum leadership have not been studied in health organizations adequately, this study makes a contribution to fill this gap. In addition, it is predicted that the findings of this research will be illuminating in terms of innovative behaviors and leadership styles for health organizations that have a vital importance in all societies and have recently experienced a fact like COVID-19.</t>
  </si>
  <si>
    <t>[Bilgen, Ayse; Elci, Meral] Gebze Tech Univ, Social Sci Inst, Dept Business Adm, Kocaeli, Turkey</t>
  </si>
  <si>
    <t>Gebze Technical University</t>
  </si>
  <si>
    <t>Bilgen, A (corresponding author), Gebze Tech Univ, Social Sci Inst, Dept Business Adm, Kocaeli, Turkey.</t>
  </si>
  <si>
    <t>emeral@gtu.edu.tr</t>
  </si>
  <si>
    <t>10.3389/fpsyg.2022.1051028</t>
  </si>
  <si>
    <t>6C5JG</t>
  </si>
  <si>
    <t>WOS:000882049800001</t>
  </si>
  <si>
    <t>Matthewes, E; Nassar, A; Zihlmann, C</t>
  </si>
  <si>
    <t>Matthewes, Elisa; Nassar, Anis; Zihlmann, Christian</t>
  </si>
  <si>
    <t>Fostering innovation: Experimental evidence on the effectiveness of behavioral interventions</t>
  </si>
  <si>
    <t>RISK PERCEPTIONS; CREATIVITY; REPUTATION; COSTS</t>
  </si>
  <si>
    <t>We experimentally investigate an intervention that ought to motivate innovative behavior by changing risk perceptions. Participants run a virtual lemonade stand and face a trade-off between exploiting a known strategy and exploring untested approaches. Innovation through testing new approaches comes along with a risk of failure because participants are compensated based on the profits generated by their virtual business. We test whether we can draw attention away from this risk by implementing a salience mechanism, which ought to focus participants on the input rather than the outcome of the innovative process. However, we find that this intervention is not effective in motivating innovative behavior-rather, it jeopardizes innovation. We discuss potential behavioral channels and encourage further research of risk salience as a tool to foster innovation. Our pre-registered study highlights the importance of evaluating interventions before implementation, as even carefully designed interventions may turn out to be ineffective or even backfire.</t>
  </si>
  <si>
    <t>[Matthewes, Elisa; Nassar, Anis; Zihlmann, Christian] Univ Fribourg, Dept Econ, Fribourg, Switzerland; [Zihlmann, Christian] Berne Univ Appl Sci, Inst Appl Data Sci &amp; Finance, Bern, Switzerland</t>
  </si>
  <si>
    <t>University of Fribourg</t>
  </si>
  <si>
    <t>Zihlmann, C (corresponding author), Univ Fribourg, Dept Econ, Fribourg, Switzerland.;Zihlmann, C (corresponding author), Berne Univ Appl Sci, Inst Appl Data Sci &amp; Finance, Bern, Switzerland.</t>
  </si>
  <si>
    <t>christian.zihlmann@unifr.ch</t>
  </si>
  <si>
    <t>/0000-0002-7394-5334</t>
  </si>
  <si>
    <t>Swiss National Bank fund of the Department of Economics of the University of Fribourg; foundation Stiftung zur Forderung der Wirtschafts-und Sozialwissenschaftlichen Fakultat der Universitat Freiburg</t>
  </si>
  <si>
    <t>EM, AN, CZ received funding from the Swiss National Bank fund of the Department of Economics of the University of Fribourg. EM, AN, CZ received funding from the foundation Stiftung zur Fo&lt;spacing diaeresis&gt;rderung der Wirtschafts-und Sozialwissenschaftlichen Fakulta&lt;spacing diaeresis&gt;t der Universita&lt;spacing diaeresis&gt; t Freiburg. The funders had no role in study design, data collection and analysis, decision to publish, or preparation of the manuscript.</t>
  </si>
  <si>
    <t>OCT 19</t>
  </si>
  <si>
    <t>e0276463</t>
  </si>
  <si>
    <t>10.1371/journal.pone.0276463</t>
  </si>
  <si>
    <t>6J1XA</t>
  </si>
  <si>
    <t>WOS:000886620200060</t>
  </si>
  <si>
    <t>Fan, JP; Fan, YK; Yu, LL; Man, SY</t>
  </si>
  <si>
    <t>Fan, Jianpeng; Fan, Yukun; Yu, Lingli; Man, Shuyu</t>
  </si>
  <si>
    <t>How hindrance stress, proactive personality, and the employment relationship atmosphere affect employees' innovative behavior</t>
  </si>
  <si>
    <t>hindrance stress; proactive personality; employment relationship atmosphere; employees' innovative behavior; hierarchical linear model</t>
  </si>
  <si>
    <t>LEADER-MEMBER EXCHANGE; JOB-SATISFACTION; WORK STRESS; PERFORMANCE; CREATIVITY; CLIMATE; CITIZENSHIP; CHALLENGE; OUTCOMES; MODEL</t>
  </si>
  <si>
    <t>Hindrance stress is a stimulus factor in the workplace that has a certain impact on the innovative behavior of employees. Most existing studies focus on the analysis of individual-level factors, ignoring the important role of organizational-level factors. This study uses multiple linear models to empirically analyze the interaction mechanisms among hindrance stress, proactive personality, employment relationship atmosphere, and employee innovative behavior factors in the workplace. This study found the following: (1) Hindrance stress negatively affects employees' innovative behavior. (2) A proactive personality positively affects employees' innovative behavior. (3) A proactive personality plays a moderating role in the relationship between hindrance stress and employees' innovative behavior. (4) The employment relationship atmosphere has a positive impact on employees' innovative behavior. (5) The employment relationship atmosphere plays a moderating role in the relationship between hindrance stress and employees' innovative behavior. This study enriches theoretical knowledge in the field of human resources and provides guidance for business managers on the effective encouragement of employees' innovative behavior.</t>
  </si>
  <si>
    <t>[Fan, Jianpeng; Man, Shuyu] Pingdingshan Univ, Sch Econ Management, Pingdingshan, Henan, Peoples R China; [Fan, Yukun] Henan Univ Technol, Sch Econ &amp; Trade, Zhengzhou, Henan, Peoples R China; [Yu, Lingli] Henan Univ Anim Husb &amp; Econ, Sch Business Adm, Zhengzhou, Henan, Peoples R China</t>
  </si>
  <si>
    <t>Pingdingshan University; Henan University of Technology; Henan University of Animal Husbandry &amp; Economy</t>
  </si>
  <si>
    <t>Fan, JP (corresponding author), Pingdingshan Univ, Sch Econ Management, Pingdingshan, Henan, Peoples R China.</t>
  </si>
  <si>
    <t>2495@pdsu.edu.cn</t>
  </si>
  <si>
    <t>Fan, Yukun/I-8611-2014</t>
  </si>
  <si>
    <t>Doctoral Research Foundation of Pingdingshan University;  [PXY-BSQD-2022041]</t>
  </si>
  <si>
    <t xml:space="preserve">Doctoral Research Foundation of Pingdingshan University; </t>
  </si>
  <si>
    <t>Funding This research was supported by the Doctoral Research Foundation of Pingdingshan University (PXY-BSQD-2022041).</t>
  </si>
  <si>
    <t>10.3389/fpsyg.2022.969013</t>
  </si>
  <si>
    <t>5R5RX</t>
  </si>
  <si>
    <t>WOS:000874568700001</t>
  </si>
  <si>
    <t>Song, YJ; Lan, J; Zheng, GH; Wang, Y</t>
  </si>
  <si>
    <t>Song, Yajun; Lan, Jing; Zheng, Guanghuai; Wang, Yean</t>
  </si>
  <si>
    <t>Innovation of Social Workers Under Different Leadership Styles: An Experimental Vignette Study</t>
  </si>
  <si>
    <t>RESEARCH ON SOCIAL WORK PRACTICE</t>
  </si>
  <si>
    <t>innovation; survey experiment; leadership; social workers</t>
  </si>
  <si>
    <t>ETHICAL LEADERSHIP; TRANSFORMATIONAL LEADERSHIP; SERVANT LEADERSHIP; ORGANIZATIONAL READINESS; PSYCHOLOGICAL SAFETY; MEDIATING ROLE; CLIMATE; PERFORMANCE; BEHAVIOR; FUTURE</t>
  </si>
  <si>
    <t>Purpose: Using situational leadership theory, this study examined the innovation of social workers in community-level social work institutions under different leadership styles. Methods: We conducted an online survey experiment on the professional strengths of social workers in eight cities of mainland China from December 8-20, 2020. Results: Both ethical leadership and servant leadership are conducive to social workers' innovative behaviors. Our full model also suggests that organizational climate moderates the effects of leadership styles on innovative behaviors, with servant leadership having a greater impact than ethical leadership on social workers' innovative behavior in low-innovation climate environments, but ethical leadership has a greater impact than servant leadership on social workers' innovative behavior in high-innovation climate environments. Conclusion: Our study provides important strategies to fully stimulate the innovation effects of leadership based on the stage characteristics of social work innovation practices.</t>
  </si>
  <si>
    <t>[Song, Yajun] East China Univ Sci &amp; Technol, Dept Social Work, Shanghai, Peoples R China; [Lan, Jing; Wang, Yean] Beijing Normal Univ, Sch Social Dev &amp; Publ Policy, 20th Floor, Back Main Bldg, 19 Xinjiekou Outer St, Beijing 100875, Peoples R China; [Zheng, Guanghuai] Cent China Normal Univ, Sch Sociol, Wuhan, Hubei, Peoples R China</t>
  </si>
  <si>
    <t>East China University of Science &amp; Technology; Beijing Normal University; Central China Normal University</t>
  </si>
  <si>
    <t>Wang, Y (corresponding author), Beijing Normal Univ, Sch Social Dev &amp; Publ Policy, 20th Floor, Back Main Bldg, 19 Xinjiekou Outer St, Beijing 100875, Peoples R China.</t>
  </si>
  <si>
    <t>echowang@bnu.edu.cn</t>
  </si>
  <si>
    <t>Wang, Yean/0000-0002-1090-9598; ZHENG, Guanghuai/0000-0002-8852-2676</t>
  </si>
  <si>
    <t>1049-7315</t>
  </si>
  <si>
    <t>1552-7581</t>
  </si>
  <si>
    <t>RES SOCIAL WORK PRAC</t>
  </si>
  <si>
    <t>Res. Soc. Work. Pract.</t>
  </si>
  <si>
    <t>10.1177/10497315221131319</t>
  </si>
  <si>
    <t>A2QY6</t>
  </si>
  <si>
    <t>WOS:000953642400001</t>
  </si>
  <si>
    <t>Zhang, XC; Shen, JF; Sun, Y; Zhou, CC; Yang, Y</t>
  </si>
  <si>
    <t>Zhang, Xianchun; Shen, Jianfa; Sun, Yi; Zhou, Changchang; Yang, Yu</t>
  </si>
  <si>
    <t>Formation of City Regions from Bottom-up Initiatives: Investigating Coalitional Developmentalism in the Pearl River Delta</t>
  </si>
  <si>
    <t>ANNALS OF THE AMERICAN ASSOCIATION OF GEOGRAPHERS</t>
  </si>
  <si>
    <t>bottom-up initiatives; city regionalism; coalitional developmentalism; coalitional politics; Pearl River Delta</t>
  </si>
  <si>
    <t>LOCAL STATE; SPATIAL SELECTIVITY; INDUSTRIAL PARK; CHINA; URBAN; COOPERATION; GOVERNANCE; BUSINESS; POLITICS; ENTREPRENEURIALISM</t>
  </si>
  <si>
    <t>A conceptual framework of coalitional developmentalism is presented to advance understanding of how China's city regions have developed from bottom-up initiatives. Coalitional developmentalism extends state developmentalism with an emphasis on coalitional politics through which local state agents spontaneously form strategic coalitions to pursue regional growth. The case of the Pearl River Delta shows that a defining goal of coalitional developmentalism is to bolster regional governance capacity to overcome territorial fragmentation induced by jurisdiction-based development. First, the flexible state regulation is fundamental to developing deliberate scale-building processes toward regional governance. Second, bottom-up initiatives for building city regions emerge through a decentralized institutional structure in which governments at various scales work in an integrated fashion-via the functional integration of cities in a local official system-and the strong governance capacity of advanced cities. Third, coalitional developmentalism creates a testbed for facilitating region-based territorial growth by the central government, following long-established planning centrality paradigms. Fourth, bottom-up innovative behaviors unfold through coalitional politics associated with the top-down state spatial interventions that are a distinctive characteristic of state spatiality in postreform China.</t>
  </si>
  <si>
    <t>[Zhang, Xianchun] Zhejiang Univ, Sch Publ Affairs, Hangzhou, Zhejiang, Peoples R China; [Zhang, Xianchun; Shen, Jianfa] Chinese Univ Hong Kong, Dept Geog &amp; Resource Management, Hong Kong, Peoples R China; [Sun, Yi] Hong Kong Polytech Univ, Dept Bldg &amp; Real Estate, Hong Kong, Peoples R China; [Sun, Yi] Hong Kong Polytech Univ, Res Inst Land &amp; Space, Hong Kong, Peoples R China; [Zhou, Changchang] Nanjing Normal Univ, Sch Geog, Nanjing, Jiangsu, Peoples R China; [Yang, Yu] Chinese Acad Sci, Inst Geog Sci &amp; Nat Resource Res, Beijing, Peoples R China</t>
  </si>
  <si>
    <t>Zhejiang University; Chinese University of Hong Kong; Hong Kong Polytechnic University; Hong Kong Polytechnic University; Nanjing Normal University; Chinese Academy of Sciences; Institute of Geographic Sciences &amp; Natural Resources Research, CAS</t>
  </si>
  <si>
    <t>Zhang, XC (corresponding author), Zhejiang Univ, Sch Publ Affairs, Hangzhou, Zhejiang, Peoples R China.;Zhang, XC (corresponding author), Chinese Univ Hong Kong, Dept Geog &amp; Resource Management, Hong Kong, Peoples R China.</t>
  </si>
  <si>
    <t>zhangxianchun@zju.edu.cn; jianfa@cuhk.edu.hk; yi.sun@polyu.edu.hk; chang.cz@nnu.edu.cn; yangyu@igsnrr.ac.cn</t>
  </si>
  <si>
    <t>yang, yu/D-6527-2013; Sun, Yi/Q-6694-2016</t>
  </si>
  <si>
    <t>Shen, Jianfa/0000-0003-4110-0561; Zhou, Changchang/0000-0002-7982-0401; Sun, Yi/0000-0001-9618-6097; Yang, Yu/0000-0001-9283-0068</t>
  </si>
  <si>
    <t>Impact Postdoctoral Fellowship Scheme [3133058]; Research Grants Council of the Hong Kong Special Administrative Region, China [PolyU 25609920]; National Natural Science Foundation of China [42101187]; Ministry of Education of China [20JZD013]</t>
  </si>
  <si>
    <t>Impact Postdoctoral Fellowship Scheme; Research Grants Council of the Hong Kong Special Administrative Region, China(Hong Kong Research Grants Council); National Natural Science Foundation of China(National Natural Science Foundation of China (NSFC)); Ministry of Education of China(Ministry of Education, China)</t>
  </si>
  <si>
    <t>The research reported in this article was funded by the Impact Postdoctoral Fellowship Scheme (Project No. 3133058), the Research Grants Council of the Hong Kong Special Administrative Region, China (Project No. PolyU 25609920), the National Natural Science Foundation of China (Project No. 42101187), and the Ministry of Education of China (Project No. 20JZD013).</t>
  </si>
  <si>
    <t>2469-4452</t>
  </si>
  <si>
    <t>2469-4460</t>
  </si>
  <si>
    <t>ANN AM ASSOC GEOGR</t>
  </si>
  <si>
    <t>Ann. Am. Assoc. Geogr.</t>
  </si>
  <si>
    <t>10.1080/24694452.2022.2130868</t>
  </si>
  <si>
    <t>9M9WR</t>
  </si>
  <si>
    <t>WOS:000874741300001</t>
  </si>
  <si>
    <t>Awan, MAA; Jehanzeb, K</t>
  </si>
  <si>
    <t>Awan, Muhammad Ayyaz Abid; Jehanzeb, Khawaja</t>
  </si>
  <si>
    <t>How CEO transformational leadership impacts organizational and individual innovative behavior: collaborative HRM as mediator</t>
  </si>
  <si>
    <t>CEO transformational Leadership; Collaborative HRM practices; Organizational innovation; Individual innovative behavior</t>
  </si>
  <si>
    <t>FIRM PERFORMANCE; UPPER ECHELONS; MANAGEMENT; COMMITMENT; CLIMATE; CAPABILITIES; CREATIVITY; LEVEL</t>
  </si>
  <si>
    <t>Purpose The purpose of this research is to examine how the chief exective officers (CEO's) transformational leadership impacts organizational innovation and individual innovative behavior, through the mediating role of collaborative human resource management (HRM) practices. Design/methodology/approach By using a stratified sampling technique, the data were obtained from ten Microfinance banks located in five metropolitan cities of Pakistan. By adopting a purposive sampling technique, total 427 responses were received out of which 411 responses were considered for data analysis. Structural equation modeling (SEM) technique was adopted using AMOS 21.0 to test the developed hypotheses. Findings The findings of the study described a significant and positive relationship between CEO transformational leadership and collaborative HRM. The collaborative HRM has also a positive impact on organizational innovation and individual innovative behavior. Moreover, the results revealed that collaborative HRM fully mediates between CEO transformational leadership and organizational innovation. However, partial mediate between CEO transformational leadership and individual innovative behavior. Practical implications The results of this study can be helpful for bank organizations and policymakers who have extended vision and anticipate the significance of innovation in a fast-changing market. The results of the study also provide the space and scope for prospective researchers and scholars for further research. Originality/value There is substantial literature existing on the relationship between CEO transformational leadership, organizational innovation and individual innovative behavior. However, the study finds this that only few researchers took the opportunity to observe the mediating role of collaborative HRM on the relationship between CEO transformational leadership, organizational innovation and individual innovative behavior in the context of Pakistan.</t>
  </si>
  <si>
    <t>[Awan, Muhammad Ayyaz Abid; Jehanzeb, Khawaja] GIFT Univ, Fac Management Sci, Gujranwala, Pakistan</t>
  </si>
  <si>
    <t>Jehanzeb, K (corresponding author), GIFT Univ, Fac Management Sci, Gujranwala, Pakistan.</t>
  </si>
  <si>
    <t>k.jehanzeb@gift.edu.pk</t>
  </si>
  <si>
    <t>Jehanzeb, Khawaja/0000-0001-6181-4591; Awan, Muhammad Ayyaz/0000-0002-8422-1761</t>
  </si>
  <si>
    <t>NOV 7</t>
  </si>
  <si>
    <t>10.1108/LODJ-05-2021-0197</t>
  </si>
  <si>
    <t>5X3CT</t>
  </si>
  <si>
    <t>WOS:000863901300001</t>
  </si>
  <si>
    <t>Exploring the relationship between core self-evaluation and employee innovative behaviour: The role of emotional factors</t>
  </si>
  <si>
    <t>core self-evaluation; emotional exhaustion; innovative behaviour; trait emotional intelligence</t>
  </si>
  <si>
    <t>JOB-SATISFACTION; INTELLIGENCE; PERFORMANCE; EXHAUSTION; EFFICACY; WORK; CONSERVATION; PERCEPTIONS; WORKPLACE; RESOURCES</t>
  </si>
  <si>
    <t>This study sought to examine the roles of emotional factors of trait emotional intelligence and emotional exhaustion in the relationship between employee core self-evaluations and employee innovative behaviour. Data were from a sample of 299 employees of three manufacturing companies in China (female = 45.80%; mean age = 34.81 years, SD = 7.10). Bootstrapping analyses showed that employee core self-evaluations was positively associated with innovative behaviour. Employee trait emotional intelligence mediated the relationship between employee core self-evaluations and their innovative behaviour, boosting innovation behaviour scores. Emotional exhaustion lessened the direct relationship of trait emotional intelligence with innovative behaviour. In addition, emotional exhaustion indirectly reduced the relationship between employee core self-evaluations and innovative behaviour, through trait emotional intelligence. These findings imply a need for emotional exhaustion reduction interventions for employees to increase their work innovation potential across the trait emotional intelligence continuum.</t>
  </si>
  <si>
    <t>[Ding, He; Yu, Enhai; Li, Yanbin] North China Elect Power Univ, Sch Econ &amp; Management, Beijing, Peoples R China</t>
  </si>
  <si>
    <t>Ministry of Education: Research and Practice [2021140017]; Beijing Higher Education Association [YB202153]</t>
  </si>
  <si>
    <t>Ministry of Education: Research and Practice; Beijing Higher Education Association</t>
  </si>
  <si>
    <t>We acknowledge the financial support from the first batch of new liberal arts research and reform practice projects of the Ministry of Education: Research and Practice on the Training Model of Economics and Management Innovative Talents Based on Problem Chain Teaching under the New Liberal Arts Background (2021140017) and Beijing Higher Education Association on 2021 topics: Research on the Transformation of Management Professional Practice Teaching Education Base Model (YB202153). The authors declare that there is no conflict of interest. The authors are grateful to the employees who participated in this study. The data that support the findings of this study are available from HD (believedh@126.com), upon reasonable request.</t>
  </si>
  <si>
    <t>SEP 3</t>
  </si>
  <si>
    <t>10.1080/14330237.2022.2120700</t>
  </si>
  <si>
    <t>6Q7AR</t>
  </si>
  <si>
    <t>WOS:000864097900001</t>
  </si>
  <si>
    <t>Antonio, T; Indrianto, ATL; Padmawidjaja, L</t>
  </si>
  <si>
    <t>Antonio, Tony; Indrianto, Agoes Tinus Lis; Padmawidjaja, Liestya</t>
  </si>
  <si>
    <t>In search of mediators of leadership behavior to Team Creativity in Team Start-ups</t>
  </si>
  <si>
    <t>Servant Leadership behavior; Transformational Leadership behavior; Team Ambidexterity; Team Climate; Team Creativity; Team Start-up</t>
  </si>
  <si>
    <t>RESEARCH-AND-DEVELOPMENT; SERVANT LEADERSHIP; TRANSFORMATIONAL LEADERSHIP; AMBIDEXTROUS LEADERSHIP; ORGANIZATIONAL AMBIDEXTERITY; MULTILEVEL MEDIATION; PSYCHOLOGICAL SAFETY; INNOVATIVE BEHAVIOR; PRODUCT DEVELOPMENT; WORK-ENVIRONMENT</t>
  </si>
  <si>
    <t>Creativity is believed as the first step to innovation, especially in a team or workgroup in an organization. Team Creativity will lead to several innovations in a team, such as product and process innovation. Team leaders play a significant role in embracing Team Creativity. Our study investigates the mediator variables to foster the impact of leadership behavior on Team Creativity in Team Start-up. Earlier research shows that two value-based leadership styles, Transformational and Servant Leadership, significantly affect a team's creativity. We proposed two mediators of leadership behavior to foster Team Creativity: Team Climate and Team Ambidexterity. The sample is early Team Start-ups in several cities in Indonesia, run and led by young people. It is empirical cross-sectional quantitative research with more than 434 participants aggregated into 145 teams. The result shows that Team Climate and Team Ambidexterity are good mediators of Servant and Transformational Leadership behavior to Team Creativity in Team Start-ups. The two variables maximize the impact of leadership behavior on Team Creativity.</t>
  </si>
  <si>
    <t>[Antonio, Tony; Indrianto, Agoes Tinus Lis; Padmawidjaja, Liestya] Univ Ciputra, Surabaya, Indonesia</t>
  </si>
  <si>
    <t>Indrianto, ATL (corresponding author), Univ Ciputra, Surabaya, Indonesia.</t>
  </si>
  <si>
    <t>agoes.tinus@ciputra.ac.id</t>
  </si>
  <si>
    <t>Antonio, Tony/AAA-9304-2021</t>
  </si>
  <si>
    <t>Ministry of Education, Culture, Research, and Technology, the Republic of Indonesia [005/UC-LPPM/PT-L/V/2022]</t>
  </si>
  <si>
    <t>Ministry of Education, Culture, Research, and Technology, the Republic of Indonesia</t>
  </si>
  <si>
    <t>This research program was funded by the Ministry of Education, Culture, Research, and Technology, the Republic of Indonesia, under the research grant no. 005/UC-LPPM/PT-L/V/2022 of the Directorate General of Higher Education.</t>
  </si>
  <si>
    <t>10.3389/fpsyg.2022.951603</t>
  </si>
  <si>
    <t>5M4QZ</t>
  </si>
  <si>
    <t>WOS:000871083100001</t>
  </si>
  <si>
    <t>Deng, J; Nam, EY</t>
  </si>
  <si>
    <t>Deng, Jun; Nam, Eun-Young</t>
  </si>
  <si>
    <t>Effects of Chinese Firms' Innovation on New Energy Vehicles Purchases</t>
  </si>
  <si>
    <t>China; firms innovation; new energy vehicle; purchase intention</t>
  </si>
  <si>
    <t>CONSUMERS; TRANSPORT; COMMERCE; STATE; MODEL</t>
  </si>
  <si>
    <t>As energy shortages and environmental pollution intensify, innovation in new energy vehicles is considered a major priority. They present an important opportunity to change the direction of China's automobile industry while reducing greenhouse gas emissions. Following various launches of new energy vehicles, the problem of product homogenization is emerging, and automobile companies are contemplating how to increase their market share. This study investigates a few questions that have been left unanswered in previous research, which are mainly focused on the value and price of new energy vehicles. We focus on the effect of new energy vehicle companies' innovative behaviors on consumers' purchasing intention in the Chinese market. Innovative behaviors are defined here as the rationalization or modernization choices firms make with respect to products, marketing, service, technological, and cultural factors. The study verified the structural equation model constructed using survey data. Our study of 479 surveyed customers shows that consumers' perceived value is positively (+) correlated with a higher degree of innovation by a firm. In general, the relationship between innovation behavior and consumers' perceived risk shows negative results, however, the relationship in this research showed contradictory results. The only negative (-) effects on product purchase were observed in marketing and technological innovation; these factors increase perceived risk by increasing the tendency of consumers to choose to purchase a new energy vehicle despite feeling uneasy about the innovation despite uncertainties about the innovation of new energy vehicles. Our results present the relationship between innovative behaviors of new energy vehicle firms, consumers' perceived value, consumers' perceived risk, consumers' innovative affinities and characteristics, and finally, purchase intention to explore the influence of innovation factors on consumers' purchase intention of new energy vehicles. These findings should assist new vehicle firms in understanding Chinese consumers' purchase intentions.</t>
  </si>
  <si>
    <t>[Deng, Jun] Zhaoqing Univ, Sch Econ &amp; Management, Zhaoqing 526060, Peoples R China; [Nam, Eun-Young] Dongguk Univ Seoul, Dept Global Trade, Seoul 04620, South Korea</t>
  </si>
  <si>
    <t>Zhaoqing University; Dongguk University</t>
  </si>
  <si>
    <t>Nam, EY (corresponding author), Dongguk Univ Seoul, Dept Global Trade, Seoul 04620, South Korea.</t>
  </si>
  <si>
    <t>nanyinying@dgu.ac.kr</t>
  </si>
  <si>
    <t>Nam, Eun-Young/0000-0002-3134-934X</t>
  </si>
  <si>
    <t>Zhaoqing University [QN202207]; Zhaoqing University</t>
  </si>
  <si>
    <t>Zhaoqing University; Zhaoqing University</t>
  </si>
  <si>
    <t>This research was funded by [Zhaoqing University], grant number [QN202207]. And The APC was funded by [Zhaoqing University].</t>
  </si>
  <si>
    <t>10.3390/su141912426</t>
  </si>
  <si>
    <t>5G7XR</t>
  </si>
  <si>
    <t>WOS:000867207700001</t>
  </si>
  <si>
    <t>Jung, KB; Kang, SW; Choi, SB</t>
  </si>
  <si>
    <t>Jung, Ki Baek; Kang, Seung-Wan; Choi, Suk Bong</t>
  </si>
  <si>
    <t>Paradoxical Leadership and Involvement in Creative Task via Creative Self-Efficacy: A Moderated Mediation Role of Task Complexity</t>
  </si>
  <si>
    <t>paradoxical leadership; creative self-efficacy; involvement in creative task; moderated mediation model</t>
  </si>
  <si>
    <t>EMPLOYEE CREATIVITY; ORGANIZATIONAL AMBIDEXTERITY; TRANSFORMATIONAL LEADERSHIP; CHARISMATIC LEADERSHIP; BEHAVIORAL COMPLEXITY; PROACTIVE PERSONALITY; PSYCHOLOGICAL SAFETY; INNOVATIVE BEHAVIOR; CONTEXTUAL FACTORS; JOB COMPLEXITY</t>
  </si>
  <si>
    <t>Modern organizational environments encounter serious competition and paradoxical situations. This study discusses the effect of paradoxical leadership on overcoming competitive and paradoxical situations happening in the Korean workplace. More specifically, it investigates the dynamic relationship between paradoxical leadership and involvement in creative tasks in a Korean context and examines whether creative self-efficacy positively mediates this relationship. Our research design addresses the moderating role and moderated mediating role of task complexity in the relationship between paradoxical leadership and the involvement in creative tasks via creative self-efficacy. The main hypotheses were tested by using a cross-sectional design and administering questionnaires to 268 employees working in Korean firms. Empirical analysis revealed that paradoxical leadership is positively related to involvement in creative tasks and creative self-efficacy and that creative self-efficacy positively mediated the relationship between paradoxical leadership and involvement in creative tasks. Importantly, as the relationship between paradoxical leadership and creative self-efficacy depends on task complexity, the mediated relationship was effective under high task complexity. Uncovering the relationship between paradoxical leadership and involvement in creative tasks with the mediating role of creative self-efficacy and the moderated mediating role of task complexity can provide useful theoretical and managerial implications.</t>
  </si>
  <si>
    <t>[Jung, Ki Baek; Choi, Suk Bong] Korea Univ, Coll Global Business, Sejong 30019, South Korea; [Kang, Seung-Wan] Gachon Univ, Coll Business, Seongnam 13120, South Korea</t>
  </si>
  <si>
    <t>globa17@gachon.ac.kr; sukchoi@korea.ac.kr</t>
  </si>
  <si>
    <t>Gachon University [GCU-202207080001]</t>
  </si>
  <si>
    <t>This work was supported by the Gachon University research fund of 2022 (GCU-202207080001).</t>
  </si>
  <si>
    <t>10.3390/bs12100377</t>
  </si>
  <si>
    <t>5O0XY</t>
  </si>
  <si>
    <t>WOS:000872208000001</t>
  </si>
  <si>
    <t>Can group diversity translate adhocracy culture into service innovative behavior among hospitality employees? A multilevel study</t>
  </si>
  <si>
    <t>Service innovative behavior; Adhocracy culture; Group diversity; Task interdependence; Multilevel analysis</t>
  </si>
  <si>
    <t>ORGANIZATIONAL CULTURE; TRANSFORMATIONAL LEADERSHIP; MEDIATING ROLE; DEVELOPMENTAL CULTURE; CREATIVE PERFORMANCE; CHINESE HOSPITALITY; SELF-EFFICACY; JOB; ENGAGEMENT; EXTROVERSION</t>
  </si>
  <si>
    <t>Hospitality organizations rely on employees' service innovative behavior to improve existing service products and develop new service products to achieve customer satisfaction and loyalty as well as attract new customers. Nevertheless, whether and how team culture facilitates service innovative behavior has been rarely investigated. The purpose of this study is to validate a model of multilevel effect of adhocracy culture on service innovative behavior. Data were collected from 34 Chinese hospitality organizations. Multilevel structural equation modeling was employed for model validation. Results revealed that adhocracy culture fostered service innovative behavior via group diversity in terms of extroversion and openness. Task interdependence interacted with group extro-version diversity to enhance service innovative behavior, but did not interact with group openness diversity. These findings advance the culture-innovation research in the hospitality discipline, and provide hospitality practitioners with recommendations to enhance service innovative behavior through building adhocracy culture and increasing group diversity.</t>
  </si>
  <si>
    <t>[Yang, Mingjun] La Trobe Univ, La Trobe Business Sch, Plenty Rd &amp; Kingsbury Dr, Bundoora, Vic 3086, Australia; [Luu, Tuan Trong; Qian, David] Swinburne Univ Technol, Swinburne Business Sch, Hawthorn, Vic, Australia</t>
  </si>
  <si>
    <t>La Trobe University; Swinburne University of Technology</t>
  </si>
  <si>
    <t>Yang, MJ (corresponding author), La Trobe Univ, La Trobe Business Sch, Plenty Rd &amp; Kingsbury Dr, Bundoora, Vic 3086, Australia.</t>
  </si>
  <si>
    <t>10.1016/j.ijhm.2022.103332</t>
  </si>
  <si>
    <t>6I3UO</t>
  </si>
  <si>
    <t>WOS:000886053500009</t>
  </si>
  <si>
    <t>Zheng, M; Xu, ZT; Qu, YY</t>
  </si>
  <si>
    <t>Zheng, Min; Xu, Zhenting; Qu, Yiying</t>
  </si>
  <si>
    <t>The Effect of Mindful Leadership on Employee Innovative Behavior: Evidence from the Healthcare Sectors in China</t>
  </si>
  <si>
    <t>employee innovative behavior; mindful leadership; creative process engagement; creative self-efficacy</t>
  </si>
  <si>
    <t>CREATIVE SELF-EFFICACY; PROCESS ENGAGEMENT; PERFORMANCE; INTERVENTIONS; ANTECEDENTS; WORKPLACE; BENEFITS; MODEL; WORK</t>
  </si>
  <si>
    <t>In the health care system, it is increasingly apparent that employee innovative behavior improves the core competitiveness and resilience of organizations. Previous research has identified leadership behavior as a key predictor of employee innovative behavior. Following this logic and by integrating social information processing theory with existing research conclusions, we constructed a moderated mediation model to examine the mechanism by which mindful leadership influences employee innovative behavior. An empirical analysis of 361 questionnaires that were completed by employees from the healthcare sector in China shows that mindful leadership is positively and significantly correlated with employee innovative behavior. Creative process engagement was found to play a mediating role in this relationship. Moreover, creative self-efficacy positively moderated the relationship between mindful leadership and creative process engagement and moderated the mediating effect of creative process engagement on the relationship between mindful leadership and employee innovative behavior. That is, compared with employees with lower creative self-efficacy, employees with higher creative self-efficacy experienced a stronger indirect effect of mindful leadership on their innovative behavior. This study enriches the theoretical research on mindful leadership, clarifies the mechanism and boundary conditions of the effect of mindful leadership on employee innovative behavior, and provides theoretical support for organizational activities that stimulate and guide employee innovative behavior.</t>
  </si>
  <si>
    <t>[Zheng, Min] Linyi Univ, Sch Logist, Linyi 276000, Shandong, Peoples R China; [Xu, Zhenting] Qingdao Univ Technol, Business Sch, Qingdao 266525, Peoples R China; [Qu, Yiying] East China Univ Polit Sci &amp; Law, Business Sch, Shanghai 200042, Peoples R China</t>
  </si>
  <si>
    <t>Linyi University; Qingdao University of Technology; East China University Political Science &amp; Law</t>
  </si>
  <si>
    <t>Xu, ZT (corresponding author), Qingdao Univ Technol, Business Sch, Qingdao 266525, Peoples R China.</t>
  </si>
  <si>
    <t>tjphdll@126.com</t>
  </si>
  <si>
    <t>Xu, Zhenting/0000-0002-0463-2465</t>
  </si>
  <si>
    <t>Shandong Provincial Natural Science Foundation [ZR2020QG018]; Science Foundation of The Ministry of Education of China [19C10276025]</t>
  </si>
  <si>
    <t>Shandong Provincial Natural Science Foundation(Natural Science Foundation of Shandong Province); Science Foundation of The Ministry of Education of China(Ministry of Education, China)</t>
  </si>
  <si>
    <t>This research was funded by the Shandong Provincial Natural Science Foundation, grant number ZR2020QG018, and the Science Foundation of The Ministry of Education of China, grant number 19C10276025.</t>
  </si>
  <si>
    <t>10.3390/ijerph191912263</t>
  </si>
  <si>
    <t>5G0XZ</t>
  </si>
  <si>
    <t>WOS:000866732300001</t>
  </si>
  <si>
    <t>How and when to activate hospitality employees' organizational citizenship behavior for the environment in South Korea and Vietnam</t>
  </si>
  <si>
    <t>Organizational citizenship behavior for the environment; green human resource practices; shared green vision; green authentic leadership; harmonious environmental passion</t>
  </si>
  <si>
    <t>HUMAN-RESOURCE MANAGEMENT; CORPORATE SOCIAL-RESPONSIBILITY; SERVICE INNOVATIVE BEHAVIOR; AUTHENTIC LEADERSHIP; MEDIATING ROLE; TRANSFORMATIONAL LEADERSHIP; TURNOVER INTENTION; FIRM PERFORMANCE; WORKPLACE GOSSIP; HOTEL EMPLOYEES</t>
  </si>
  <si>
    <t>Due to the salience of organizational citizenship behavior for the environment (OCBE) in implementing the organizational sustainability strategy, our study aims to examine mechanisms underlying hospitality employees' OCBE. The data were gathered from 459 employees and 98 supervisors from the South Korean hospitality context and 581 employees and 117 supervisors from the Vietnamese hospitality context. The results showed that, in both samples, green authentic leadership served as a mediation channel for the link between green human resource practices and hospitality employees' harmonious environmental passion, which in turn mediated the linkage between green authentic leadership and hospitality employees' OCBE. Shared green vision among managers was positively linked with green authentic leadership as well as positively interacted with green HRM practices to predict green authentic leadership. This study advances the green HRM literature by identifying green authentic leadership and harmonious environmental passion as a two-phase mediation mechanism and managers' shared green vision as a moderator for the effects of green HRM practices on employee OCBE. These results suggest to hospitality managers how to optimally promote OCBE among employees by establishing green HRM practices, facilitating the sharing of green vision and the development of green authentic leadership among managers.</t>
  </si>
  <si>
    <t>[Trong Tuan Luu] Swinburne Univ Technol, Sch Business Law &amp; Entrepreneurship, Hawthorn, Vic, Australia</t>
  </si>
  <si>
    <t>Luu, TT (corresponding author), Swinburne Univ Technol, Sch Business Law &amp; Entrepreneurship, Hawthorn, Vic, Australia.</t>
  </si>
  <si>
    <t>10.1080/09669582.2022.2127741</t>
  </si>
  <si>
    <t>5F5ZC</t>
  </si>
  <si>
    <t>WOS:000866392500001</t>
  </si>
  <si>
    <t>Turcotte-Legare, N; Gaudet, MC; Doucet, O</t>
  </si>
  <si>
    <t>Turcotte-Legare, Nicolas; Gaudet, Marie-Claude; Doucet, Olivier</t>
  </si>
  <si>
    <t>Comprendre les effets du leadership d'habilitation sur les comportements positifs et negatifs de performance: etude dans le secteur manufacturier</t>
  </si>
  <si>
    <t>citizenship; commitment; deviance; empowering leadership; empowerment; innovation</t>
  </si>
  <si>
    <t>COUNTERPRODUCTIVE WORK BEHAVIOR; EMPOWERING LEADERSHIP; ORGANIZATIONAL CITIZENSHIP; PSYCHOLOGICAL EMPOWERMENT; JOB-PERFORMANCE; RELATIVE IMPORTANCE; EMPLOYEE BEHAVIORS; NORMATIVE COMMITMENT; MANAGEMENT TEAMS; SELF-EFFICACY</t>
  </si>
  <si>
    <t>For several years, the North American manufacturing sector has been facing several labour issues that undermine productivity. To address these issues and remain competitive, manufacturing firms must implement measures to promote overall worker performance. This study presents an integrative to understand the differentiated impact of empowering leadership (EL) on four dimensions of performance (task, citizenship, innovation, deviance) through two mediators (psychological empowerment (PE) and affective organizational commitment). Structural equation modeling was used to analyze data from 250 employee-supervisor dyads in the manufacturing industry. On the one hand, our results reveal that EL exerts a positive influence on citizenship and innovative behavior through increased PE. On the other hand, it is negatively associated to deviance behaviors through heightened levels of affective organizational commitment. This study allows us to better understand how EL enhances multiple performance dimensions necessary to organizations' competitiveness in the manufacturing and other sector.</t>
  </si>
  <si>
    <t>[Turcotte-Legare, Nicolas; Gaudet, Marie-Claude; Doucet, Olivier] HEC Montreal, 3000,Chemin Cote Sainte Catherine,Bur 5-756, Montreal, PQ H3T 2A7, Canada</t>
  </si>
  <si>
    <t>Universite de Montreal; HEC Montreal</t>
  </si>
  <si>
    <t>Turcotte-Legare, N (corresponding author), HEC Montreal, 3000,Chemin Cote Sainte Catherine,Bur 5-756, Montreal, PQ H3T 2A7, Canada.</t>
  </si>
  <si>
    <t>nicolas.turcotte-legare@hec.ca</t>
  </si>
  <si>
    <t>10.1002/cjas.1696</t>
  </si>
  <si>
    <t>4P4WJ</t>
  </si>
  <si>
    <t>WOS:000855395500001</t>
  </si>
  <si>
    <t>Understanding the effects of empowering leadership on positive and negative performance behaviors: A manufacturing sector study</t>
  </si>
  <si>
    <t>COUNTERPRODUCTIVE WORK BEHAVIOR; ORGANIZATIONAL CITIZENSHIP; PSYCHOLOGICAL EMPOWERMENT; JOB-PERFORMANCE; RELATIVE IMPORTANCE; EMPLOYEE BEHAVIORS; NORMATIVE COMMITMENT; MANAGEMENT TEAMS; SELF-EFFICACY; IN-ROLE</t>
  </si>
  <si>
    <t>For several years, the North American manufacturing sector has been facing several labour issues that undermine productivity. To address these issues and remain competitive, manufacturing firms must implement measures to promote overall worker performance. This study presents an integrative to understand the differentiated impact of empowering leadership (EL) on four dimensions of performance (task, citizenship, innovation, deviance) through two mediators (psychological empowerment (PE) and affective organizational commitment). Structural equation modeling was used to analyze data from 250 employee-supervisor dyads in the manufacturing industry. On the one hand, our results reveal that EL exerts a positive influence on citizenship and innovative behavior through increased PE. On the other hand, it is negatively associated to deviance behaviors through heightened levels of affective organizational commitment. This study allows us to better understand how EL enhances multiple performance dimensions necessary to organizations' competitiveness in manufacturing and other sectors.</t>
  </si>
  <si>
    <t>[Turcotte-Legare, Nicolas; Gaudet, Marie-Claude; Doucet, Olivier] HEC Montreal, 3000,Chemin Cote St Catherine,Suite 5 756, Montreal, PQ H3T 2A7, Canada</t>
  </si>
  <si>
    <t>Turcotte-Legare, N (corresponding author), HEC Montreal, 3000,Chemin Cote St Catherine,Suite 5 756, Montreal, PQ H3T 2A7, Canada.</t>
  </si>
  <si>
    <t>10.1002/cjas.1695</t>
  </si>
  <si>
    <t>4P4LI</t>
  </si>
  <si>
    <t>WOS:000855366500001</t>
  </si>
  <si>
    <t>Zhao, XY; Yi, CJ; Chen, CS</t>
  </si>
  <si>
    <t>Zhao, Xiaoyang; Yi, Changjun; Chen, Chusheng</t>
  </si>
  <si>
    <t>How to stimulate employees' innovative behavior: Internal social capital, workplace friendship and innovative identity</t>
  </si>
  <si>
    <t>internal social capital; innovative identity; workplace friendship; employees' innovative behavior; psychological factors</t>
  </si>
  <si>
    <t>INDIVIDUAL INNOVATION; TRANSFORMATIONAL LEADERSHIP; PROCEDURAL JUSTICE; HOTEL EMPLOYEES; MODERATING ROLE; ENGAGEMENT; PERFORMANCE; CREATIVITY; IMPACT</t>
  </si>
  <si>
    <t>With the digital transformation of the economy and the rise of community innovation, how stimulating employees' innovative behavior (EIB) becomes the basis for building sustainable competitive advantage in organizations. However, research has yet to systematically investigate the effect of internal social capital (ISC) on EIB. Based on social identity theory and resource conservation theory, this paper constructs a model to explain the mediating role of II between ISC and EIB and the moderating role of workplace friendship (WF). Using SPSS 27 and Amos 24 to analyze the data of 284 questionnaires, the results show that (1) ISC has a positive effect on EIB, (2) II plays a partial mediating effect in the relationship between ISC and EIB, and (3) WF has a positive moderating effect on the relationship between ISC and EIB. The conclusion provides management insight and practical guidance for creating an internal organizational climate to promote EIBs.</t>
  </si>
  <si>
    <t>[Zhao, Xiaoyang; Yi, Changjun; Chen, Chusheng] Huaqiao Univ, Sch Business Adm, Quanzhou, Peoples R China</t>
  </si>
  <si>
    <t>Chen, CS (corresponding author), Huaqiao Univ, Sch Business Adm, Quanzhou, Peoples R China.</t>
  </si>
  <si>
    <t>chchsh11@hqu.edu.cn</t>
  </si>
  <si>
    <t>National Social Science Foundation of China; third phase of high-level talent scientific research start-up project;  [21AGL005];  [18SKBS303]</t>
  </si>
  <si>
    <t xml:space="preserve">National Social Science Foundation of China; third phase of high-level talent scientific research start-up project; ; </t>
  </si>
  <si>
    <t>Funding This study was supported by the National Social Science Foundation of China (Grant No. 21AGL005) and the third phase of high-level talent scientific research start-up project in 2018 (Grant No. 18SKBS303).</t>
  </si>
  <si>
    <t>10.3389/fpsyg.2022.1000332</t>
  </si>
  <si>
    <t>5F4OV</t>
  </si>
  <si>
    <t>WOS:000866297400001</t>
  </si>
  <si>
    <t>Wei, XY; He, Y</t>
  </si>
  <si>
    <t>Wei, Xiaoying; He, Ying</t>
  </si>
  <si>
    <t>Exploration on the Role of Transformational Leadership Linkage Psychological Empowerment in Stimulating Employees' Innovation Behavior in an Uncertain Environment: Based on Entrepreneurship Perspective</t>
  </si>
  <si>
    <t>OCCUPATIONAL THERAPY INTERNATIONAL</t>
  </si>
  <si>
    <t>Employee Innovative Behavior (EIB) in a stable environment is often based on the company's planned policy orientation and has higher innovation performance under the transactional leadership behavior characterized by task orientation. In an uncertain environment, transformational corporate leadership behaviors will stimulate EIB. The essence of entrepreneurship is innovation. Enterprises provide employees with spiritual support through entrepreneurship, which can generate more effective long-term incentives for employees. From the perspective of entrepreneurship, based on the Uncertainty-Identity Theory (UIT), through the analysis of 287 pairs of valid sample data from 7 companies, it is found that Environmental Uncertainty (EU) has a positive moderating effect on the relationship between Transformational Leadership (TL) and Psychological Empowerment (PE). PE positively promotes EIB. The indirect effect size of PE is 0.2221, 0.3495, and 0.4450 from low to high, respectively. It is inferred that the interaction between TL and EU can positively promote EIB through the mediating effect of PE. The research conclusions expand the boundary conditions of the relationship between TL and EIB and innovatively provide theoretical guidance for the management of EIB from the perspective of entrepreneurship in an uncertain environment.</t>
  </si>
  <si>
    <t>[Wei, Xiaoying; He, Ying] Nanjing Univ, Sch Business, Nanjing 210093, Peoples R China; [Wei, Xiaoying] Baise Univ, Sch Business Adm, Baise City 533000, Peoples R China</t>
  </si>
  <si>
    <t>Nanjing University; Baise University</t>
  </si>
  <si>
    <t>Wei, XY (corresponding author), Nanjing Univ, Sch Business, Nanjing 210093, Peoples R China.;Wei, XY (corresponding author), Baise Univ, Sch Business Adm, Baise City 533000, Peoples R China.</t>
  </si>
  <si>
    <t>wxying@bsuc.edu.cn</t>
  </si>
  <si>
    <t>National Natural Science Foundation of China [71832006]</t>
  </si>
  <si>
    <t>The authors acknowledge the sponsorship provided by the National Natural Science Foundation of China (No. 71832006).</t>
  </si>
  <si>
    <t>0966-7903</t>
  </si>
  <si>
    <t>1557-0703</t>
  </si>
  <si>
    <t>OCCUP THER INT</t>
  </si>
  <si>
    <t>Occup. Ther. Int.</t>
  </si>
  <si>
    <t>SEP 19</t>
  </si>
  <si>
    <t>10.1155/2022/9259180</t>
  </si>
  <si>
    <t>Rehabilitation</t>
  </si>
  <si>
    <t>5B1LB</t>
  </si>
  <si>
    <t>WOS:000863335700001</t>
  </si>
  <si>
    <t>Li, R; Tian, JY; Zhang, JH; Wu, SB</t>
  </si>
  <si>
    <t>Li, Rui; Tian, Jingyuan; Zhang, Junhong; Wu, Shaobo</t>
  </si>
  <si>
    <t>Can curiosity spark the fire of innovation? An investigation in China</t>
  </si>
  <si>
    <t>authoritarian leadership; curiosity; innovation; job autonomy; situational strength</t>
  </si>
  <si>
    <t>MODERATED MEDIATION MODEL; TRANSFORMATIONAL LEADERSHIP; PATERNALISTIC LEADERSHIP; PSYCHOLOGICAL EMPOWERMENT; SITUATIONAL STRENGTH; AUTHORITARIAN LEADERSHIP; EMPLOYEE CREATIVITY; ABUSIVE SUPERVISION; STATISTICAL CONTROL; JOB CHARACTERISTICS</t>
  </si>
  <si>
    <t>Curiosity has been seen as an important driver of individual innovation. However, empirical evidence regarding the relationship between curiosity and innovation is equivocal. We draw on the situational strength perspective to develop and test a contingency model that focuses on the contextual boundary conditions of this relationship among Chinese employees. In a controlled experiment with 191 part-time MBA students, in which curiosity was examined as a state, we found that (1) the main effect of curiosity on innovative behavioral intention was insignificant; (2) authoritarian leadership and job autonomy moderated the association of curiosity with innovative behavioral intention, such that this association was positively significant under circumstances of low authoritarian leadership or high job autonomy but not under circumstances of high authoritarian leadership or low job autonomy; and (3) job autonomy functioned as a mediator for the moderating effect of authoritarian leadership. These findings were constructively replicated in a field study of 206 subordinate-supervisor dyads in which curiosity was examined as a trait and innovative behavior was rated by supervisors. Theoretical and practical implications of our findings and directions for future research are discussed.</t>
  </si>
  <si>
    <t>[Li, Rui] Hefei Univ Technol, Sch Management, Hefei, Peoples R China; [Tian, Jingyuan] Clemson Univ, Wilbur &amp; Ann Powers Coll Business, 1 North Main St, Clemson, SC 29601 USA; [Zhang, Junhong] MLCV Suzhou Construct Consultant Co Ltd, Suzhou, Peoples R China; [Wu, Shaobo] Southwest Univ Nationalities, Sch Business, Chengdu, Peoples R China</t>
  </si>
  <si>
    <t>Hefei University of Technology; Clemson University; Southwest Minzu University</t>
  </si>
  <si>
    <t>Tian, JY (corresponding author), Clemson Univ, Wilbur &amp; Ann Powers Coll Business, 1 North Main St, Clemson, SC 29601 USA.</t>
  </si>
  <si>
    <t>jingyut@g.clemson.edu</t>
  </si>
  <si>
    <t>Natural Science Foundation of China [72171053, 71771160, 71974140, 72174171]</t>
  </si>
  <si>
    <t>This research was supported by grants from the Natural Science Foundation of China (72171053, 71771160, 71974140, 72174171).</t>
  </si>
  <si>
    <t>10.1111/apps.12429</t>
  </si>
  <si>
    <t>4N0NY</t>
  </si>
  <si>
    <t>WOS:000853716300001</t>
  </si>
  <si>
    <t>Jiang, XF; Guo, JX; Akbar, A; Poulova, P</t>
  </si>
  <si>
    <t>Jiang, Xinfeng; Guo, Jianxing; Akbar, Ahsan; Poulova, Petra</t>
  </si>
  <si>
    <t>Right person for the right job: the impact of top management's occupational background on Chinese enterprises' R&amp;D efficiency</t>
  </si>
  <si>
    <t>Top management's R&amp;D background; R&amp;D efficiency; mediating factors; equity incentives; pay gap; director's appointment; Chinese enterprises</t>
  </si>
  <si>
    <t>CEO CHARACTERISTICS; FIRM PERFORMANCE; MODERATING ROLE; UPPER ECHELONS; CASH HOLDINGS; INNOVATION; PAY; TEAM; DIRECTORS; AGENCY</t>
  </si>
  <si>
    <t>The research on the influence of personal attributes of top management on a firm's innovative behavior has recently gained much traction in the corporate finance literature. However little is known about the role of professional background of top management in influencing corporate R&amp;D efficiency. The present research employs data of China's A-share listed firms during the period of 2008-2016 to explore this association. Empirical outcomes reveal that top management with an R&amp;D background significantly enhance Chinese firms' R&amp;D efficiency. Moreover, equity incentives for the core R&amp;D team, lesser pay disparity between senior management and employees, and the appointment of directors with R&amp;D background play a mediating role between R&amp;D-savvy top management and firm's innovation capacity. The study findings establish a link between top management's human capital and an enterprise's technological capability and show that adopting appropriate innovation strategies and R&amp;D management practices is conducive to achieving the R&amp;D efficiency in Chinese enterprises. Our results are robust to alternate econometric specifications and alternate variable specifications.</t>
  </si>
  <si>
    <t>[Jiang, Xinfeng] Huazhong Agr Univ, Coll Econ &amp; Management, Wuhan, Hubei, Peoples R China; [Guo, Jianxing] Univ Auckland, Fac Sci, Auckland, New Zealand; [Akbar, Ahsan] Guangzhou City Univ Technol, Int Business Sch, Guangzhou, Guangdong, Peoples R China; [Poulova, Petra] Univ Hradec Kralove, Fac Informat &amp; Management, Dept Informat &amp; Quantitat Methods, Hradec Kralove, Czech Republic</t>
  </si>
  <si>
    <t>Huazhong Agricultural University; University of Auckland; University of Hradec Kralove</t>
  </si>
  <si>
    <t>Akbar, A (corresponding author), Guangzhou City Univ Technol, Int Business Sch, Guangzhou, Guangdong, Peoples R China.</t>
  </si>
  <si>
    <t>akbar@gcu.edu.cn</t>
  </si>
  <si>
    <t>Akbar, Ahsan/ABE-9416-2020; Poulova, Petra/T-8640-2017</t>
  </si>
  <si>
    <t>Akbar, Ahsan/0000-0001-7506-6416; Poulova, Petra/0000-0001-5269-4065</t>
  </si>
  <si>
    <t>National Natural Science Foundation of China [71802088]; Humanities and Social Sciences Youth Fund project of the Ministry of Education [18YJC630058]; Fundamental Research Funds for the Central Universities [2662021JGPYG01, 2662020JGPY009]</t>
  </si>
  <si>
    <t>National Natural Science Foundation of China(National Natural Science Foundation of China (NSFC)); Humanities and Social Sciences Youth Fund project of the Ministry of Education; Fundamental Research Funds for the Central Universities(Fundamental Research Funds for the Central Universities)</t>
  </si>
  <si>
    <t>This research is supported by the National Natural Science Foundation of China (71802088), the Humanities and Social Sciences Youth Fund project of the Ministry of Education (18YJC630058), the Fundamental Research Funds for the Central Universities (2662021JGPYG01, 2662020JGPY009).</t>
  </si>
  <si>
    <t>10.1080/1331677X.2022.2123022</t>
  </si>
  <si>
    <t>5B6FI</t>
  </si>
  <si>
    <t>WOS:000863663000001</t>
  </si>
  <si>
    <t>Su, W; Hahn, J</t>
  </si>
  <si>
    <t>Su, Wei; Hahn, Juhee</t>
  </si>
  <si>
    <t>Self-Leadership and Psychological Capital as Mediators in the Influence of Leader Motivating Language on Everyday Innovative Behavior</t>
  </si>
  <si>
    <t>INTERNATIONAL JOURNAL OF BUSINESS COMMUNICATION</t>
  </si>
  <si>
    <t>leader motivating language; innovative behavior; self-leadership; psychological capital; multi-level analysis</t>
  </si>
  <si>
    <t>INDIVIDUAL INNOVATION; PERFORMANCE; MODEL; IMPLEMENTATION; WORKPLACE; CLIMATE; IMPACT; WORK</t>
  </si>
  <si>
    <t>Innovation is critical to the growth and prosperity of an organization. In daily work, everyday innovation is more often developed by employees than large-scale institutional innovation. This research builds a multi-level framework to investigate how leader motivating language (LML) influences the everyday innovative behavior of employees in the international freight forwarding industry. In addition, we examined the mediating effect of individual-level self-leadership and psychological capital (PsyCap). We used HLM6.8 to perform hierarchical linear modeling on 551 valid questionnaires from 88 teams. The results showed that: (1) LML was a positive predictor of employees' innovative behaviors, (2) LML positively affects employees' self-leadership and PsyCap, and (3) self-leadership and PsyCap partially mediated the relationship between LML and employees' innovative behaviors. We also used Mplus8.3 to conduct a multi-level path analysis to verify the robustness of the results. Further, we investigated the sequential mediation effects of self-leadership and PsyCap between LML and innovative behavior. These findings complement existing research and emphasize the importance of motivational language in organizational management.</t>
  </si>
  <si>
    <t>[Su, Wei] Chung Ang Univ, Org Behav &amp; Human Resource Management, Seoul, South Korea; [Hahn, Juhee] Chung Ang Univ, Dept Management, Seoul, South Korea</t>
  </si>
  <si>
    <t>Chung Ang University; Chung Ang University</t>
  </si>
  <si>
    <t>Hahn, J (corresponding author), Chung Ang Univ, Dept Business Management, 84 Heukseok Ro, Seoul 06974, South Korea.</t>
  </si>
  <si>
    <t>jhan@cau.ac.kr</t>
  </si>
  <si>
    <t>2329-4884</t>
  </si>
  <si>
    <t>2329-4892</t>
  </si>
  <si>
    <t>INT J BUS COMMUN</t>
  </si>
  <si>
    <t>Int. J. Bus. Commun.</t>
  </si>
  <si>
    <t>10.1177/23294884221119453</t>
  </si>
  <si>
    <t>Business; Communication</t>
  </si>
  <si>
    <t>Business &amp; Economics; Communication</t>
  </si>
  <si>
    <t>4H5GZ</t>
  </si>
  <si>
    <t>WOS:000849908200001</t>
  </si>
  <si>
    <t>Wan, XL; He, RX; Zhang, GX; Zhou, J</t>
  </si>
  <si>
    <t>Wan, Xiaole; He, Ruixin; Zhang, Guixian; Zhou, Jian</t>
  </si>
  <si>
    <t>Employee engagement and open service innovation: The roles of creative self-efficacy and employee innovative behaviour</t>
  </si>
  <si>
    <t>employee engagement; creative self-efficacy; employee innovative behaviour; open service innovation; SEM</t>
  </si>
  <si>
    <t>LEADER-MEMBER EXCHANGE; WORK BEHAVIOR; MODERATING ROLE; MEDIATING ROLE; ORGANIZATIONAL SUPPORT; LINKING LMX; ANTECEDENTS; CONSEQUENCES; ORIENTATION; PERSONALITY</t>
  </si>
  <si>
    <t>Improving the innovation ability of organizations is the focal point of management study. This paper puts forward that innovative self-efficacy and employees' innovative behaviour are continuous mediating variables, and discusses the influence mechanism of employees' involvement and open service innovation from the individual factor level. In this study, a sample of 103 employees from travel companies was used to examine the hypothesis. The results show that employee engagement is positively related to open service innovation. Innovative self-efficacy plays a completely intermediary role between employee engagement and employee innovative behaviour; Creative self-efficacy and employees' innovative behaviour play a continuous intermediary role between employees' engagement and open service innovation. The results of this study will eventually help enterprises to carry out service innovation behaviour.</t>
  </si>
  <si>
    <t>[Wan, Xiaole; He, Ruixin; Zhang, Guixian] Ocean Univ China, Management Coll, Qingdao, Peoples R China; [Wan, Xiaole] Social Sci Univ, Marine Dev Studies Inst OUC, Key Res Inst Humanities, Minist Educ, Qingdao, Peoples R China; [He, Ruixin] Xi An Jiao Tong Univ, Management Coll, Xian, Peoples R China; [Zhou, Jian] Qingdao Univ, Sch Business, Qingdao, Peoples R China</t>
  </si>
  <si>
    <t>Ocean University of China; Xi'an Jiaotong University; Qingdao University</t>
  </si>
  <si>
    <t>Zhou, J (corresponding author), Qingdao Univ, Sch Business, Qingdao, Peoples R China.</t>
  </si>
  <si>
    <t>pointzhou@foxmail.com</t>
  </si>
  <si>
    <t>National Natural Science Foundation of China [71901199, 71874167, 71804170]; Natural Science Fund of Shandong Province of China [ZR2021MG043]; China Postdoctoral Science Foundation [2019M660170]; Fundamental Research Funds for the Central Universities [201913015]; Shandong Social Science Planning Project [19CHYJ10]; Postdoctoral Innovation Project of Shandong Province [201902019]; Special Funds of Taishan Scholars Project of Shandong Province [tsqn20171205]; Major Program of National Social Science Foundation of China [18ZDA055]</t>
  </si>
  <si>
    <t>National Natural Science Foundation of China(National Natural Science Foundation of China (NSFC)); Natural Science Fund of Shandong Province of China(Natural Science Foundation of Shandong Province); China Postdoctoral Science Foundation(China Postdoctoral Science Foundation); Fundamental Research Funds for the Central Universities(Fundamental Research Funds for the Central Universities); Shandong Social Science Planning Project; Postdoctoral Innovation Project of Shandong Province; Special Funds of Taishan Scholars Project of Shandong Province; Major Program of National Social Science Foundation of China(National Natural Science Foundation of China (NSFC))</t>
  </si>
  <si>
    <t>This study is supported by National Natural Science Foundation of China (Nos. 71901199, 71874167, and 71804170); Natural Science Fund of Shandong Province of China (No. ZR2021MG043); the China Postdoctoral Science Foundation Funded Project (No. 2019M660170); the Fundamental Research Funds for the Central Universities (No. 201913015); the Shandong Social Science Planning Project (No. 19CHYJ10); the Postdoctoral Innovation Project of Shandong Province (No. 201902019); the Special Funds of Taishan Scholars Project of Shandong Province (No. tsqn20171205). The Major Program of National Social Science Foundation of China (No. 18ZDA055).</t>
  </si>
  <si>
    <t>10.3389/fpsyg.2022.921687</t>
  </si>
  <si>
    <t>5P1BT</t>
  </si>
  <si>
    <t>WOS:000872895600001</t>
  </si>
  <si>
    <t>Lee, J; Jin, MH</t>
  </si>
  <si>
    <t>Lee, Jaeyong; Jin, Myung H.</t>
  </si>
  <si>
    <t>Understanding the organizational learning culture-Innovative behavior relation in local government: The roles of knowledge sharing and job autonomy</t>
  </si>
  <si>
    <t>PUBLIC-SECTOR; ABSORPTIVE-CAPACITY; EMPLOYEE ATTITUDES; SELF-DETERMINATION; WORK; DETERMINANTS; LEADERSHIP; MANAGEMENT; PERSPECTIVE; EMPOWERMENT</t>
  </si>
  <si>
    <t>Drawing from research on organizational learning culture, knowledge sharing (KS), and job characteristics theory, this study investigates the mediating role of KS in the link between organizational learning culture (OLC) and employee's innovative behavior (IB), as well as how this mediating effect might be moderated by job autonomy (JA). Data captured from 1420 public employees of 33 local governments in South Korea shows that OLC affects employees' IB, while the effect size is reduced when controlling for the role of KS. Further, JA moderates the positive relationship between KS and IB, such that the relationship becomes invigorated at higher levels of JA. The findings also reveal that the indirect effect of OLC on IB through KS is more pronounced at higher levels of JA, which offers evidence of moderated mediation. We discuss the significant implications of our findings for future research and practice.</t>
  </si>
  <si>
    <t>[Lee, Jaeyong] Korea Res Inst Local Adm, 21 Segye Ro, Wonju 26464, Gangwon Do, South Korea; [Jin, Myung H.] Virginia Commonwealth Univ, L Douglas Wilder Sch Govt &amp; Publ Affairs, Richmond, VA USA</t>
  </si>
  <si>
    <t>Virginia Commonwealth University</t>
  </si>
  <si>
    <t>Lee, J (corresponding author), Korea Res Inst Local Adm, 21 Segye Ro, Wonju 26464, Gangwon Do, South Korea.</t>
  </si>
  <si>
    <t>jaeyonglee1@gmail.com</t>
  </si>
  <si>
    <t>Lee, Jaeyong/0000-0001-8804-2173</t>
  </si>
  <si>
    <t>10.1111/padm.12884</t>
  </si>
  <si>
    <t>4C4YR</t>
  </si>
  <si>
    <t>WOS:000846461400001</t>
  </si>
  <si>
    <t>Sun, LY; Li, CW; Pan, W; Leung, ASM</t>
  </si>
  <si>
    <t>Sun, Li-Yun; Li, Chenwei; Pan, Wen; Leung, Alicia S. M.</t>
  </si>
  <si>
    <t>Justice climate and employee creativity in the work uncertainty context: a cross-level investigation</t>
  </si>
  <si>
    <t>Employee creativity; Justice climate; Team work uncertainty; Psychological safety; Creative self-efficacy</t>
  </si>
  <si>
    <t>PROCEDURAL JUSTICE; MEDIATING ROLE; PSYCHOLOGICAL SAFETY; SELF-EFFICACY; METAANALYTIC EXAMINATION; PERCEIVED UNCERTAINTY; INNOVATIVE BEHAVIOR; DECISION-MAKING; JOB INVOLVEMENT; VOICE BEHAVIOR</t>
  </si>
  <si>
    <t>Drawing on uncertainty management theory, our cross-level process model explains why and how distributive, procedural, and interactional justice climates in teams influence individual-level employee creativity. Based on a multilevel, multisource, and multiwave sample of 218 supervisor-subordinate matched data in 40 teams, our study obtains three major findings. First, distributive, procedural, and interactional justice climates and work uncertainty have interactive effects on individual-level psychological safety and creative self-efficacy. Second, three types of justice climates have indirect effects on employee creativity only through individual-level creative self-efficacy. Third, team work uncertainty moderates the indirect effects of three types of justice climates on employee creativity through individual-level creative self-efficacy (but not through individual-level psychological safety). These moderating and moderated indirect effects are stronger under higher team work uncertainty.</t>
  </si>
  <si>
    <t>[Sun, Li-Yun] Macau Univ Sci &amp; Technol, Sch Business, Macau, Peoples R China; [Li, Chenwei] San Francisco State Univ, Coll Business, Management Dept, 1600 Holloway Ave, San Francisco, CA 94132 USA; [Pan, Wen] Macau Univ Sci &amp; Technol, Fac Hospitality &amp; Tourism Management, Ave Wai Long, Taipa, Macao, Peoples R China; [Leung, Alicia S. M.] Hong Kong Baptist Univ, Sch Business, Dept Management, Kowloon Tong, Hong Kong, Peoples R China</t>
  </si>
  <si>
    <t>Macau University of Science &amp; Technology; California State University System; San Francisco State University; Macau University of Science &amp; Technology; Hong Kong Baptist University</t>
  </si>
  <si>
    <t>Pan, W (corresponding author), Macau Univ Sci &amp; Technol, Fac Hospitality &amp; Tourism Management, Ave Wai Long, Taipa, Macao, Peoples R China.</t>
  </si>
  <si>
    <t>lysun@must.edu.mo; cwli@sfsu.edu; wpan@must.edu.mo; alicia@hkbu.edu.hk</t>
  </si>
  <si>
    <t>10.1057/s41291-022-00191-5</t>
  </si>
  <si>
    <t>3U6ET</t>
  </si>
  <si>
    <t>WOS:000841062900001</t>
  </si>
  <si>
    <t>How customers matter to tourism employees' green creative behavior?</t>
  </si>
  <si>
    <t>Green creative behavior; customer green involvement; organizational green culture; green role identity; green creative self-efficacy; Vietnam</t>
  </si>
  <si>
    <t>ORGANIZATIONAL CITIZENSHIP BEHAVIOR; HUMAN-RESOURCE MANAGEMENT; SELF-EFFICACY; HOSPITALITY INDUSTRY; INNOVATIVE BEHAVIOR; PRODUCT DEVELOPMENT; IDENTITY THEORY; TRANSFORMATIONAL LEADERSHIP; PSYCHOLOGICAL CONDITIONS; INTRINSIC MOTIVATION</t>
  </si>
  <si>
    <t>Albeit customers can contribute to the organization through co-creating value, research has been relatively missing about how customers contribute to organizational sustainability by driving employees, especially in the tourism industry, to undertake green creative endeavors. Our inquiry aims to unpack how and when involving customers in green programs can activate tourism employees' green creative behavior. Employees and managers from tour companies in an Asia-Pacific market context provided the survey responses, which were put through structural equation analysis. The results revealed that tourism employees' green role identity and green creative self-efficacy functioned as a dual mediation pathway to link customer green involvement to green creative behavior among tourism employees. Organizational green culture played a moderating role for the impacts of customer green involvement on employee green role identity and green creative self-efficacy. This study advances the stream of green behavior scholarship by unfolding the mechanisms to explain how involving customers can stimulate tourism employees to generate and implement novel green service solutions.</t>
  </si>
  <si>
    <t>10.1080/09669582.2022.2113790</t>
  </si>
  <si>
    <t>4J4RI</t>
  </si>
  <si>
    <t>WOS:000851251700001</t>
  </si>
  <si>
    <t>Zhang, M; Chen, ZH; Zhao, LJ; Li, X; Zhang, Z; Zhang, XF</t>
  </si>
  <si>
    <t>Zhang, Min; Chen, Zhihong; Zhao, Lijing; Li, Xiang; Zhang, Zhi; Zhang, Xufan</t>
  </si>
  <si>
    <t>How does high-commitment work systems stimulate employees' creative behavior? A multilevel moderated mediation model</t>
  </si>
  <si>
    <t>high-commitment work systems; employees' wellbeing; employees' creative behavior; CEO inclusive leadership; moderated mediation effect</t>
  </si>
  <si>
    <t>INNOVATIVE BEHAVIOR; PERFORMANCE; CONSERVATION; LEADERSHIP; ENGAGEMENT; KNOWLEDGE; CONTEXT</t>
  </si>
  <si>
    <t>How to effectively stimulate employees' creative behavior is a hot topic in the field of organizational behavior. Based on conservation of resources theory and substitutes for leadership theory, this paper discusses the impact of high-commitment work systems on employees' creative behavior and the roles of employees' wellbeing and CEO inclusive leadership. By constructing a cross-level structural equation model and analyzing the paired data of 86 CEOs, 86 HR managers and 489 employees, the results show that: (1) high-commitment work systems have positive impact on employees' creative behavior; (2) employee's wellbeing mediates the process of high-commitment work systems driving employees' creative behavior; and (3) CEO inclusive leadership negatively moderates the relationship between high-commitment work systems and employees' wellbeing, and further negatively moderates the indirect effect of high-commitment work systems on employees' creative behavior through employees' wellbeing, that is, the lower the level of CEO inclusive leadership is, the stronger the impact of high-commitment work systems on employees' creative behavior through employees' wellbeing will be.</t>
  </si>
  <si>
    <t>[Zhang, Min; Li, Xiang; Zhang, Zhi] Nantong Univ, Econ &amp; Management Sch, Nantong, Peoples R China; [Chen, Zhihong] Nanjing Univ, Inst Int Students, Nanjing, Peoples R China; [Zhao, Lijing] Hainan Univ, Sch Management, Haikou, Peoples R China; [Zhang, Xufan] Nanjing Normal Univ, Ginling Coll, Nanjing, Peoples R China</t>
  </si>
  <si>
    <t>Nantong University; Nanjing University; Hainan University; Nanjing Normal University</t>
  </si>
  <si>
    <t>Zhang, Z (corresponding author), Nantong Univ, Econ &amp; Management Sch, Nantong, Peoples R China.;Zhao, LJ (corresponding author), Hainan Univ, Sch Management, Haikou, Peoples R China.</t>
  </si>
  <si>
    <t>15951891185@163.com; zhangzhi1@ntu.edu.cn</t>
  </si>
  <si>
    <t>National Natural Science Foundation of China; National Social Science Foundation of China;  [71832007];  [72072081];  [20AGL020]</t>
  </si>
  <si>
    <t xml:space="preserve">National Natural Science Foundation of China(National Natural Science Foundation of China (NSFC)); National Social Science Foundation of China; ; ; </t>
  </si>
  <si>
    <t>Funding This research project was supported by the National Natural Science Foundation of China (Nos. 71832007 and 72072081) and the National Social Science Foundation of China (No. 20AGL020).</t>
  </si>
  <si>
    <t>10.3389/fpsyg.2022.904174</t>
  </si>
  <si>
    <t>3X8XD</t>
  </si>
  <si>
    <t>WOS:000843316400001</t>
  </si>
  <si>
    <t>Du, SJ; Xie, WL; Wang, JJ</t>
  </si>
  <si>
    <t>Du, Sijin; Xie, Wenli; Wang, Jianjun</t>
  </si>
  <si>
    <t>How leaders' bias tendency affects employees' knowledge hiding behavior: The mediating role of workplace marginalization perception</t>
  </si>
  <si>
    <t>leaders' bias tendency; employees' knowledge hiding behavior; workplace marginalization perception; leader-member exchange theory; resource conservation theory</t>
  </si>
  <si>
    <t>PERCEIVED ORGANIZATIONAL SUPPORT; MEMBER EXCHANGE; DIFFERENTIAL LEADERSHIP; CONSERVATION; PERFORMANCE; RESOURCES; EXHAUSTION; LMX; BURNOUT; CONTEXT</t>
  </si>
  <si>
    <t>Employees' knowledge hiding behavior has an essential inhibitory impact on organizational innovation and employee knowledge sharing. Accordingly, studying the antecedents and influencing mechanisms of employees' knowledge hiding behavior is quite necessary. In the perspective of leader-member exchange theory and resource conservation theory, the leaders' bias tendency will lead to the workplace marginalization perception of some employees and promote the generation of employees' knowledge hiding behavior. Thus, this research is intended to discuss the influence of leaders' bias tendency toward employees' knowledge hiding behavior, and to analyze the mediating effects of employees' perception of workplace marginalization and the moderating role of emotional commitment to the organization. The sample of this study covered 500 Chinese full-time corporate employees. The conclusions of the research indicate that the following: (1) Leaders' bias tendency is vitally and absolutely correlated with employees' knowledge hiding behavior; (2) Workplace marginalization perception plays an intermediary role between leaders' bias tendency and employees' knowledge hiding behavior; (3) Emotional commitment to the organization plays a negative moderating role between leaders' bias tendency and employees' knowledge hiding behavior; (4) Emotional commitment to the organization plays a negative moderating role between workplace marginalization perception and employees' knowledge hiding behavior. These findings will help organizations and managers to recognize the harm of bias tendency, regulate their own behaviors, and effectively reduce the generation of employees' knowledge hiding behaviors, thereby promoting knowledge sharing and innovative behaviors in organizations.</t>
  </si>
  <si>
    <t>[Du, Sijin; Wang, Jianjun] Qinghai Univ, Sch Finance &amp; Econ, Xining, Peoples R China; [Xie, Wenli] Heilongjiang Univ, Sch Marxism, Harbin, Peoples R China</t>
  </si>
  <si>
    <t>Qinghai University; Heilongjiang University</t>
  </si>
  <si>
    <t>Wang, JJ (corresponding author), Qinghai Univ, Sch Finance &amp; Econ, Xining, Peoples R China.</t>
  </si>
  <si>
    <t>ounlua194@163.com</t>
  </si>
  <si>
    <t>AUG 5</t>
  </si>
  <si>
    <t>10.3389/fpsyg.2022.965972</t>
  </si>
  <si>
    <t>3X6BJ</t>
  </si>
  <si>
    <t>WOS:000843123600001</t>
  </si>
  <si>
    <t>Wu, GS</t>
  </si>
  <si>
    <t>Wu, Guosong</t>
  </si>
  <si>
    <t>Research on stimulating mechanism and restricting factors of employees' innovative behaviour under COVID-19</t>
  </si>
  <si>
    <t>COVID-19; employee innovation; stimulating mechanism; restricting factors; statistical analysis</t>
  </si>
  <si>
    <t>POSITIVE PSYCHOLOGY; MOOD</t>
  </si>
  <si>
    <t>Innovation is the foundation of an enterprise's survival and development. Employee innovation is the source of enterprise innovation. Under the COVID-19 epidemic, staff innovation is crucial to whether an enterprise can transform a crisis into an opportunity. However, the negative emotions caused by the epidemic will hinder staff innovation. The influence of the COVID-19 pandemic in China was investigated from May 2020 to October 2021 by using questionnaires. This study explores the motivating mechanism and restricting factors of employees' innovative behaviour under sudden public crisis events. The software SPSS 22.0 is used for the descriptive statistical and correlation analyses of the collected data. Enterprise managers need to study the influencing factors of employees' innovative behaviour under the COVID-19 epidemic to solve the problem of employees' negative emotions. Based on the statistical analysis of 639 valid questionnaires for employees of high-tech enterprises, this study explores the motivating mechanism and influencing factors of employees' innovative behaviour from the aspects of positive psychological quality and leaders' interpersonal emotion management. This study also uses work autonomy as a mediating variable to verify its mediating role in the process of employees' positive psychological quality and leaders' interpersonal emotion management on innovation behaviour. This study tested the moderating effect of employees' perceived corporate social responsibility on the relationship between employees' positive psychological quality, leaders' interpersonal emotion management and innovative behaviour. Through the statistical analysis of 639 valid questionnaires of employees in high-tech enterprises, the relevant model assumptions are verified. Therefore, under the COVID-19 pandemic, enterprises should take responsibility from the aspect of caring for employees to promote the positive effect of employees' psychological attitudes on work results. This study provides countermeasures to ensure the smooth progress of employee innovation activities.</t>
  </si>
  <si>
    <t>[Wu, Guosong] Huzhou Univ, Sch Econ &amp; Management, Huzhou, Peoples R China</t>
  </si>
  <si>
    <t>Huzhou University</t>
  </si>
  <si>
    <t>Wu, GS (corresponding author), Huzhou Univ, Sch Econ &amp; Management, Huzhou, Peoples R China.</t>
  </si>
  <si>
    <t>ployboy439@126.com</t>
  </si>
  <si>
    <t>soft science project of Zhejiang science and technology department fund [2022C25024]; Pre research project of Institute of Two Mountains theory (fund) [LSY2201]</t>
  </si>
  <si>
    <t>soft science project of Zhejiang science and technology department fund; Pre research project of Institute of Two Mountains theory (fund)</t>
  </si>
  <si>
    <t>This research is supported by the soft science project of Zhejiang science and technology department fund number: 2022C25024) and the Pre research project of Institute of Two Mountains theory (fund number: LSY2201).</t>
  </si>
  <si>
    <t>10.3389/fenvs.2022.927226</t>
  </si>
  <si>
    <t>6A2RA</t>
  </si>
  <si>
    <t>WOS:000880505000001</t>
  </si>
  <si>
    <t>Ying, N; Yao, L; Jihong, X; Daqing, W</t>
  </si>
  <si>
    <t>Ying, Nie; Yao, Li; Jihong, Xin; Daqing, Wang</t>
  </si>
  <si>
    <t>Environmental Regulation and Corporate Innovation Behavior Based on the Double Carbon Strategy - Empirical Analysis Based on A-Share Listed Companies of Heavy Pollution Industries on the Shanghai and Shenzhen Stock Exchanges</t>
  </si>
  <si>
    <t>FRONTIERS IN ECOLOGY AND EVOLUTION</t>
  </si>
  <si>
    <t>smog; environmental regulations; heavily-polluting enterprises; innovative behaviors; differences-in-differences</t>
  </si>
  <si>
    <t>PRODUCTIVITY; GREEN; MANAGEMENT</t>
  </si>
  <si>
    <t>Environmental regulations have been intensified across the country under the pressure of the national double carbon strategy, the constraints of energy-saving and emission-reduction targets by enterprises, and public opinion. The tightening of environmental regulations is bound to impact the innovation behavior of heavily polluting enterprises; however, it remains uncertain whether the impact is positive or negative. Using a differences-in-differences approach of data from listed companies in China's heavily-polluting industries between 2010 and 2016, this paper examines the changes in their innovation behavior under the tightening environmental regulations after the smog explosion event as a quasi-natural experiment at the end of 2011. The study found that the smog event had a significant net negative effect on the innovation behavior of heavily polluting firms, with a significant decrease in their innovation inputs. The quantile regression results show that the R&amp;D intensity of enterprises is related to the haze treatment effect in a U-shaped curve. Further research found that the decline in innovation investment was more significant for state-owned heavily-polluting firms compared to private heavy polluting firms. Robustness tests indicate that the empirical results of this paper are somewhat robust. This paper aims to identify the contradictory roots of the Porter hypothesis debate by analyzing the differences in innovation behavior of enterprises with different R&amp;D intensity and different property rights.</t>
  </si>
  <si>
    <t>[Ying, Nie; Yao, Li; Jihong, Xin; Daqing, Wang] Haikou Univ Econ, Haikou, Peoples R China; [Yao, Li] Beijing Jiaotong Univ, Beijing, Peoples R China; [Daqing, Wang] Heilongjiang Agr Reclamat Management Cadre Coll, Harbin, Peoples R China</t>
  </si>
  <si>
    <t>Beijing Jiaotong University</t>
  </si>
  <si>
    <t>Daqing, W (corresponding author), Haikou Univ Econ, Haikou, Peoples R China.;Daqing, W (corresponding author), Heilongjiang Agr Reclamat Management Cadre Coll, Harbin, Peoples R China.</t>
  </si>
  <si>
    <t>wangdaqing511@163.com</t>
  </si>
  <si>
    <t>Special Project of Philosophy and Social Sciences in Hainan Province [HNSK (ZX) 18-118]</t>
  </si>
  <si>
    <t>Special Project of Philosophy and Social Sciences in Hainan Province</t>
  </si>
  <si>
    <t>This study was supported by Special Project of Philosophy and Social Sciences in Hainan Province Topic Title: Innovation Research on the Evolution of Island Ecological Civilization and the Circular Division of Labor in Green Industry Project number: HNSK (ZX) 18-118.</t>
  </si>
  <si>
    <t>2296-701X</t>
  </si>
  <si>
    <t>FRONT ECOL EVOL</t>
  </si>
  <si>
    <t>Front. Ecol. Evol.</t>
  </si>
  <si>
    <t>10.3389/fevo.2022.935621</t>
  </si>
  <si>
    <t>3Z8QV</t>
  </si>
  <si>
    <t>WOS:000844680500001</t>
  </si>
  <si>
    <t>Dziendziora, J; Smolarek, M; Zebrak, D; Gross-Golacka, E</t>
  </si>
  <si>
    <t>Dziendziora, Joanna; Smolarek, Malgorzata; Zebrak, Dawid; Gross-Golacka, Elwira</t>
  </si>
  <si>
    <t>Organizational Factors of Commitment to Innovation vs. Innovative Behavior in Smes in the Renewable Energy Sources (RES) Industry</t>
  </si>
  <si>
    <t>ENERGIES</t>
  </si>
  <si>
    <t>organizational factors of commitment to innovation; internal relationships; innovative behaviors; small and medium-sized enterprises (SMEs); RES</t>
  </si>
  <si>
    <t>WORK; PERSONALITY; CREATIVITY; BARRIERS; JOB</t>
  </si>
  <si>
    <t>Innovation is one of the successful and competitive advantage factors for SMEs in the dynamically changing environment of the RES industry. For SMEs, innovation is driven by a number of factors, such as the size of the enterprise, the scope of activity, innovation capability, strategy, and environmental conditions. Organizations' commitment to innovation is another important factor. This is especially true for SMEs with strong social bonds, meaning that every employee of the company is, to some extent, involved in the innovation process and influences the organization's opinion. The goal of the paper is to assess the impact of organizational determinants of commitment to innovation on innovative behavior in SMEs in the RES industry. The paper is both theoretical and empirical. The theoretical part explains the relevance of organizational determinants of commitment to innovation and how they translate to innovative behavior in SMEs. The empirical part presents an analysis of the results of a quantitative diagnostic survey that involved a questionnaire comprised mostly of closed-ended questions. The survey lasted from September 2020 to February 2021 on a sample of 186 companies from the RES industry. Production workers participated in the survey. The survey was conducted in Poland. The research problem is expressed in the following questions: (1) Do organizational determinants of commitment to innovation influence innovative behaviors undertaken and implemented in SMEs in the RES industry? (2) What are the key predictors of organizational commitment to innovation in SMEs in the RES industry? (3) Which predictors of organizational commitment to innovation have the most influence on innovative behaviors undertaken and implemented in SMEs in the RES industry? The research hypothesis was as follows: The organizational factors of commitment to innovation have a positive impact on the innovative behaviors of employees. In the course of the survey, all the research assumptions were confirmed. The statistical tests were used to verify the research hypotheses. The article includes an introduction, literature review, analysis of research results, conclusions, and a bibliography.</t>
  </si>
  <si>
    <t>[Dziendziora, Joanna; Zebrak, Dawid] WSB Univ, Fac Social Sci, Dept Management, PL-41300 Dabrowa Gornicza, Poland; [Smolarek, Malgorzata] Humanitas Univ, Fac Social &amp; Humanities Sci, Inst Management Sci &amp; Qual, PL-41200 Sosnowiec, Poland; [Gross-Golacka, Elwira] Univ Warsaw, Fac Management, Dept Org &amp; Management Theory, PL-02927 Warsaw, Poland</t>
  </si>
  <si>
    <t>WSB University; University of Warsaw</t>
  </si>
  <si>
    <t>Dziendziora, J (corresponding author), WSB Univ, Fac Social Sci, Dept Management, PL-41300 Dabrowa Gornicza, Poland.</t>
  </si>
  <si>
    <t>jdziendziora@wsb.edu.pl</t>
  </si>
  <si>
    <t>Smolarek, Małgorzata/HMP-2688-2023; Gross-Gołacka, Elwira/ABM-8150-2022</t>
  </si>
  <si>
    <t>Smolarek, Małgorzata/0000-0002-3766-8843; Gross-Gołacka, Elwira/0000-0003-4863-9391</t>
  </si>
  <si>
    <t xml:space="preserve"> [018/RID/2018/19]</t>
  </si>
  <si>
    <t>The project is funded under the program of the Minister of Science and Higher Education titled Regional Initiative of Excellence in 2019-2022, project number 018/RID/2018/19, the amount of funding PLN 10 788 423,16 (D.J., Z..D.)</t>
  </si>
  <si>
    <t>1996-1073</t>
  </si>
  <si>
    <t>Energies</t>
  </si>
  <si>
    <t>10.3390/en15155674</t>
  </si>
  <si>
    <t>3S5ZC</t>
  </si>
  <si>
    <t>WOS:000839673700001</t>
  </si>
  <si>
    <t>Santana-Martins, M; Nascimento, JL; Sanchez-Hernandez, MI</t>
  </si>
  <si>
    <t>Santana-Martins, Marisa; Nascimento, Jose Luis; Sanchez-Hernandez, Maria Isabel</t>
  </si>
  <si>
    <t>Employees' emotional awareness as an antecedent of organizational commitment-The mediating role of affective commitment to the leader</t>
  </si>
  <si>
    <t>organizational commitment; commitment to the leader; employees'emotional awareness; dual commitment; workplace commitments</t>
  </si>
  <si>
    <t>SOCIAL-EXCHANGE THEORY; NORMATIVE COMMITMENT; MEMBER EXCHANGE; SUPPORT; SUPERVISOR; CONTINUANCE; PERSPECTIVE; MANAGEMENT; BEHAVIOR; FUTURE</t>
  </si>
  <si>
    <t>Commitment has been perceived as a strategic topic in organizations due to its positive effect on retaining talent, increasing performance, or boosting employees' innovative behavior. However there are many focis of commitment in the workplace, which has represented a challenge to human resources management, who need implement measures to improve the employee's commitment. Recent research has suggested a need to conduct studies about commitment, namely antecedents and the relationship between different focis, to understand the dynamic and directionality between them. Hence, the purpose of this work is to analyze how employees' emotional awareness relates with two focis of commitment (the leader and the organization), also assessing the mediating role of affective commitment to the leader. The study uses structural equation modeling and Lisrel to test the hypotheses considering the multidimensionality of organizational commitment (affective; normative; and continuance), employees emotional awareness (understanding self-emotions; self-control when facing criticism; and understanding others' emotions), and the affective commitment to the leader, under the scope of Social Exchange Theory. The Mackinon's Z Test was used to assess the mediation role of affective commitment to the leader. The sample is composed for 403 employees from two multinational companies. The results provide empirical evidence about the mediating role of affective commitment to the leader in the relationship between employees' emotional awareness and organizational commitment, and the employees' emotional awareness as an antecedent of commitment. The implications for theory and practice are discussed.</t>
  </si>
  <si>
    <t>[Santana-Martins, Marisa; Sanchez-Hernandez, Maria Isabel] Univ Extremadura, Sch Econ Sci &amp; Management, Business Adm &amp; Sociol Dept, Badajoz, Spain; [Nascimento, Jose Luis] Univ Lisbon, Ctr Adm &amp; Polit Publ, Intituto Super Ciencias Sociais &amp; Polit, Lisbon, Portugal</t>
  </si>
  <si>
    <t>Universidad de Extremadura; Universidade de Lisboa</t>
  </si>
  <si>
    <t>Santana-Martins, M (corresponding author), Univ Extremadura, Sch Econ Sci &amp; Management, Business Adm &amp; Sociol Dept, Badajoz, Spain.</t>
  </si>
  <si>
    <t>marisa.san.martins@gmail.com</t>
  </si>
  <si>
    <t>SANCHEZ-HERNANDEZ, M. ISABEL/0000-0002-6806-1606</t>
  </si>
  <si>
    <t>Regional Government of Extremadura (Junta de Extremadura); European Union (European Regional Development Fund -A way of making Europe) of the University of Extremadura [SEJO21 GR21078]</t>
  </si>
  <si>
    <t>Regional Government of Extremadura (Junta de Extremadura); European Union (European Regional Development Fund -A way of making Europe) of the University of Extremadura</t>
  </si>
  <si>
    <t>This research has been partially funded by the Regional Government of Extremadura (Junta de Extremadura) and the European Union (European Regional Development Fund -A way of making Europe), supporting Research Groups (SEJO21 GR21078) of the University of Extremadura.</t>
  </si>
  <si>
    <t>JUL 29</t>
  </si>
  <si>
    <t>10.3389/fpsyg.2022.945304</t>
  </si>
  <si>
    <t>3V9RH</t>
  </si>
  <si>
    <t>WOS:000841994900001</t>
  </si>
  <si>
    <t>Liang, KX; Lin, S; Liu, JL; Zhu, YF</t>
  </si>
  <si>
    <t>Liang, Kexin; Lin, Sheng; Liu, Jinlan; Zhu, Yifan</t>
  </si>
  <si>
    <t>Unlock the innovation potential of meaning of work: An empirical study of scientific and technological workers in China</t>
  </si>
  <si>
    <t>meaning of work; innovative behavior; organizational innovative climate; scientific and technological workers; achievement motivation</t>
  </si>
  <si>
    <t>STRUCTURAL EQUATION MODELS; UNOBSERVABLE VARIABLES; EMPLOYEE CREATIVITY; GOAL ORIENTATION; BEHAVIOR; LEADERSHIP; MOTIVATION; JOB; ORGANIZATIONS; PERSPECTIVE</t>
  </si>
  <si>
    <t>Creativity and innovation have significantly increased in the past years. Amabile and Pratt were the leading proponents of creativity who integrated a dynamic componential model of creativity and innovation in organizations. The present study discusses the concept of innovative behavior within the scientific and technological environment based on the dynamic componential model of creativity and innovation and the Triadic Reciprocal Determinism Theory. The study investigates the mediating effect of achievement motivation and the moderating effect of the organizational innovative climate between the meaning of work and innovative behavior. Meaning of work has a positive impact on innovative behavior based on the structural equation modeling and the results of data collected from the survey of 4,666 scientific and technological workers in China. In addition, achievement motivation plays a partial intermediary role between the meaning of work and innovative behavior. However, innovation within organizational climate plays a negative regulatory role between achievement motivation and innovative behavior. The study finds some existing weaknesses through the Importance-Performance Map Analysis. Lastly, we examine the critical findings and present hypothetical suggestions.</t>
  </si>
  <si>
    <t>[Liang, Kexin; Lin, Sheng; Liu, Jinlan; Zhu, Yifan] Tianjin Univ, Coll Management &amp; Econ, Tianjin, Peoples R China</t>
  </si>
  <si>
    <t>Tianjin University</t>
  </si>
  <si>
    <t>Liu, JL (corresponding author), Tianjin Univ, Coll Management &amp; Econ, Tianjin, Peoples R China.</t>
  </si>
  <si>
    <t>liujinlan@tju.edu.cn</t>
  </si>
  <si>
    <t>10.3389/fpsyg.2022.870318</t>
  </si>
  <si>
    <t>3P0IX</t>
  </si>
  <si>
    <t>WOS:000837221300001</t>
  </si>
  <si>
    <t>Wang, XH; Wang, M; Xu, F</t>
  </si>
  <si>
    <t>Wang, Xiaohong; Wang, Meng; Xu, Feng</t>
  </si>
  <si>
    <t>The role of synergistic interplay among proactive personality, leader creativity expectations, and role clarity in stimulating employee creativity</t>
  </si>
  <si>
    <t>proactive personality; leader creativity expectations; employee creativity; role clarity; role theory; Pygmalion effect of creativity</t>
  </si>
  <si>
    <t>EMPOWERING LEADERSHIP; INNOVATIVE BEHAVIOR; PSYCHOLOGICAL EMPOWERMENT; SUPERVISOR SUPPORT; SELF-DETERMINATION; JOB-PERFORMANCE; MEDIATING ROLE; MODEL; GOAL; ORGANIZATIONS</t>
  </si>
  <si>
    <t>This study investigates the interplay among proactive personality, leader creativity expectations, and role clarity in stimulating employee creativity based on the theoretical frameworks of role theory. Questionnaires were distributed to obtain 290 leader-employee dyads from China to examine hypotheses via conditional process analysis. The results show that proactive personality has a positive effect on employee creativity, leader creativity expectations did not play a significant moderating role on the relationship between proactive personality and employee creativity. The interaction between leader creativity expectations and role clarity has a significant moderating effect on the relationship between proactive personality and employee creativity. These findings are discussed in terms of their theoretical and practical significance.</t>
  </si>
  <si>
    <t>[Wang, Xiaohong; Wang, Meng] Harbin Inst Technol, Sch Management, Harbin, Peoples R China; [Xu, Feng] Harbin Inst Technol, Sch Humanities Social Sci &amp; Law, Harbin, Peoples R China</t>
  </si>
  <si>
    <t>Xu, F (corresponding author), Harbin Inst Technol, Sch Humanities Social Sci &amp; Law, Harbin, Peoples R China.</t>
  </si>
  <si>
    <t>National Natural Science Foundation of China [72102056, 71874042]; Philosophy and Social Science Program of Heilongjiang [21EDE318]; Postdoctoral Sustentation Fund of Heilongjiang Human Resources and Social Security Bureau [LBH-Z19148]; Fundamental Research Funds for the Central Universities [HIT.HSS.202125]</t>
  </si>
  <si>
    <t>National Natural Science Foundation of China(National Natural Science Foundation of China (NSFC)); Philosophy and Social Science Program of Heilongjiang; Postdoctoral Sustentation Fund of Heilongjiang Human Resources and Social Security Bureau; Fundamental Research Funds for the Central Universities(Fundamental Research Funds for the Central Universities)</t>
  </si>
  <si>
    <t>Funding This research was supported by the National Natural Science Foundation of China (nos. 72102056 and 71874042), Philosophy and Social Science Program of Heilongjiang (no. 21EDE318), Postdoctoral Sustentation Fund of Heilongjiang Human Resources and Social Security Bureau (no. LBH-Z19148), and Fundamental Research Funds for the Central Universities (no. HIT.HSS.202125).</t>
  </si>
  <si>
    <t>10.3389/fpsyg.2022.699411</t>
  </si>
  <si>
    <t>3O8PJ</t>
  </si>
  <si>
    <t>WOS:000837096300001</t>
  </si>
  <si>
    <t>Shalby, AMY; AlThubaity, DD</t>
  </si>
  <si>
    <t>Mahdy Shalby, Abeer Y.; AlThubaity, DaifAllah D.</t>
  </si>
  <si>
    <t>Innovate a Standard for the Future Model of Nursing Care at Medical-Surgical Units in Najran University</t>
  </si>
  <si>
    <t>BIOMED RESEARCH INTERNATIONAL</t>
  </si>
  <si>
    <t>Aim. Innovate a standard for the future model of nursing care at medical-surgical units in Najran University through a training program for the standard of the future model evaluation on studied nurses' knowledge, attitude about innovation standards, and innovative behavior among nurses. Methods. A quasi-experimental research was used to achieve the study's goal; the research was carried out at Najran University Hospital at Najran, in the medical and surgical units, as well as outpatient clinics. The sample is a convenience type; 100 nurses were used. Tool. A structured questionnaire sheet was used for data collection that includes nurses' knowledge, attitude, and individual innovative scale. Results. This reveals the studied nurses related to their individual innovative scale pre- and postintervention. Concerning resistance to change, the mean of them preintervention is x - SD 9.08 +/- 2.60. Concerning opinion leadership, the mean of them postintervention is x - SD 14.32 +/- 3.16. There is a highly significant difference (p&lt;0.01**) preintervention as regards all domains listed. Conclusion. The educational program significantly enhances nurses' knowledge and attitude, according to our present study. Nurses' innovative skills are also improved by enhancing their knowledge and attitude. Before and after the educational program was implemented, there was a highly positive linear association between the nurses' knowledge, attitude, and innovative skills at p &lt; 0.01.</t>
  </si>
  <si>
    <t>[Mahdy Shalby, Abeer Y.] Najran Univ, Fac Nursing, Med Surg Nursing Dept, Najran, Saudi Arabia; [AlThubaity, DaifAllah D.] Najran Univ, Fac Nursing, Pediat Nursing Dept, Najran, Saudi Arabia</t>
  </si>
  <si>
    <t>Najran University; Najran University</t>
  </si>
  <si>
    <t>Shalby, AMY (corresponding author), Najran Univ, Fac Nursing, Med Surg Nursing Dept, Najran, Saudi Arabia.;AlThubaity, DD (corresponding author), Najran Univ, Fac Nursing, Pediat Nursing Dept, Najran, Saudi Arabia.</t>
  </si>
  <si>
    <t>aymahdy@nu.edu.sa; ddalthubaity@nu.edu.sa</t>
  </si>
  <si>
    <t>shalby, Abeer/0000-0002-5757-5759; Al-Thubaity, DaifAllah/0000-0002-2732-8896</t>
  </si>
  <si>
    <t>Deanship of Scientific Research at Najran University [NU/-/MRC/10/301]</t>
  </si>
  <si>
    <t>Deanship of Scientific Research at Najran University</t>
  </si>
  <si>
    <t>AcknowledgmentsThe authors are thankful to the Deanship of Scientific Research at Najran University for funding this work under the General Research Funding program grant code (NU/-/MRC/10/301). Thank you to all of the nurses who took part in this research.</t>
  </si>
  <si>
    <t>2314-6133</t>
  </si>
  <si>
    <t>2314-6141</t>
  </si>
  <si>
    <t>BIOMED RES INT</t>
  </si>
  <si>
    <t>Biomed Res. Int.</t>
  </si>
  <si>
    <t>JUL 20</t>
  </si>
  <si>
    <t>10.1155/2022/2959583</t>
  </si>
  <si>
    <t>Biotechnology &amp; Applied Microbiology; Medicine, Research &amp; Experimental</t>
  </si>
  <si>
    <t>Biotechnology &amp; Applied Microbiology; Research &amp; Experimental Medicine</t>
  </si>
  <si>
    <t>3M0XV</t>
  </si>
  <si>
    <t>WOS:000835182800006</t>
  </si>
  <si>
    <t>Li, K; Zhu, GQ</t>
  </si>
  <si>
    <t>Li, Kai; Zhu, Guiqin</t>
  </si>
  <si>
    <t>Promoting teaching innovation of Chinese public-school teachers by team temporal leadership: The mediation of job autonomy and the moderation of work stress</t>
  </si>
  <si>
    <t>ENGAGEMENT; TIME; BEHAVIOR; PERFORMANCE; CREATIVITY; MOTIVATION; EDUCATION; DEMANDS; SATISFACTION; COMPETENCES</t>
  </si>
  <si>
    <t>This study examines the impact of team temporal leadership, leaders' behaviors regarding scheduling, allocating time resources, and coordinating team members, on teachers' innovative behavior. Questionnaire surveys on 2021 Chinese elementary and secondary publicschool teachers show that team temporal leadership exerts a significant positive direct effect on teaching innovation and the effect can be facilitated through the mediation of job autonomy. Moreover, both the direct effect and the second-leg of the mediation effect are moderated by work stress. These suggest that, at least in certain educational settings, teaching innovation can benefit from leaders' appropriate scheduling and synchronization of time resources. The results also emphasizing the roles of job autonomy and work stress during this time-based team management.</t>
  </si>
  <si>
    <t>[Li, Kai] Xian Univ Architecture &amp; Technol, Sch Management, Xian, Shaanxi, Peoples R China; [Zhu, Guiqin] Chongqing Normal Univ, Sch Educ, Chongqing, Peoples R China</t>
  </si>
  <si>
    <t>Xi'an University of Architecture &amp; Technology; Chongqing Normal University</t>
  </si>
  <si>
    <t>Zhu, GQ (corresponding author), Chongqing Normal Univ, Sch Educ, Chongqing, Peoples R China.</t>
  </si>
  <si>
    <t>qin7.7@126.com</t>
  </si>
  <si>
    <t>National Planning Office of Philosophy and Social Science, China [BHA180139]</t>
  </si>
  <si>
    <t>National Planning Office of Philosophy and Social Science, China</t>
  </si>
  <si>
    <t>Guiqin Zhu was supported by a grant from the `National Planning Office of Philosophy and Social Science, China' (grant number: BHA180139). The funders had no role in study design, data collection and analysis, decision to publish, or preparation of the manuscript.</t>
  </si>
  <si>
    <t>JUL 8</t>
  </si>
  <si>
    <t>e0271195</t>
  </si>
  <si>
    <t>10.1371/journal.pone.0271195</t>
  </si>
  <si>
    <t>3Z6OJ</t>
  </si>
  <si>
    <t>WOS:000844536800134</t>
  </si>
  <si>
    <t>Ding, H; Liu, J</t>
  </si>
  <si>
    <t>Ding, He; Liu, Jun</t>
  </si>
  <si>
    <t>Paying close attention to strengths mindset: the relationship of employee strengths mindset with job performance</t>
  </si>
  <si>
    <t>Strengths mindset; Positive affect; Job performance; Task performance; Innovative behavior; Strengths-based approach</t>
  </si>
  <si>
    <t>TASK-PERFORMANCE; INNOVATIVE BEHAVIOR; CHARACTER STRENGTHS; MODERATING ROLE; POSITIVE AFFECT; SELF-EFFICACY; WORK; ORGANIZATIONS; INTERVENTION; LEADERSHIP</t>
  </si>
  <si>
    <t>Although strengths-based approaches have reaped substantial interest from researchers and practitioners alike, little attention was paid to strengths mindset. This study investigated the relationship between employee strengths mindset and positive affect and job performance (i.e., task performance and innovative behavior), and considered the mediating role of positive affect in the strengths mindset-job performance relationship. Data with a sample of 407 employees from different industries in China were collected using a time-lagged research design. Structural equation modeling analysis was employed to test our research hypotheses. Analytical results illustrated that strengths mindset positively relates to positive affect and job performance. More importantly, positive affect was found to significantly mediate the relationship of strengths mindset with task performance and innovative behavior. This study contributes to advancing strengths mindset theory and research, and identifies a new pathway for improving employee job performance.</t>
  </si>
  <si>
    <t>[Ding, He] North China Elect Power Univ, Sch Econ &amp; Management, 2 Bei Nong Rd, Beijing, Peoples R China; [Liu, Jun] Renmin Univ China, Sch Business, 59 Zhongguancun St, Beijing, Peoples R China</t>
  </si>
  <si>
    <t>Liu, J (corresponding author), Renmin Univ China, Sch Business, 59 Zhongguancun St, Beijing, Peoples R China.</t>
  </si>
  <si>
    <t>believedh@126.com; junliu@ruc.edu.cn</t>
  </si>
  <si>
    <t>10.1007/s12144-022-03400-8</t>
  </si>
  <si>
    <t>2P7FG</t>
  </si>
  <si>
    <t>WOS:000819901400001</t>
  </si>
  <si>
    <t>Salam, S; Senin, AA</t>
  </si>
  <si>
    <t>Salam, Sidra; Senin, Aslan Amat</t>
  </si>
  <si>
    <t>A Bibliometric Study on Innovative Behavior Literature (1961-2019)</t>
  </si>
  <si>
    <t>innovative behavior; literature; bibliometric analysis; Scopus Database; VOSviewer</t>
  </si>
  <si>
    <t>WORK BEHAVIOR; WORKPLACE SPIRITUALITY; HOTEL INNOVATION; RESEARCH TRENDS; PERFORMANCE; BUSINESS; DETERMINANTS; LEADERSHIP; SUPPORT; FIELD</t>
  </si>
  <si>
    <t>Innovation is a significant method of ensuring excellence and competitiveness for contemporary organizations. Therefore, employees are highly motivated to involve in innovative behavior which comprises developing novel and beneficial ideas, sharing ideas of your own or other people to colleagues, and putting those ideas into practice. This bibliometric analysis aims to have a deeper understanding and an advanced knowledge about innovative behavior both theoretical and recent research developments using the Scopus database. The study was carried out to see the patterns in publication between 1961 and 2019; authors, journals, countries, academic discipline, research institutes/universities, and various keywords relevant to innovative behavior were used as search words. After thorough consideration and the use of multiple checkpoints to remove irrelevant studies, 931 research papers were reviewed. In the analysis of authors' keywords innovation was the most frequently occurred among other keywords. The data has shown a stronger link between innovative behavior and innovation with 34 occurrences. We noticed that innovative behavior has the highest occurrence with 264 times with 37 links and 235 total link strength in which the innovative behavior links with some variables such as leadership, organizational commitment, knowledge sharing, entrepreneurship, psychological empowerment, organizational culture, work engagement, innovative climate, and employee behavior. These are the major concepts that occurred within innovative behavior research. Along with future guidelines and study limitations, certain variables with infrequent occurrences are also discussed.</t>
  </si>
  <si>
    <t>[Salam, Sidra; Senin, Aslan Amat] Univ Teknol Malaysia, Johor Baharu, Malaysia</t>
  </si>
  <si>
    <t>Salam, S (corresponding author), Univ Teknol Malaysia, Azman Hashim Int Business Sch, Johor Baharu 81310, Johor, Malaysia.</t>
  </si>
  <si>
    <t>sidrasalam@hotmail.com</t>
  </si>
  <si>
    <t>Salam, Sidra/GZL-4555-2022</t>
  </si>
  <si>
    <t>Salam, Sidra/0000-0001-6475-3528</t>
  </si>
  <si>
    <t>10.1177/21582440221109589</t>
  </si>
  <si>
    <t>3A7WH</t>
  </si>
  <si>
    <t>WOS:000827465500001</t>
  </si>
  <si>
    <t>Wang, MM; Zhang, J; He, J; Bi, YZ</t>
  </si>
  <si>
    <t>Wang, Miaomiao; Zhang, Jie; He, Jie; Bi, Yanzhao</t>
  </si>
  <si>
    <t>Paradoxical leadership and employee innovation: Organization-based self-esteem and harmonious passion as sequential mediators</t>
  </si>
  <si>
    <t>paradoxical leadership; leadership style; organization-based self-esteem; harmonious passion; employee innovation; innovative behavior</t>
  </si>
  <si>
    <t>AMBIDEXTROUS LEADERSHIP; CREATIVITY; MOTIVATION</t>
  </si>
  <si>
    <t>We applied self-concept theory and self-determination theory and proposed that the relationship between paradoxical leadership and employee innovation would be sequentially mediated by organization-based self-esteem and harmonious passion. We tested our hypotheses by surveying 374 full-time employees in China and adopting structural equation modeling. The results indicate that paradoxical leadership was positively associated with employees' organization-based self-esteem, harmonious passion, and innovation. Moreover, the positive effect of paradoxical leadership on employees' innovation behavior was sequentially mediated by organization-based self-esteem and harmonious passion. Our findings advance understanding of the mechanism underlying the relationship of paradoxical leadership with employees' innovation behavior, and provide a meaningful extension of the leadership literature. We discuss implications for theory and practice.</t>
  </si>
  <si>
    <t>[Wang, Miaomiao; Zhang, Jie; Bi, Yanzhao] Nanjing Univ Aeronaut &amp; Astronaut, Coll Econ &amp; Management, 29 Jiangjun Ave, Nanjing 211106, Jiangsu, Peoples R China; [He, Jie] Hunan Univ Sci &amp; Technol, Sch Management, Xiangtan, Peoples R China</t>
  </si>
  <si>
    <t>Nanjing University of Aeronautics &amp; Astronautics; Hunan University of Science &amp; Technology</t>
  </si>
  <si>
    <t>Zhang, J (corresponding author), Nanjing Univ Aeronaut &amp; Astronaut, Coll Econ &amp; Management, 29 Jiangjun Ave, Nanjing 211106, Jiangsu, Peoples R China.</t>
  </si>
  <si>
    <t>jiezhang@nuaa.edu.cn</t>
  </si>
  <si>
    <t>e11634</t>
  </si>
  <si>
    <t>10.2224/sbp.11634</t>
  </si>
  <si>
    <t>2Y9QW</t>
  </si>
  <si>
    <t>WOS:000826223100008</t>
  </si>
  <si>
    <t>Jo, Y; Hong, AJ</t>
  </si>
  <si>
    <t>Jo, Yunseong; Hong, Ah Jeong</t>
  </si>
  <si>
    <t>Impact of Agile Learning on Innovative Behavior: A Moderated Mediation Model of Employee Engagement and Perceived Organizational Support</t>
  </si>
  <si>
    <t>learning agility; employee engagement; perceived organizational support (POS); innovative behavior; moderated mediation effect</t>
  </si>
  <si>
    <t>WORK ENGAGEMENT; JOB DEMANDS; ROLE PERFORMANCE; CREATIVITY; RESOURCES; BURNOUT; HEALTH; CONSERVATION; COMMITMENT; MOTIVATION</t>
  </si>
  <si>
    <t>This study analyzed learning agility, employee engagement, perceived organizational support (POS), and innovative behavior related to the development of innovative environment and the mental and psychological health of employees. A substantial body of research has examined the antecedents of innovative behavior of employees in their work environment, but our current understanding of how learning and motivational aspects of employees synthetically influence the innovative behavior remains incomplete. To address this gap, we developed and tested a moderated mediation model of the relationship between learning agility and employee engagement, POS, and innovative behavior. Following the job-demand resource model, componential theory, and social exchange theory, our postulated model predicted that the mediating effect of employee engagement on the relationship between learning agility and innovative behavior would be moderated by POS. The result of the analysis of the data on 331 corporate employees in South Korea supported this model. Specifically, learning agility was related to innovative behavior, while employee engagement mediated the relationship between learning agility and innovative behavior; POS strengthened the positive effect of learning agility on innovative behavior via employee engagement. We also discuss the implications of the results, future direction, and limitations of this study based on these findings.</t>
  </si>
  <si>
    <t>[Jo, Yunseong] Chung Ang Univ, Social Sci Korea Res Team, Seoul, South Korea; [Hong, Ah Jeong] Chung Ang Univ, Dept Educ, Seoul, South Korea</t>
  </si>
  <si>
    <t>Hong, AJ (corresponding author), Chung Ang Univ, Dept Educ, Seoul, South Korea.</t>
  </si>
  <si>
    <t>ah454@cau.ac.kr</t>
  </si>
  <si>
    <t>Ministry of Education of the Republic of Korea; National Research Foundation of Korea [NRF-2020S1A3A2A02091529]</t>
  </si>
  <si>
    <t>Funding This work was supported by the Ministry of Education of the Republic of Korea and the National Research Foundation of Korea (NRF-2020S1A3A2A02091529).</t>
  </si>
  <si>
    <t>10.3389/fpsyg.2022.900830</t>
  </si>
  <si>
    <t>2R1OS</t>
  </si>
  <si>
    <t>WOS:000820881600001</t>
  </si>
  <si>
    <t>Han, JY; Liu, NN; Wang, FF</t>
  </si>
  <si>
    <t>Han, Jiying; Liu, Nannan; Wang, Feifei</t>
  </si>
  <si>
    <t>Graduate Students' Perceived Supervisor Support and Innovative Behavior in Research: The Mediation Effect of Creative Self-Efficacy</t>
  </si>
  <si>
    <t>graduate students; supervisor support; creative self-efficacy; innovative behavior; research innovation</t>
  </si>
  <si>
    <t>GOAL ORIENTATION; HIGHER-EDUCATION; WORK; PERFORMANCE; ROLES; DETERMINANTS; ANTECEDENTS; PREDICTORS; LEADERSHIP; QUALITY</t>
  </si>
  <si>
    <t>With increased global competition and the advent of the knowledge economy, developing graduate students' ability to innovate in their research has become a core focus of graduate education. Graduate students' perceived help and assistance from supervisors is one of the key resources for research innovation. This study explored the relationships between graduate students' perceived supervisor support and their innovative behavior in research, and examined the mediation effect of creative self-efficacy, their confidence in abilities to generate creative ideas or produce creative outcomes. Survey data were collected from a sample of 996 Chinese graduate students. The results revealed that academic support was negatively related to idea generation and idea search; personal support was positively related to overcoming obstacles; autonomy support was positively related to all factors of innovative behavior except overcoming obstacles and innovation outputs. The mediation analysis suggested that creative self-efficacy significantly mediated the relationship between academic support and graduate students' innovative behavior in research. The results of this study highlight the significance of both supervisor support and creative self-efficacy in developing graduate students' research innovation. The findings have significant implications for stimulating students' research innovation and for improving the quality of graduate education.</t>
  </si>
  <si>
    <t>[Han, Jiying; Liu, Nannan] Shandong Univ, Sch Foreign Languages &amp; Literature, Jinan, Peoples R China; [Wang, Feifei] Shandong Univ, Sch Translat Studies, Weihai, Peoples R China</t>
  </si>
  <si>
    <t>Wang, FF (corresponding author), Shandong Univ, Sch Translat Studies, Weihai, Peoples R China.</t>
  </si>
  <si>
    <t>wangfeifei@sdu.edu.cn</t>
  </si>
  <si>
    <t>Liu, Nannan/0000-0001-6563-0474</t>
  </si>
  <si>
    <t>Young Scholars Program of Shandong University [2017WLJH09]; Shandong University Program of Graduate Education and Reform [XYJG2020029]</t>
  </si>
  <si>
    <t>Young Scholars Program of Shandong University; Shandong University Program of Graduate Education and Reform</t>
  </si>
  <si>
    <t>Funding This work was supported by the Young Scholars Program of Shandong University (Grant Number: 2017WLJH09) and Shandong University Program of Graduate Education and Reform (Grant Number: XYJG2020029).</t>
  </si>
  <si>
    <t>10.3389/fpsyg.2022.875266</t>
  </si>
  <si>
    <t>2P8DJ</t>
  </si>
  <si>
    <t>WOS:000819964100001</t>
  </si>
  <si>
    <t>Nguyen, NP; McGuirk, H</t>
  </si>
  <si>
    <t>Nguyen Phuc Nguyen; McGuirk, Helen</t>
  </si>
  <si>
    <t>Evaluating the effect of multifactors on employee's innovative behavior in SMEs: mediating effects of thriving at work and organizational commitment</t>
  </si>
  <si>
    <t>Innovation; SMEs; Organizational commitment; Hospitality; Employee innovative behavior; Workplace support</t>
  </si>
  <si>
    <t>TRANSFORMATIONAL LEADERSHIP; EMOTIONAL LABOR; MODERATING ROLE; JOB DEMANDS; CLIMATE; PERFORMANCE; SUPPORT; MODEL; DETERMINANTS; ENGAGEMENT</t>
  </si>
  <si>
    <t>Purpose This study aims to explore the effect of multiple factors on employee innovative behavior (EIB) and examine the mediating role that thriving at work and organizational commitment play in this relationship, specifically related to the hospitality sector. Design/methodology/approach Primary data was gathered from 612 employees across 100 small and medium-sized enterprises (SMEs) in Vietnam. Using covariance-based structural equation modeling and the bootstrapping method, the research estimates ten overarching hypotheses to address the research question: how do job, personal and contextual factors influence EIB? Findings Job, personal and contextual factors influence EIB significantly and positively. The results uncover the relationship between workplace support and EIB under the mediating effects of thriving at work and organizational commitment. Especially interesting for the hospitality sector is that the authors find these three factors are a strong influence on EIB. Practical implications Management can stimulate EIB by designing job control and job demand appropriately to build and maintain workplace social support in the organization, especially in the hospitality sector. Employees' personal characteristics can also facilitate this behavior. The research adds to theory on EIB and methods to analyze the factors affecting this driver of innovation. Originality/value The research enhances our understanding of EIB in the hospitality and the SME context generally. EIB is affected by employee perceptions of job factors (job demand and job control), personal factors (thriving at work and organizational commitment) and contextual factors (supervisor support, coworker support and climate for innovation).</t>
  </si>
  <si>
    <t>[Nguyen Phuc Nguyen] Univ Danang, Dept Business Adm, Univ Econ, Danang City, Vietnam; [McGuirk, Helen] Munster Technol Univ, Hincks Ctr Entrepreneurship Excellence, Sch Business, Cork, Ireland</t>
  </si>
  <si>
    <t>University of Danang</t>
  </si>
  <si>
    <t>Nguyen, NP (corresponding author), Univ Danang, Dept Business Adm, Univ Econ, Danang City, Vietnam.</t>
  </si>
  <si>
    <t>nguyennp@due.edu.vn</t>
  </si>
  <si>
    <t>Phuc Nguyen, Nguyen/O-2699-2016; McGuirk, Helen/GQR-0865-2022</t>
  </si>
  <si>
    <t>Phuc Nguyen, Nguyen/0000-0003-3867-2534; McGuirk, Helen/0000-0002-6520-5387</t>
  </si>
  <si>
    <t>Funds for Science and Technology Development of the University of Danang, Vietnam [B2019-DN04-23]</t>
  </si>
  <si>
    <t>Funds for Science and Technology Development of the University of Danang, Vietnam</t>
  </si>
  <si>
    <t>This research was funded by Funds for Science and Technology Development of the University of Danang, Vietnam under Project number B2019-DN04-23.</t>
  </si>
  <si>
    <t>10.1108/IJCHM-11-2021-1354</t>
  </si>
  <si>
    <t>WOS:000809310800001</t>
  </si>
  <si>
    <t>Zhang, ST; Guo, SH</t>
  </si>
  <si>
    <t>Zhang, Shaoting; Guo, Shaohua</t>
  </si>
  <si>
    <t>The Interplay of Servant Leader and Interpersonal Trust in Predicting Employee-Based Brand Equity: Moderating Role of Ethical Work Climate</t>
  </si>
  <si>
    <t>employee brand based equity; servant leadership; interpersonal trust; ethical work climate; work culture</t>
  </si>
  <si>
    <t>MODELING PLS-SEM; INNOVATIVE BEHAVIOR; JOB-PERFORMANCE; IDENTIFICATION; PARTICIPATION; PROGRAMS; IDENTITY; CULTURE; IMPACT; FUEL</t>
  </si>
  <si>
    <t>Although servant leadership may be equipped to provide a leadership model that addresses the issues of the modern workforce, little literature is available regarding the relationship between servant leadership and employee brand-based equity. This study contends to address this gap for which data have been collected from the service industry under a cross-sectional research design by distributing 410 questionnaires among the participants, out of which 337 were received back. After discarding the partially filled and incomplete responses, the useable responses were 314. Data were analyzed via the Smart PLS approach by applying the structural equation modeling technique. Results indicate that servant leadership directly increased the employee-based brand equity by the mediating role of interpersonal trust. However, this study has not established the moderating role of an ethical work climate.</t>
  </si>
  <si>
    <t>[Zhang, Shaoting] Zhengzhou Univ Light Ind, Sch Marxism, Zhengzhou, Peoples R China; [Guo, Shaohua] Zhengzhou Normal Univ, Sch Social Serv &amp; Dev, Zhengzhou, Peoples R China</t>
  </si>
  <si>
    <t>Zhengzhou University of Light Industry; Zhengzhou Normal University</t>
  </si>
  <si>
    <t>Guo, SH (corresponding author), Zhengzhou Normal Univ, Sch Social Serv &amp; Dev, Zhengzhou, Peoples R China.</t>
  </si>
  <si>
    <t>guoshaohuazhde@126.com</t>
  </si>
  <si>
    <t>Philosophy and Social Science Planning Project of Henan Province [2020BSH022]</t>
  </si>
  <si>
    <t>Philosophy and Social Science Planning Project of Henan Province</t>
  </si>
  <si>
    <t>Funding This work was supported by the Philosophy and Social Science Planning Project of Henan Province (2020BSH022).</t>
  </si>
  <si>
    <t>JUN 14</t>
  </si>
  <si>
    <t>10.3389/fpsyg.2022.905862</t>
  </si>
  <si>
    <t>2L6OJ</t>
  </si>
  <si>
    <t>WOS:000817137700001</t>
  </si>
  <si>
    <t>Xu, CB</t>
  </si>
  <si>
    <t>Xu, Chunbo</t>
  </si>
  <si>
    <t>Random Matrix-Based Multivariate Statistical Analysis of Enterprises in a Distributed Environment Human Resource Management</t>
  </si>
  <si>
    <t>MATHEMATICAL PROBLEMS IN ENGINEERING</t>
  </si>
  <si>
    <t>This paper addresses the design of an enterprise human resource management system due to multivariate statistical analysis computation in a random matrix recommendation algorithm in a distributed scenario. This paper defines multivariate statistical analysis human resource practice (DI-RP). It determines the composition of DI-HRP based on the nature of multivariate statistical analysis and enterprise human resource practice. In addition, the role of DI-HRP in influencing employees' innovative behaviors is explored based on the theoretical basis of resource conservation theory. This paper mainly develops according to the software development process typical to software engineering, organizes the current business logic of the company, understands the relevant content of the company's human resource management, conducts requirement research on the human resource department, analyzes the feasibility of system implementation from different perspectives, and finally designs a human resource management system based on B/S architecture on the result of requirement analysis. The technology and tools used in the system were decided on the existing technical architecture of the company. The system design was divided into five modules: personal information management module, work management module, attendance management module, reimbursement management module, and entry/exit management module according to the requirements and finishing process, and each functional module of the system was coded and implemented, respectively. The development tool is PyCharm, and some front-end pages are edited and modified by Visual Studio Code. The Permission model of Django is used to add corresponding permissions for various types of users to ensure the security of the system when running.</t>
  </si>
  <si>
    <t>[Xu, Chunbo] Weifang Univ, Weifang 261061, Shandong, Peoples R China</t>
  </si>
  <si>
    <t>Weifang University</t>
  </si>
  <si>
    <t>Xu, CB (corresponding author), Weifang Univ, Weifang 261061, Shandong, Peoples R China.</t>
  </si>
  <si>
    <t>20110597@wfu.edu.cn</t>
  </si>
  <si>
    <t>1024-123X</t>
  </si>
  <si>
    <t>1563-5147</t>
  </si>
  <si>
    <t>MATH PROBL ENG</t>
  </si>
  <si>
    <t>Math. Probl. Eng.</t>
  </si>
  <si>
    <t>JUN 11</t>
  </si>
  <si>
    <t>10.1155/2022/7020190</t>
  </si>
  <si>
    <t>Engineering, Multidisciplinary; Mathematics, Interdisciplinary Applications</t>
  </si>
  <si>
    <t>Engineering; Mathematics</t>
  </si>
  <si>
    <t>2U7AP</t>
  </si>
  <si>
    <t>WOS:000823309200003</t>
  </si>
  <si>
    <t>Meng, LX; Li, T; Yang, MY; Wang, SS</t>
  </si>
  <si>
    <t>Meng, Lingxi; Li, Tong; Yang, Mengyuan; Wang, Shanshan</t>
  </si>
  <si>
    <t>A Study on the Influence of Authoritarian-Benevolent Leadership on Employees' Innovative Behavior From the Perspective of Psychological Perception-Based on Fuzzy Set Qualitative Comparative Analysis</t>
  </si>
  <si>
    <t>authoritarian-benevolent leadership; employees' innovative behavior; psychological perception; qualitative comparative analysis; China's situation</t>
  </si>
  <si>
    <t>PATERNALISTIC LEADERSHIP; PERFORMANCE; MODEL; SAFETY; TRUST; NEED</t>
  </si>
  <si>
    <t>Employee innovation is the key to enhancing the core competitiveness of an enterprise, and leadership style plays an important role in stimulating employees' innovative behavior. This study explores the impact of unique ambidextrous leadership in the Chinese context, authoritarian-benevolent leadership, on employees' innovative behavior from the perspective of employees' psychological perception, based on research data from 430 employees of companies with direct leaders. Based on the configuration theory, using the fuzzy set qualitative comparative analysis method, the configuration analysis was carried out by taking authoritarian-benevolent ambidextrous leadership and employees' psychological perception as the influencing factors and obtained five configurations of high-level employees' innovative behavior. The results show that the combination of individualized care, understanding, and forgiving of benevolent leadership and Shang-yan of authoritarian leadership can effectively stimulate employees' innovative behavior. Juan-Chiuan leadership is not conducive to employees' innovative behavior. Employees' high psychological safety and low uncertainty are important conditions for promoting employee innovation. In this study, the four dimensions of authoritarian-benevolent leadership and the psychological perceptions of employees are discussed in combination, and the paths of motivating employees to innovate actively are obtained. It is hoped that it can provide certain ideas for leaders to promote employee innovation.</t>
  </si>
  <si>
    <t>[Meng, Lingxi; Li, Tong] Yunnan Minzu Univ, Sch Management, Kunming, Peoples R China; [Yang, Mengyuan] Yunnan Univ Finance &amp; Econ, Sch Finance, Kunming, Peoples R China; [Wang, Shanshan] Yunnan Coll Tourism Vocat, Kunming, Peoples R China</t>
  </si>
  <si>
    <t>Yunnan Minzu University; Yunnan University of Finance &amp; Economics</t>
  </si>
  <si>
    <t>Yang, MY (corresponding author), Yunnan Univ Finance &amp; Econ, Sch Finance, Kunming, Peoples R China.;Wang, SS (corresponding author), Yunnan Coll Tourism Vocat, Kunming, Peoples R China.</t>
  </si>
  <si>
    <t>yangmengyuan0424@163.com; shanshan.dpu@gmail.com</t>
  </si>
  <si>
    <t>JUN 2</t>
  </si>
  <si>
    <t>10.3389/fpsyg.2022.886286</t>
  </si>
  <si>
    <t>2E1PD</t>
  </si>
  <si>
    <t>WOS:000812004700001</t>
  </si>
  <si>
    <t>de Elejalde, R; Ponce, CJ; Rolden, F</t>
  </si>
  <si>
    <t>de Elejalde, Ramiro; Ponce, Carlos J.; Rolden, Flavia</t>
  </si>
  <si>
    <t>Multidimensional innovation responses and foreign competition</t>
  </si>
  <si>
    <t>foreign competition; innovation inputs; innovation outputs; heterogeneous innovation effects</t>
  </si>
  <si>
    <t>IMPORT COMPETITION; IMPACT; TRADE; CAPABILITIES; STRATEGY; FIRMS; CHINA</t>
  </si>
  <si>
    <t>The dramatic increase in China's exports after its accession to the World Trade Organization offers a window of opportunity for learning the innovative behavior of firms under competitive distress. Using manufacturing firm-level data, we quantify the effects of foreign competition on innovation in Uruguay. Our estimates show that a higher level of foreign competition reduces innovation inputs (acquisition of new machines, equipment, and software) and outputs (process and product innovations). These adverse effects are larger for firms in business groups and smaller for more productive firms and firms with more skilled labor.</t>
  </si>
  <si>
    <t>[de Elejalde, Ramiro; Ponce, Carlos J.] Univ Alberto Hurtado, Dept Econ, Erasmo Escala 1835, Santiago 8340539, Chile; [Rolden, Flavia] Univ ORT Uruguay, Blvd Espana 2633, Montevideo 11300, Uruguay</t>
  </si>
  <si>
    <t>Universidad Alberto Hurtado; University ORT Uruguay</t>
  </si>
  <si>
    <t>Rolden, F (corresponding author), Univ ORT Uruguay, Blvd Espana 2633, Montevideo 11300, Uruguay.</t>
  </si>
  <si>
    <t>roldan@ort.edu.uy</t>
  </si>
  <si>
    <t>Roldan, Flavia/GWZ-9492-2022</t>
  </si>
  <si>
    <t>Agencia Nacional de Investigacion y Desarrollo (ANID) under the grant Fondecyt de Iniciacion en Investigacion [2022-11220847]</t>
  </si>
  <si>
    <t>Agencia Nacional de Investigacion y Desarrollo (ANID) under the grant Fondecyt de Iniciacion en Investigacion</t>
  </si>
  <si>
    <t>D.E. acknowledges support from the Agencia Nacional de Investigacion y Desarrollo (ANID) under the grant Fondecyt de Iniciacion en Investigacion/2022-11220847.</t>
  </si>
  <si>
    <t>NOV 19</t>
  </si>
  <si>
    <t>10.1093/icc/dtac024</t>
  </si>
  <si>
    <t>7L5EB</t>
  </si>
  <si>
    <t>WOS:000804164500001</t>
  </si>
  <si>
    <t>De Clercq, D; Kaciak, E; Thongpapanl, N</t>
  </si>
  <si>
    <t>De Clercq, Dirk; Kaciak, Eugene; Thongpapanl, Narongsak</t>
  </si>
  <si>
    <t>Happy at home, successful in competition: the beneficial role of happiness and entrepreneurial orientation for women entrepreneurs</t>
  </si>
  <si>
    <t>Family-induced work happiness; Entrepreneurial orientation; Competitive performance; Environmental hostility; Conservation of resources theory</t>
  </si>
  <si>
    <t>WORK-FAMILY ENRICHMENT; FIRM PERFORMANCE; STRATEGIC ENTREPRENEURSHIP; DYNAMIC CAPABILITIES; BUSINESS PERFORMANCE; INNOVATIVE BEHAVIOR; JOB-PERFORMANCE; METHOD VARIANCE; MODERATING ROLE; MEDIATING ROLE</t>
  </si>
  <si>
    <t>Purpose This study aims to investigate the mediating effect of entrepreneurial orientation on the relationship between women entrepreneurs' experience of family-induced work happiness and the competitive performance of their companies, as well as the invigorating role of their perceptions of environmental hostility in this process. Design/methodology/approach Survey data were collected among a nationwide sample of women entrepreneurs in Denmark. Findings The spillover of positive emotions from family to work can spur competitive performance if women entrepreneurs adopt an entrepreneurial strategic posture. This intermediate role of entrepreneurial orientation is particularly prominent among women entrepreneurs who experience their market environments as highly threatening to their success. Practical implications For practitioners, this study identifies a key mechanism, an entrepreneurial strategic direction, by which positive work energy stemming from family involvement can enhance women entrepreneurs' business success. The study also shows how this mechanism is triggered by resource-draining competitive markets that appear hostile instead of benign. Originality/value The adoption of an entrepreneurial posture is an unexplored but critical factor through which women entrepreneurs' sense of happiness at work, caused by their family involvement, can be leveraged into enhanced success at the organizational level. This study also explicates how this beneficial role is invigorated by beliefs about environmental hostility, as a critical external source of resource depletion.</t>
  </si>
  <si>
    <t>[De Clercq, Dirk; Kaciak, Eugene; Thongpapanl, Narongsak] Brock Univ, Goodman Sch Business, St Catharines, ON, Canada; [Kaciak, Eugene] Kozminski Univ, Dept Quantitat Methods &amp; Informat Technol, Warsaw, Poland; [Thongpapanl, Narongsak] Chiang Mai Univ, Res Adm Ctr RAC, Chiang Mai, Thailand</t>
  </si>
  <si>
    <t>Brock University; Kozminski University; Chiang Mai University</t>
  </si>
  <si>
    <t>National Science Centre, Poland [2017/27/B/HS4/02075]</t>
  </si>
  <si>
    <t>This work was supported by research grant no. 2017/27/B/HS4/02075 for Eugene Kaciak, National Science Centre, Poland.</t>
  </si>
  <si>
    <t>AUG 12</t>
  </si>
  <si>
    <t>10.1108/IJEBR-02-2021-0154</t>
  </si>
  <si>
    <t>3R3AG</t>
  </si>
  <si>
    <t>WOS:000799368300001</t>
  </si>
  <si>
    <t>Liang, W; Lv, C; Yu, YC; Li, TY; Liu, P</t>
  </si>
  <si>
    <t>Liang, Wei; Lv, Chen; Yu, Yongchang; Li, Tingyi; Liu, Peng</t>
  </si>
  <si>
    <t>Leader's Implicit Followership and Employees' Innovative Behavior: Chain Mediation Effect of Leader-Member Exchange and Psychological Empowerment</t>
  </si>
  <si>
    <t>leader's implicit followership; employees' innovative behavior; leader-member exchange; psychological empowerment; chain mediation effect</t>
  </si>
  <si>
    <t>TRANSFORMATIONAL LEADERSHIP; WORK; JOB; MODEL; PERCEPTIONS; PERFORMANCE; CREATIVITY; RELEVANCE; CONSTRUCT; IMPACT</t>
  </si>
  <si>
    <t>In the Chinese society, where power distance is high, leaders' attitudes and behavior toward employees determine their career development as well as affect the entire team's performance. Therefore, exploring the kind of employees that leaders expect in China is essential. Based on implicit followership theory perspective, this study considers leaders' positive implicit followership (LPIF) as the main research variable and examines its influence on employees' innovative behavior (EIB). Moreover, it explores the multiple mediation effect of the leader-member exchange (LMX) relationship and psychological empowerment (PE) in this influence mechanism. The study sample comprised 389 leaders and their direct employees at 45 large- and medium-sized enterprises in Shandong, Beijing, Hebei, Shanghai, Shanxi, Zhejiang, and other regions of China. We used the leader-employee 1:1 matching questionnaire, and the longitudinal research design was adopted to avoid homology variance, making the study results more realistic and reliable. This study used the SPSS 26.0 and AMOS 26.0 statistical software to verify the hypotheses. Our findings show that LPIF has a significant positive effect on EIB, and LMX and PE have multiple mediation effects on the relationship between LPIF and EIB. When the level of LPIF is high, LMX and PE are also enhanced, which in turn promotes the increase in EIB. This study provides a new perspective for subsequent research on the psychological mechanism of employees and suggests an important method for understanding leadership and following processes in an organization. It plays a guiding role for the management practice of an enterprise, selection of leaders, and training of employees.</t>
  </si>
  <si>
    <t>[Liang, Wei; Lv, Chen; Yu, Yongchang; Liu, Peng] Taishan Univ, Sch Tourism, Tai An, Peoples R China; [Li, Tingyi] Shandong Technol &amp; Business Univ, Business Adm Coll, Yantai, Peoples R China</t>
  </si>
  <si>
    <t>Taishan University; Shandong Technology &amp; Business University</t>
  </si>
  <si>
    <t>Lv, C (corresponding author), Taishan Univ, Sch Tourism, Tai An, Peoples R China.</t>
  </si>
  <si>
    <t>xiaosi-5210@163.com</t>
  </si>
  <si>
    <t>10.3389/fpsyg.2022.815147</t>
  </si>
  <si>
    <t>1U7YH</t>
  </si>
  <si>
    <t>WOS:000805622800001</t>
  </si>
  <si>
    <t>Li, Y; Li, ZW</t>
  </si>
  <si>
    <t>Li, Yuan; Li, Zhongwu</t>
  </si>
  <si>
    <t>Dual-Channel Effect of Job Insecurity on Knowledge Workers' Innovative Behavior</t>
  </si>
  <si>
    <t>PERFORMANCE; STRESSORS; SATISFACTION; METAANALYSIS; CREATIVITY; RESOURCES; MODEL; VOICE</t>
  </si>
  <si>
    <t>Job insecurity reflects the desire and expectation of organizational managers for employees' exhibition of innovative behavior. Ubiquitous and inevitable, it has gradually become a concern psychological problem for job survival and stability. As a key driver of innovation, employee innovation depends heavily on knowledge workers, who are best able to spot problems and identify and capture opportunities. Based upon the transactional theory of stress and coping (TTSC), this paper discusses the influencing mechanism of knowledge workers' job insecurity and innovative behavior in enterprises, emphatically analyzes the mediating effects of two coping strategies, i.e., proactive work behavior and working withdrawal behavior, and verifies the moderating effect of organizational climate for innovation. With the data from 665 questionnaires of enterprise knowledge workers, this paper shows that job insecurity can influence knowledge workers' innovative behavior either positively through proactive work behavior or negatively through working withdrawal behavior, thus forming a dual-channel effect model of influencing their innovative behavior, and that organizational climate for innovation has a moderating effect on the relationship between job insecurity and proactive work behavior/working withdrawal behavior. The organizational innovation climate played a moderating role between job insecurity and proactive work behavior and work withdrawal behavior and detected the value of the boundary where the organizational innovation climate played a mediating role.</t>
  </si>
  <si>
    <t>[Li, Yuan; Li, Zhongwu] Natl Inst Dev Adm, Int Coll, Bangkok 10240, Thailand</t>
  </si>
  <si>
    <t>National Institute of Development Administration - Thailand</t>
  </si>
  <si>
    <t>Li, ZW (corresponding author), Natl Inst Dev Adm, Int Coll, Bangkok 10240, Thailand.</t>
  </si>
  <si>
    <t>yuan.l@stu.nida.ac.th; zhongwu.li@nida.ac.th</t>
  </si>
  <si>
    <t>LI, ZHONGWU/0000-0002-8882-851X</t>
  </si>
  <si>
    <t>10.1155/2022/1519717</t>
  </si>
  <si>
    <t>1U0ZY</t>
  </si>
  <si>
    <t>WOS:000805150300003</t>
  </si>
  <si>
    <t>Mutonyi, BR; Slatten, T; Lien, G; Gonzalez-Pinero, M</t>
  </si>
  <si>
    <t>Mutonyi, Barbara Rebecca; Slatten, Terje; Lien, Gudbrand; Gonzalez-Pinero, Manel</t>
  </si>
  <si>
    <t>The impact of organizational culture and leadership climate on organizational attractiveness and innovative behavior: a study of Norwegian hospital employees</t>
  </si>
  <si>
    <t>Organizational culture; Organizational climate; Internal market-oriented culture; Support for autonomy; Organizational attractiveness; Innovative behavior; Hospital employees</t>
  </si>
  <si>
    <t>SUPERVISOR AUTONOMY SUPPORT; SELF-DETERMINATION THEORY; HEALTH-CARE; JOB-PERFORMANCE; COMMUNITIES; MOTIVATION; ANTECEDENTS; MANAGEMENT; VIEW; SATISFACTION</t>
  </si>
  <si>
    <t>Background In the domain of health services, little research has focused on how organizational culture, specifically internal market-oriented cultures (IMOCs), are associated with organizational climate resources, support for autonomy (SA), and whether and how IMOCs and SA are either individually or in combination related to employee perceptions of the attractiveness of the organization and their level of innovative behavior. These knowledge gaps in previous research motivated this study. Methods A conceptual model was tested on a sample (N = 1008) of hospital employees. Partial least-squares structural equation modeling (PLS-SEM) was employed to test the conceptual models, using the SmartPLS 3 software. To test the mediator effect, a bootstrapping test was used to determine whether the direct and indirect effects were statistically significant, and when combining two tests, to determine the type of mediator effect. Results The results can be summarized as four key findings: i) organizational culture (referring to an IMOC) was positively and directly related to SA (beta = 0.87) and organizational attractiveness (beta = 0.45); ii) SA was positively and directly related to both organizational attractiveness (beta = 0.22) and employee individual innovative behavior (beta = 0.37); iii) The relationships between an IMOC, SA, and employee innovative behavior were all mediated through organizational attractiveness; and iv) SA mediated the relationship between the IMOC and organizational attractiveness as well as that between the IMOC and employee innovative behavior. Conclusions Organizational culture, IMOC, organizational climate resources, and SA were highly correlated and necessary drivers of employee perceptions of organizational attractiveness and their innovative behavior. Managers of hospitals should consider IMOC and SA as two organizational resources that are potentially manageable and controllable. Consequently, managers should actively invest in these resources. Such investments will lead to resource capitalization that will improve both employee perceptions of organizational attractiveness as well as their innovative behavior.</t>
  </si>
  <si>
    <t>[Mutonyi, Barbara Rebecca] Kristiania Univ Coll, Sch Econ Innovat &amp; Technol, Oslo, Norway; [Slatten, Terje; Lien, Gudbrand] Inland Norway Univ Appl Sci, Inland Sch Business &amp; Social Sci, Lillehammer, Norway; [Gonzalez-Pinero, Manel] Univ Barcelona, Fac Econ &amp; Business, Dept Econ, Barcelona, Spain; [Gonzalez-Pinero, Manel] Tech Univ Catalonia, Res Ctr Biomed Engn, Barcelona, Spain</t>
  </si>
  <si>
    <t>Kristiania University College; Inland Norway University of Applied Sciences; University of Barcelona; Universitat Politecnica de Catalunya</t>
  </si>
  <si>
    <t>Mutonyi, BR (corresponding author), Kristiania Univ Coll, Sch Econ Innovat &amp; Technol, Oslo, Norway.</t>
  </si>
  <si>
    <t>Barbararebecca.Mutonyi@kristiania.no</t>
  </si>
  <si>
    <t>MAY 13</t>
  </si>
  <si>
    <t>10.1186/s12913-022-08042-x</t>
  </si>
  <si>
    <t>1G0RE</t>
  </si>
  <si>
    <t>WOS:000795563600001</t>
  </si>
  <si>
    <t>Peng, H</t>
  </si>
  <si>
    <t>Peng, He</t>
  </si>
  <si>
    <t>Similar or Different Effects? Quantifying the Effects of Humility and Modesty on Job Performance</t>
  </si>
  <si>
    <t>modesty; humility; unethical pro-organizational behavior; innovative behavior; citizenship behavior</t>
  </si>
  <si>
    <t>ORGANIZATIONAL CITIZENSHIP BEHAVIOR; LEADER-MEMBER EXCHANGE; HONESTY-HUMILITY; IMPRESSION MANAGEMENT; INTELLECTUAL HUMILITY; SELF-PRESENTATION; BIG 5; PERSONALITY; WORK; PERSPECTIVES</t>
  </si>
  <si>
    <t>Humility and modesty are both emphasized in Eastern and Western societies. However, people usually conflate them in everyday usage. To reduce the confusion of the two constructs, it is very vital to carefully differentiate the two constructs and examine whether they lead to similar or different effects on job performance. In this study, we scrutinized the effects of the two constructs on four dimensions of job performance simultaneously, including task performance, citizenship behavior (helping and voicing), unethical pro-organizational behavior, and innovative behavior. Using a dataset of 239 employees and 77 supervisors, we showed that modesty is not related to task performance and voicing, but that it is positively related to unethical pro-organizational behavior and negatively related to helping and innovative behavior. In contrast, we showed that humility is negatively related to unethical pro-organizational behavior and positively related to task performance, helping, voicing, and innovative behavior. Our findings reveal that modesty and humility can lead to very divergent work outcomes. The results strongly support the idea that modesty and humility are distinct constructs embedded in separate nomological networks and strongly suggest that organizations should encourage employees' humility rather than modesty. The theoretical and practical implications of this work are discussed.</t>
  </si>
  <si>
    <t>[Peng, He] Fudan Univ, Sch Management, Shanghai, Peoples R China</t>
  </si>
  <si>
    <t>Fudan University</t>
  </si>
  <si>
    <t>Peng, H (corresponding author), Fudan Univ, Sch Management, Shanghai, Peoples R China.</t>
  </si>
  <si>
    <t>hepeng@fudan.edu.cn</t>
  </si>
  <si>
    <t>National Natural Science Foundation of China [71772047]</t>
  </si>
  <si>
    <t>Funding This research was funded by the National Natural Science Foundation of China (grant no. 71772047).</t>
  </si>
  <si>
    <t>MAY 12</t>
  </si>
  <si>
    <t>10.3389/fpsyg.2022.809841</t>
  </si>
  <si>
    <t>1R9GK</t>
  </si>
  <si>
    <t>WOS:000803670000001</t>
  </si>
  <si>
    <t>Wang, DW; Wang, L; Wei, SJ; Yu, P; Sun, HC; Jiang, XM; Hu, YX</t>
  </si>
  <si>
    <t>Wang, Dawei; Wang, Li; Wei, Shuangju; Yu, Peng; Sun, Haichao; Jiang, Ximing; Hu, Yixin</t>
  </si>
  <si>
    <t>Effects of Authoritarian Leadership on Employees' Safety Behavior: A Moderated Mediation Model</t>
  </si>
  <si>
    <t>FRONTIERS IN PUBLIC HEALTH</t>
  </si>
  <si>
    <t>authoritarian leadership; safety behavior; trust in leadership; locus of control; moderated mediation model</t>
  </si>
  <si>
    <t>NUCLEAR-POWER-PLANTS; PATERNALISTIC LEADERSHIP; SELF-EFFICACY; TRANSFORMATIONAL LEADERSHIP; COGNITIVE APPRAISAL; INNOVATIVE BEHAVIOR; ABUSIVE SUPERVISION; ETHICAL LEADERSHIP; INTERNAL LOCUS; TRUST</t>
  </si>
  <si>
    <t>Safety behavior is one of the focal concerns to occupational health researchers and safety managers. This study examined the relationship between authoritarian leadership and safety behavior based on social exchange theory and locus of control theory, and further explored the mediating role of trust in leadership and the moderating role of locus of control. In this study, a total of 636 employees from petroleum enterprises were recruited, with random sampling used to collect data in two stages. The result showed that: (1) Authoritarian leadership is significantly and negatively related to employees' safety compliance behavior and safety participation behavior. (2) Trust in leadership plays a partially mediating role in the impact of authoritarian leadership on employees' safety compliance behavior and safety participation behavior. (3) Locus of control moderates the first half of the pathway through which authoritarian leadership affects employees' safety behavior through trust in leadership. For externals, the negative effect of authoritarian leadership on their trust in leadership is stronger, which in turn decreases their safety compliance behavior and safety participation behavior.</t>
  </si>
  <si>
    <t>[Wang, Dawei; Wang, Li; Wei, Shuangju; Sun, Haichao; Hu, Yixin] Shandong Normal Univ, Sch Psychol, Jinan, Peoples R China; [Yu, Peng] Kashi Univ, Sch Educ Sci, Kashgar, Xinjiang, Peoples R China; [Sun, Haichao] Taishan Coll, Sch Teacher Educ, Tai'an, Peoples R China; [Jiang, Ximing] Shengli Petr Engn Yellow River Drilling Corp, Dongying, Peoples R China</t>
  </si>
  <si>
    <t>Shandong Normal University; Kashi University; Taishan University</t>
  </si>
  <si>
    <t>Sun, HC; Hu, YX (corresponding author), Shandong Normal Univ, Sch Psychol, Jinan, Peoples R China.;Yu, P (corresponding author), Kashi Univ, Sch Educ Sci, Kashgar, Xinjiang, Peoples R China.;Sun, HC (corresponding author), Taishan Coll, Sch Teacher Educ, Tai'an, Peoples R China.</t>
  </si>
  <si>
    <t>yupengjinan@163.com; 635682243@qq.com; huyixin2005@163.com</t>
  </si>
  <si>
    <t>2296-2565</t>
  </si>
  <si>
    <t>FRONT PUBLIC HEALTH</t>
  </si>
  <si>
    <t>Front. Public Health</t>
  </si>
  <si>
    <t>10.3389/fpubh.2022.846842</t>
  </si>
  <si>
    <t>1S5SC</t>
  </si>
  <si>
    <t>WOS:000804109800001</t>
  </si>
  <si>
    <t>Rossler, T; Mioduszewska, B; O'Hara, M; Huber, L; Prawiradilaga, DM; Auersperg, AMI</t>
  </si>
  <si>
    <t>Roessler, Theresa; Mioduszewska, Berenika; O'Hara, Mark; Huber, Ludwig; Prawiradilaga, Dewi M.; Auersperg, Alice M., I</t>
  </si>
  <si>
    <t>The Innovation Arena: A Method for Comparing Innovative Problem-Solving Across Groups</t>
  </si>
  <si>
    <t>JOVE-JOURNAL OF VISUALIZED EXPERIMENTS</t>
  </si>
  <si>
    <t>FEEDING INNOVATIONS; FOREBRAIN SIZE; BRAIN SIZE; WILD; INTELLIGENCE; NEOPHOBIA; BEHAVIOR; BIRDS</t>
  </si>
  <si>
    <t>Problem-solving tasks are commonly used to investigate technical, innovative behavior but a comparison of this ability across a broad range of species is a challenging undertaking. Specific predispositions, such as the morphological toolkit of a species or exploration techniques, can substantially influence performance in such tasks, which makes direct comparisons difficult. The method presented here was developed to be more robust with regard to such species-specific differences: the Innovation Arena presents 20 different problem-solving tasks. All tasks are presented simultaneously. Subjects are confronted with the apparatus repeatedly, which allows a measurement of the emergence of innovations over time - an important next step for investigating how animals can adapt to changing environmental conditions through innovative behavior. Each individual was tested with the apparatus until it ceased to discover solutions. After testing was concluded, we analyzed the video recordings and coded successful retrieval of rewards and multiple apparatus-directed behaviors. The latter were analyzed using a Principal Component Analysis and the resulting components were then included in a Generalized Linear Mixed Model together with session number and the group comparison of interest to predict the probability of success. We used this approach in a first study to target the question of whether long-term captivity influences the problem-solving ability of a parrot species known for its innovative behavior: the Goffin ' s cockatoo. We found an effect in degree of motivation but no difference in the problem-solving ability between short- and long-term captive groups.</t>
  </si>
  <si>
    <t>[Roessler, Theresa; Mioduszewska, Berenika; O'Hara, Mark; Huber, Ludwig; Auersperg, Alice M., I] Med Univ Vienna, Univ Vienna, Univ Vet Med Vienna, Comparat Cognit,Messerli Res Inst, Vienna, Austria; [O'Hara, Mark; Prawiradilaga, Dewi M.] Univ Vienna, Natl Res &amp; Innovat Agcy BRIN, Res Ctr Biol, Vienna, Austria; [Roessler, Theresa] Univ Vienna, Dept Cognit Biol, Vienna, Austria; [Mioduszewska, Berenika] Max Planck Inst Ornithol, Pocking, Germany</t>
  </si>
  <si>
    <t>Medical University of Vienna; University of Veterinary Medicine Vienna; University of Vienna; University of Vienna; University of Vienna; Max Planck Society</t>
  </si>
  <si>
    <t>Rossler, T (corresponding author), Med Univ Vienna, Univ Vienna, Univ Vet Med Vienna, Comparat Cognit,Messerli Res Inst, Vienna, Austria.;Rossler, T (corresponding author), Univ Vienna, Dept Cognit Biol, Vienna, Austria.</t>
  </si>
  <si>
    <t>theresa@roessler.in</t>
  </si>
  <si>
    <t>Austrian Science Fund (FWF) [P29075, P29083, J 4169-B29, Y01309]; Vienna Science and Technology Fund (WWTF) [CS18-023]</t>
  </si>
  <si>
    <t>Austrian Science Fund (FWF)(Austrian Science Fund (FWF)); Vienna Science and Technology Fund (WWTF)</t>
  </si>
  <si>
    <t>We thank Stefan Schierhuber and David Lang for their assistance in the production of this video, Christoph Rossler for his help with technical drawings, and Poppy Lambert for proofreading this manuscript. This publication was funded by the Austrian Science Fund (FWF; START project Y01309 awarded to A.A.). The presented research was funded by the Austrian Science Fund (FWF; projects P29075 and P29083 awarded to A.A. and project J 4169-B29 awarded to M.O.) as well as the Vienna Science and Technology Fund (WWTF; project CS18-023 awarded to A.A.).</t>
  </si>
  <si>
    <t>JOURNAL OF VISUALIZED EXPERIMENTS</t>
  </si>
  <si>
    <t>1 ALEWIFE CENTER, STE 200, CAMBRIDGE, MA 02140 USA</t>
  </si>
  <si>
    <t>1940-087X</t>
  </si>
  <si>
    <t>JOVE-J VIS EXP</t>
  </si>
  <si>
    <t>J. Vis. Exp.</t>
  </si>
  <si>
    <t>e63026</t>
  </si>
  <si>
    <t>10.3791/63026</t>
  </si>
  <si>
    <t>2C6OU</t>
  </si>
  <si>
    <t>WOS:000810986100023</t>
  </si>
  <si>
    <t>Chang, EM; Lee, JW; Chin, H</t>
  </si>
  <si>
    <t>Chang, Eunmi; Lee, Jeong Won; Chin, Hyun</t>
  </si>
  <si>
    <t>Employees striving for innovation in social enterprises: The roles of social mission and commitment-based human resource management</t>
  </si>
  <si>
    <t>BUSINESS ETHICS THE ENVIRONMENT &amp; RESPONSIBILITY</t>
  </si>
  <si>
    <t>commitment HRM; innovative behavior; learning behavior; social enterprises; social mission</t>
  </si>
  <si>
    <t>EXPERIENCE SAMPLING METHODOLOGY; PSYCHOLOGICAL SAFETY; MANUFACTURING PERFORMANCE; ENTREPRENEURSHIP RESEARCH; LEARNING-BEHAVIOR; METHOD BIAS; WORK; IMPACT; IDENTIFICATION; ORGANIZATIONS</t>
  </si>
  <si>
    <t>Social enterprises, promising organizations for solving societal problems with innovative approaches, rely upon their members' active roles for workplace innovation. However, we still have a limited understanding about how social enterprises can foster employees' endeavors for innovation. By focusing on employee learning and innovative behavior, we investigate the influences of perceived social mission, value congruence, and human resource management (HRM) practices in social enterprises. We conducted two complementary studies to answer our research questions. In Study 1, with a survey of 369 employees from 68 social enterprises, we examined a multilevel moderated mediation model with firm-level and individual-level data. We found that perceived social mission promoted learning and innovative behavior by increasing value congruence, and that commitment-based HRM practices enhanced the overall process from mission to employee efforts for innovation. In Study 2, with 300 daily surveys from 60 employees participating in an experience sampling study, we found that those with high-value congruence showed a significantly more stable pattern with less variance in innovative behavior than in learning behavior. Our study adds novel implications to the underdeveloped literature on employee innovation and HRM in social enterprises by uncovering the positive effects of social mission and value facets for boosting learning and innovative behaviors. Our research also suggests that social enterprises should benefit from pursuing and emphasizing the social mission and commitment-based HRM bundle together, which will promote the prosperity and well-being of business and society.</t>
  </si>
  <si>
    <t>[Chang, Eunmi] Yonsei Univ, Sch Business, Seoul, South Korea; [Lee, Jeong Won] Kyonggi Univ, Dept Business Adm, Suwon, South Korea; [Chin, Hyun] Samsung Econ Res Inst, Human Resource &amp; Org Dev Dept, Seoul, South Korea</t>
  </si>
  <si>
    <t>Yonsei University; Kyonggi University; Samsung</t>
  </si>
  <si>
    <t>Lee, JW (corresponding author), Kyonggi Univ, Dept Business Adm, 154-42 Kwanggyosan Ro, Suwon 16227, Gyeonggi Do, South Korea.</t>
  </si>
  <si>
    <t>jwlee419@kgu.ac.kr</t>
  </si>
  <si>
    <t>Yonsei University Research Fund of 2021</t>
  </si>
  <si>
    <t>This research was supported by the Yonsei University Research Fund of 2021</t>
  </si>
  <si>
    <t>2694-6416</t>
  </si>
  <si>
    <t>2694-6424</t>
  </si>
  <si>
    <t>BUS ETHICS ENV RESP</t>
  </si>
  <si>
    <t>Bus. Ethics Environ. Responsib.</t>
  </si>
  <si>
    <t>10.1111/beer.12437</t>
  </si>
  <si>
    <t>2P0WK</t>
  </si>
  <si>
    <t>WOS:000783839800001</t>
  </si>
  <si>
    <t>Pian, QY; Zhang, L; Zhang, L; Li, CY</t>
  </si>
  <si>
    <t>Pian, Qianya; Zhang, Ling; Zhang, Long; Li, Chenyu</t>
  </si>
  <si>
    <t>The cultural drive of innovative behavior: cross-level impacts of Leader-Employee's Zhong-Yong orientation</t>
  </si>
  <si>
    <t>Zhong-yong orientation; innovative behaviour; social learning theory</t>
  </si>
  <si>
    <t>ORGANIZATIONAL CITIZENSHIP BEHAVIOR; PROCEDURAL JUSTICE PERCEPTIONS; TRICKLE-DOWN MODEL; SERVANT LEADERSHIP; MODERATING ROLE; ETHICAL LEADERSHIP; MEDIATING ROLE; TRANSFORMATIONAL LEADERSHIP; RESPONSIBLE LEADERSHIP; WORK ENGAGEMENT</t>
  </si>
  <si>
    <t>Despite numerous antecedents to innovative behaviours, how those behaviours occur and develop in indigenous Chinese contexts is mostly unknown. This study focuses on Zhong-Yong orientation, a significant Chinese cultural element that features 'moderation', the practice of which indicates solving problems in impartial, appropriate, and non-aggressive ways. Acting with moderation means to seek balance and to pursue properness. In addition, there is 'conformity', which indicates having a holistic view, focusing on harmony and balance, and being consistent with the environment. We use Bandura's social learning theory as an overarching framework to build a trickle-down model. In this model, leaders' Zhong-Yong orientation enhances members' innovative behaviours by promoting the members' own Zhong-Yong orientation. The relevant data come from 93 teams (i.e., 93 leaders and their 402 members) from six Chinese companies; cross-level analyses also provide support for our model. Theoretical and practical implications are discussed later in the study.</t>
  </si>
  <si>
    <t>[Pian, Qianya; Zhang, Ling; Zhang, Long; Li, Chenyu] Nanjing Univ Aeronaut &amp; Astronaut, Sch Econ &amp; Management, Nanjing 210016, Peoples R China</t>
  </si>
  <si>
    <t>Nanjing University of Aeronautics &amp; Astronautics</t>
  </si>
  <si>
    <t>Pian, QY (corresponding author), Nanjing Univ Aeronaut &amp; Astronaut, Sch Econ &amp; Management, Nanjing 210016, Peoples R China.</t>
  </si>
  <si>
    <t>Qianya0515@163.com</t>
  </si>
  <si>
    <t>Key Project of Philosophy and Social Science Research in Colleges and Universities in Jiangsu Province [2021SJZDA026]</t>
  </si>
  <si>
    <t>Key Project of Philosophy and Social Science Research in Colleges and Universities in Jiangsu Province</t>
  </si>
  <si>
    <t>This work was supported by the Key Project of Philosophy and Social Science Research in Colleges and Universities in Jiangsu Province [grant number 2021SJZDA026].</t>
  </si>
  <si>
    <t>10.1080/14479338.2022.2064470</t>
  </si>
  <si>
    <t>0O2YX</t>
  </si>
  <si>
    <t>WOS:000783397700001</t>
  </si>
  <si>
    <t>El Shoubaki, A; Laguir, I; Stekelorum, R; Hnilica, J</t>
  </si>
  <si>
    <t>El Shoubaki, Aliaa; Laguir, Issam; Stekelorum, Rebecca; Hnilica, Jiri</t>
  </si>
  <si>
    <t>CEO satisfaction and SME innovation: unveiling the role of family involvement</t>
  </si>
  <si>
    <t>APPLIED ECONOMICS</t>
  </si>
  <si>
    <t>SME innovation; CEO satisfaction; family involvement; family business; socioemotional wealth</t>
  </si>
  <si>
    <t>RESEARCH-AND-DEVELOPMENT; SOCIOEMOTIONAL WEALTH; FIRM PERFORMANCE; OWNERSHIP STRUCTURE; DEVELOPMENT INVESTMENTS; STRUCTURAL MODEL; MODERATING ROLE; PROSPECT-THEORY; FOUNDER FIRMS; ENTREPRENEURS</t>
  </si>
  <si>
    <t>Family involvement in SMEs can affect strategic decisions about innovation. The differences in the innovative behaviours between family and nonfamily SMEs are mostly attributed to socioemotional wealth, which emphasizes the noneconomic goals of family firms. The literature on how family involvement affects firm innovation remains inconclusive. In this study, we distinguish the different steps of innovation and use CEO satisfaction with business performance to show that greater family involvement is ultimately good for innovation performance. We examine how CEO satisfaction with business performance affects firm innovation and, in particular, how family involvement affects this relationship. Using a sample of 308 Czech SMEs and multiple mediation and moderated mediation analyses, we find that high levels of family involvement enhanced SMEs innovation performance by strengthening the influence of CEO satisfaction on product innovation.</t>
  </si>
  <si>
    <t>[El Shoubaki, Aliaa; Hnilica, Jiri] Univ Econ Prague, Prague, Czech Republic; [Laguir, Issam] Montpellier Business Sch, 2300 Av Moulins, F-34185 Montpellier, France; [Stekelorum, Rebecca] ICN Business Sch, Nancy, France</t>
  </si>
  <si>
    <t>Prague University of Economics &amp; Business; Montpellier Business School</t>
  </si>
  <si>
    <t>Laguir, I (corresponding author), Montpellier Business Sch, 2300 Av Moulins, F-34185 Montpellier, France.</t>
  </si>
  <si>
    <t>i.laguir@mbs-edu.fr</t>
  </si>
  <si>
    <t>Czech Science Foundation [GA17-10948S]</t>
  </si>
  <si>
    <t>Czech Science Foundation(Grant Agency of the Czech Republic)</t>
  </si>
  <si>
    <t>This work was supported by the Czech Science Foundation, project no. GA17-10948S Privately-held Firms with Multiple Owners: The Role of Family and Responsible Ownership.</t>
  </si>
  <si>
    <t>0003-6846</t>
  </si>
  <si>
    <t>1466-4283</t>
  </si>
  <si>
    <t>APPL ECON</t>
  </si>
  <si>
    <t>Appl. Econ.</t>
  </si>
  <si>
    <t>10.1080/00036846.2022.2059437</t>
  </si>
  <si>
    <t>5H1FT</t>
  </si>
  <si>
    <t>WOS:000779267600001</t>
  </si>
  <si>
    <t>Alt, D; Boniel-Nissim, M; Naamati-Schneider, L; Meirovich, A</t>
  </si>
  <si>
    <t>Alt, Dorit; Boniel-Nissim, Meyran; Naamati-Schneider, Lior; Meirovich, Adaya</t>
  </si>
  <si>
    <t>Precursors of Openness to Provide Online Counseling: The Role of Future Thinking, Creativity, and Innovative Behavior of Future Online Therapists</t>
  </si>
  <si>
    <t>creativity; future thinking; innovation; online counseling; higher education</t>
  </si>
  <si>
    <t>WORK BEHAVIOR; HEALTH-CARE; PERCEPTIONS; EFFICACY; COMMUNICATION; TECHNOLOGY; DEFINITION; ACCEPTANCE; SKILLS</t>
  </si>
  <si>
    <t>The outbreak of the COVID-19 pandemic has accelerated the need for online counseling to preserve therapeutic processes that have begun face to face and to provide service to others in need during lockdowns. Previous studies underscored the importance of providing updated training as counselors frequently hesitate to use technological advances in therapeutic sessions. This study aims at reducing such barriers by revealing personal characteristics of future professionals that might inhibit or encourage their openness toward providing online counseling. To this end, this study is focused on several precursors of openness to provide online counseling: preference to communicate emotions online, identification of emotional expressiveness advantages in providing online counseling, innovative behavior, creativity, and future problem-solving thinking skills. The question at focus is which constructs would be found contributive to students' openness to provide online counseling. The sample included 277 undergraduate students (future counselors) who filled out questionnaires. Data were analyzed using Partial Least Squares Structural Equation Modeling. Our findings pointed to the centrality of students' preference to communicate their emotions online in explaining their openness to conducting online counseling. This study might help pinpointing the adjustments curriculum designers should address to better reflect the intensive changes within the counseling field that necessitate transferring face-to-face skills to online settings.</t>
  </si>
  <si>
    <t>[Alt, Dorit; Boniel-Nissim, Meyran] Kinneret Coll, Fac Social Sci &amp; Humanities, Jordan Valley, Israel; [Alt, Dorit] Tel Hai Coll, Fac Educ &amp; Instruct, Upper Galilee, Israel; [Boniel-Nissim, Meyran] Max Stern Yezreel Valley Coll, Dept Educ, Yezreel Valley, Israel; [Naamati-Schneider, Lior; Meirovich, Adaya] Hadassah Acad Coll, Hlth Syst Management, Jerusalem, Israel</t>
  </si>
  <si>
    <t>Alt, D (corresponding author), Kinneret Coll, Fac Social Sci &amp; Humanities, Jordan Valley, Israel.;Alt, D (corresponding author), Tel Hai Coll, Fac Educ &amp; Instruct, Upper Galilee, Israel.</t>
  </si>
  <si>
    <t>altdor@m.telhai.ac.il</t>
  </si>
  <si>
    <t>Boniel-Nissim, Meyran/0000-0002-4634-4939</t>
  </si>
  <si>
    <t>10.3389/fpsyg.2022.848235</t>
  </si>
  <si>
    <t>0W5ZQ</t>
  </si>
  <si>
    <t>WOS:000789104800001</t>
  </si>
  <si>
    <t>Kanwal, S; Naveed, W; Afzal, F</t>
  </si>
  <si>
    <t>Kanwal, Sara; Naveed, Waliha; Afzal, Farman</t>
  </si>
  <si>
    <t>Joint Effect of In-Role Behavior and Task-Interdependence on Job Burnout Among Early Career Healthcare Professionals</t>
  </si>
  <si>
    <t>innovative behavior; in-role behavior; task interdependence; victimization; job burnout; PLS-SEM</t>
  </si>
  <si>
    <t>EMOTIONAL INTELLIGENCE; WORKPLACE VIOLENCE; NURSES; MODEL; SELF; VICTIMIZATION; ENVIRONMENT; AGGRESSION; PREDICTORS; RESOURCES</t>
  </si>
  <si>
    <t>Explicitly, young professionals are at risk of facing the rigorous dilemmas of job burnout through victimization due to poor job performance in a multifaceted environment. Therefore, the present study aims to identify the relationship between innovative behavior, the joint role of in-role behavior and task interdependence, victimization, and job burnout in healthcare organizations. However, a cross-sectional sample of 330 early career healthcare professionals from public and private hospitals operating in Pakistan is included in the analysis which provides evidence for the generalizability of the research findings. Partial least structure equation modeling is implemented to test the proposed model of job burnout. Consequently, study results show a significant level of job burnout through victimization, leading to distress mental health, innovativeness, and job performance of early careers. However, investigation of job burnout has disclosed severe consequences which give meaningful direction for healthcare managers, to strengthen creative capabilities and performance of early careers by implementing useful strategies to reduce job burnout and other factors linked to job burnout.</t>
  </si>
  <si>
    <t>[Kanwal, Sara; Naveed, Waliha; Afzal, Farman] Univ Engn &amp; Technol Lahore, Lahore, Pakistan</t>
  </si>
  <si>
    <t>University of Engineering &amp; Technology Lahore</t>
  </si>
  <si>
    <t>Afzal, F (corresponding author), Univ Engn &amp; Technol Lahore, Inst Business &amp; Management, Main GT Rd, Lahore 54890, Punjab, Pakistan.</t>
  </si>
  <si>
    <t>farmanafzal@gmail.com</t>
  </si>
  <si>
    <t>afzal, farman/P-8151-2019</t>
  </si>
  <si>
    <t>afzal, farman/0000-0001-8637-9741</t>
  </si>
  <si>
    <t>10.1177/21582440221091240</t>
  </si>
  <si>
    <t>0Z7IZ</t>
  </si>
  <si>
    <t>WOS:000791248800001</t>
  </si>
  <si>
    <t>Yang, Z; Lu, H; Bao, JX</t>
  </si>
  <si>
    <t>Yang, Zhi; Lu, Hui; Bao, Jiaxin</t>
  </si>
  <si>
    <t>Impacts of economic and social motivations on makers' exploitation and exploration activities in makerspaces</t>
  </si>
  <si>
    <t>Motivation; Exploitative innovation; Exploratory innovation; Maker; Makerspace</t>
  </si>
  <si>
    <t>OPEN-SOURCE SOFTWARE; SELF-DETERMINATION THEORY; PERSON-ENVIRONMENT FIT; INTRINSIC MOTIVATION; PERFORMANCE; CREATIVITY; INNOVATION; WORK; ORGANIZATIONS; DEVELOPERS</t>
  </si>
  <si>
    <t>Purpose Makerspaces, which serve as fertile grounds for makers' innovation activities, are rapidly increasing in emerging markets to help unleash a massive wave of bottom-up innovation and encourage broader participation in entrepreneurial activities. Makers' motivations to innovate are key antecedents of their subsequent innovative behavior. The paper aims to investigate the impact of makers' innovation motivations (both economic and social motivations) on their exploration and exploitation activities in makerspaces and the moderating role of the makerspace climate for innovation. Design/methodology/approach A survey was conducted for 139 individual makers from five makerspaces in China to test the research hypotheses. Findings Economic motivation positively affected the degree of exploitative innovation and was negatively related to the degree of exploratory innovation. In contrast, social motivation negatively affected the degree of exploitative innovation and was positively related to the degree of exploratory innovation. The makerspace climate for innovation strengthened the relationship between social motivation and exploratory innovation and exacerbated the negative effect of economic motivation on exploration. Practical implications The results offer managers a better understanding of how makers' motivation to participate in makerspaces affects their innovative behavior. Such information can guide makerspaces in designing their incentive policies and recruiting makers in line with their values to amplify makers' creative potential. Originality/value The empirical results reveal the impacts of economic and social motivations on makers' exploration and exploitation activities in makerspaces. They thus provide new insights into how different motivations give rise to different innovative behaviors and imply how makers' innovation activities can be managed effectively.</t>
  </si>
  <si>
    <t>[Yang, Zhi; Lu, Hui; Bao, Jiaxin] Hunan Univ, Business Sch, Changsha, Peoples R China; [Lu, Hui] Guilin Univ Technol, Business Sch, Guilin, Peoples R China</t>
  </si>
  <si>
    <t>Hunan University; Guilin University of Technology</t>
  </si>
  <si>
    <t>Bao, JX (corresponding author), Hunan Univ, Business Sch, Changsha, Peoples R China.</t>
  </si>
  <si>
    <t>baojiaxin0712@163.com</t>
  </si>
  <si>
    <t>Lu, Hui/0000-0001-5156-8761</t>
  </si>
  <si>
    <t>National Natural Science Foundation of China [71573079]; Hunan Provincial Innovation Foundation for Postgraduate [QL20210113]</t>
  </si>
  <si>
    <t>National Natural Science Foundation of China(National Natural Science Foundation of China (NSFC)); Hunan Provincial Innovation Foundation for Postgraduate</t>
  </si>
  <si>
    <t>This work was supported by the National Natural Science Foundation of China (71573079); and the Hunan Provincial Innovation Foundation for Postgraduate (QL20210113).</t>
  </si>
  <si>
    <t>10.1108/EJIM-08-2021-0387</t>
  </si>
  <si>
    <t>0D8PW</t>
  </si>
  <si>
    <t>WOS:000776251500001</t>
  </si>
  <si>
    <t>Wang, SY</t>
  </si>
  <si>
    <t>Wang, Siyuan</t>
  </si>
  <si>
    <t>The Curvilinear Relationship Between Dissatisfaction With the Status Quo and Innovative Behavior</t>
  </si>
  <si>
    <t>dissatisfaction with the status quo; innovative behavior; job security; conservation of resources theory; curvilinear relationship</t>
  </si>
  <si>
    <t>LEADER-MEMBER EXCHANGE; JOB SECURITY; EMPLOYEE CREATIVITY; PERFORMANCE; CONSERVATION; RESOURCES; SATISFACTION; PERCEPTIONS; WORKPLACE; DEMANDS</t>
  </si>
  <si>
    <t>To enhance the understanding the relationship between dissatisfaction with the status quo and innovation, this study proposed that dissatisfaction with the status quo has a curvilinear relationship with innovative behavior and job security moderates the association between these two variables. An investigation based on 214 employees from Chinese companies was conducted. The results indicated that dissatisfaction with the status quo has an inverted U-shaped relationship with idea dissemination and idea implementation, and job security moderates the inverted U-shaped relationship. Specifically, for individuals with a low job security, the curvilinear relationship is stronger, whereas for individuals with a high job security, the slope of the curve becomes nearly flat, thus losing the inverted-U effect. Theoretical and practical implications are discussed, and directions for future research are outlined.</t>
  </si>
  <si>
    <t>[Wang, Siyuan] Wuhan Univ, Econ &amp; Management Sch, Wuhan, Peoples R China</t>
  </si>
  <si>
    <t>Wang, SY (corresponding author), Wuhan Univ, Econ &amp; Management Sch, Wuhan, Peoples R China.</t>
  </si>
  <si>
    <t>hnty202010@163.com</t>
  </si>
  <si>
    <t>10.3389/fpsyg.2022.849586</t>
  </si>
  <si>
    <t>1V3FN</t>
  </si>
  <si>
    <t>WOS:000805980200001</t>
  </si>
  <si>
    <t>Bonetto, E; Pichot, N; Adam-Troian, J</t>
  </si>
  <si>
    <t>Bonetto, Eric; Pichot, Nicolas; Adam-Troian, Jais</t>
  </si>
  <si>
    <t>The Role of Cultural Values in National-Level Innovation: Evidence from 106 Countries</t>
  </si>
  <si>
    <t>CROSS-CULTURAL RESEARCH</t>
  </si>
  <si>
    <t>culture; cultural values; innovation</t>
  </si>
  <si>
    <t>CREATIVITY; INDIVIDUALISM; IMPACT</t>
  </si>
  <si>
    <t>Innovation constitutes a key factor for the economy and the competitiveness of societies. Using the Hofstede model of national culture, previous studies investigated the influence of different cultural dimensions on national-level innovation. These studies provided for mixed evidence regarding the influence and weight of each cultural dimension in innovation. By considering possible explanations for these inconsistent results, the present study (N = 106 countries) showed that only two cultural dimensions seem to be consistently associated with innovation. Cultures that view change as necessary (long-term oriented) and are more accepting of norm violations (displaying low uncertainty avoidance) tend to promote innovation. These results shed new light on the way cultural tightness and social regulation processes can affect innovative behaviors.</t>
  </si>
  <si>
    <t>[Bonetto, Eric] Aix Marseille Univ, LPS, 29 Ave Robert Schuman, F-13284 Aix En Provence, France; [Bonetto, Eric; Pichot, Nicolas] Aix Marseille Univ, PSYCLE Ctr Res Psychol Cognit Language &amp; Emot, Aix En Provence, France; [Bonetto, Eric] InCIAM Inst Creat &amp; Innovat Aix Marseille, 29 Ave Robert Schuman, F-13284 Aix En Provence, France; [Adam-Troian, Jais] Amer Univ Sharjah, Sharjah, U Arab Emirates</t>
  </si>
  <si>
    <t>UDICE-French Research Universities; Aix-Marseille Universite; UDICE-French Research Universities; Aix-Marseille Universite; American University of Sharjah</t>
  </si>
  <si>
    <t>Bonetto, E (corresponding author), Aix Marseille Univ, LPS, 29 Ave Robert Schuman, F-13284 Aix En Provence, France.;Bonetto, E (corresponding author), InCIAM Inst Creat &amp; Innovat Aix Marseille, 29 Ave Robert Schuman, F-13284 Aix En Provence, France.;Bonetto, E (corresponding author), Aix Marseille Univ, PSYCLE, 29 Ave Robert Schuman, F-13284 Aix En Provence, France.</t>
  </si>
  <si>
    <t>bonetto.ericbw@gmail.com</t>
  </si>
  <si>
    <t>Bonetto, Eric/0000-0002-0824-1103</t>
  </si>
  <si>
    <t>1069-3971</t>
  </si>
  <si>
    <t>1552-3578</t>
  </si>
  <si>
    <t>CROSS-CULT RES</t>
  </si>
  <si>
    <t>Cross-Cult. Res.</t>
  </si>
  <si>
    <t>10.1177/10693971221078087</t>
  </si>
  <si>
    <t>4I0HP</t>
  </si>
  <si>
    <t>WOS:000775789600001</t>
  </si>
  <si>
    <t>Escrig-Tena, AB; Segarra-Cipres, M; Garcia-Juan, B; Badoiu, GA</t>
  </si>
  <si>
    <t>Escrig-Tena, Ana B.; Segarra-Cipres, Mercedes; Garcia-Juan, Beatriz; Badoiu, Georgiana-Alexandra</t>
  </si>
  <si>
    <t>Examining the relationship between work conditions and entrepreneurial behavior of employees: does employee well-being matter?</t>
  </si>
  <si>
    <t>Emotional exhaustion; entrepreneurial behavior; job demands; job resources; work engagement</t>
  </si>
  <si>
    <t>COMMON METHOD VARIANCE; JOB DEMANDS; CORPORATE ENTREPRENEURSHIP; PROACTIVE BEHAVIOR; LEVEL INNOVATION; MEDIATING ROLE; RESOURCES; ORIENTATION; ENGAGEMENT; STRESS</t>
  </si>
  <si>
    <t>Do perceptions of work conditions prompt employees to adopt entrepreneurial behaviors? Does well-being play a role in this relationship? This paper proposes an integrated model of the associations between perceptions of work conditions (job resources and job demands) and the dimensions of entrepreneurial behaviors (innovative behavior, proactive behavior, and risk-taking behavior). Following the job demands-resources model, we also explore whether employees' well-being (work engagement and emotional exhaustion) mediates the association between work conditions and employees' behavior. Survey data of 257 R&amp;D employees from the chemical sector in Spain were analyzed. The research concludes that different work conditions correlate with the dimensions of entrepreneurial behavior of employees (EBE) in different ways. Job demands are associated with innovative work behavior. Feelings of engagement are related to the dimensions of EBE and play a mediating role between job resources and EBE. Moreover, feelings of exhaustion and risk-taking behavior are connected.</t>
  </si>
  <si>
    <t>[Escrig-Tena, Ana B.; Segarra-Cipres, Mercedes; Garcia-Juan, Beatriz; Badoiu, Georgiana-Alexandra] Univ Jaume 1, Dept Business Adm &amp; Mkt, Castellon de La Plana, Spain</t>
  </si>
  <si>
    <t>Escrig-Tena, AB (corresponding author), Univ Jaume 1, Dept Business Adm &amp; Mkt, Castellon de La Plana, Spain.</t>
  </si>
  <si>
    <t>escrigt@uji.es</t>
  </si>
  <si>
    <t>Escrig-Tena, Ana B./AAH-3050-2021; SEGARRA CIPRÉS, MERCEDES/L-8038-2014; Segarra-Ciprés, Mercedes/AAW-7063-2021; Garcia-Juan, Beatriz/B-4500-2017</t>
  </si>
  <si>
    <t>Escrig-Tena, Ana B./0000-0001-8471-2336; SEGARRA CIPRÉS, MERCEDES/0000-0003-1359-2159; Segarra-Ciprés, Mercedes/0000-0003-1359-2159; Badoiu, Georgiana-Alexandra/0000-0003-4458-5285; Garcia-Juan, Beatriz/0000-0002-8785-1101</t>
  </si>
  <si>
    <t>Ministerio de Ciencia e Innovacion of Spain; FEDER [PGC2018-099040-B-I00/MCIU/AEI/FEDER]; Universitat Jaume I [UJI-B2020-55]</t>
  </si>
  <si>
    <t>Ministerio de Ciencia e Innovacion of Spain(Ministry of Science and Innovation, Spain (MICINN)Spanish Government); FEDER(European Commission); Universitat Jaume I</t>
  </si>
  <si>
    <t>The authors are grateful for the support from the Ministerio de Ciencia e Innovacion of Spain and FEDER (PGC2018-099040-B-I00/MCIU/AEI/FEDER,UE) and the Universitat Jaume I (UJI-B2020-55).</t>
  </si>
  <si>
    <t>PII S1833367222000098</t>
  </si>
  <si>
    <t>10.1017/jmo.2022.9</t>
  </si>
  <si>
    <t>ZV3RD</t>
  </si>
  <si>
    <t>WOS:000770450800001</t>
  </si>
  <si>
    <t>Tao, CQ; Xu, Y; Peng, YZ; Li, H</t>
  </si>
  <si>
    <t>Tao, Changqi; Xu, Ye; Peng, YongZhang; Li, Hong</t>
  </si>
  <si>
    <t>Driving mechanism and spatial effect of technological potential energy agglomeration promoting the development of high-tech industry</t>
  </si>
  <si>
    <t>Technological potential energy; diversified agglomeration; specialised agglomeration; high-tech industry</t>
  </si>
  <si>
    <t>KNOWLEDGE; INNOVATION</t>
  </si>
  <si>
    <t>The current technological potential energy agglomeration situation and the driving mechanism for high-tech (HT) industry development can be clarified based on the front view of innovative behaviour. Thus, it can be defined using three dimensions: comprehensive innovation environment, innovation initiative and attraction of innovation factors. This study theoretically investigates the internal mechanism and spatial effect of technological potential energy agglomeration driving the development of the HT industry and establishes an empirical analysis using a general nested space model (GNS). China's regional technological potential energy agglomeration level increases over time, and a 'conduction' development pattern spreading from the northeast to the southwest is observed. The diversified agglomeration of technological potential energy can significantly transform the low- and medium-tech (LMT) industry to the HT industry at the 1% level, with a driving force of 0.5994. The driving force of the specialised agglomeration is 0.2538, less than the diversified agglomeration. The specialised agglomeration of technological potential energy hinders the development of HT industries in neighbouring areas, as core technologies are excusive with limited innovation resources. Therefore, all provinces should promote HT industries by cultivating platforms for technological potential energy agglomeration, encouraging technological innovation, strengthening foreign trade and promoting institutional innovation.</t>
  </si>
  <si>
    <t>[Tao, Changqi; Xu, Ye; Li, Hong] Jiangxi Univ Finance &amp; Econ, Sch Stat, Nanchang, Jiangxi, Peoples R China; [Peng, YongZhang] East China Univ Technol, Sch Econ &amp; Management, Nanchang, Jiangxi, Peoples R China</t>
  </si>
  <si>
    <t>Jiangxi University of Finance &amp; Economics; East China University of Technology</t>
  </si>
  <si>
    <t>Li, H (corresponding author), Jiangxi Univ Finance &amp; Econ, Sch Stat, Nanchang, Jiangxi, Peoples R China.</t>
  </si>
  <si>
    <t>875785719@qq.com</t>
  </si>
  <si>
    <t>Major Project of National Social Science Foundation of China [19ZDA121]; National Natural Science Foundation of China [71773041, 71973055]; Social Science Foundation of Jiangxi Province [19YJ15]; Science and Technology Research Project of the Education Department of Jiangxi Province [GJJ190248]</t>
  </si>
  <si>
    <t>Major Project of National Social Science Foundation of China; National Natural Science Foundation of China(National Natural Science Foundation of China (NSFC)); Social Science Foundation of Jiangxi Province; Science and Technology Research Project of the Education Department of Jiangxi Province</t>
  </si>
  <si>
    <t>This study was supported by the Major Project of National Social Science Foundation of China (19ZDA121), the National Natural Science Foundation of China (71773041, 71973055), the Social Science Foundation of Jiangxi Province (19YJ15), and the Science and Technology Research Project of the Education Department of Jiangxi Province (GJJ190248).</t>
  </si>
  <si>
    <t>DEC 31</t>
  </si>
  <si>
    <t>10.1080/1331677X.2022.2042709</t>
  </si>
  <si>
    <t>4U0NN</t>
  </si>
  <si>
    <t>WOS:000769852400001</t>
  </si>
  <si>
    <t>Li, ZW; Qiu, CY; Zeng, K; Wang, FR</t>
  </si>
  <si>
    <t>Li, Zhengwei; Qiu, Chenye; Zeng, Kai; Wang, Feirong</t>
  </si>
  <si>
    <t>Gain or loss: the double-edged effect of empowering leadership on employees' innovative behaviours</t>
  </si>
  <si>
    <t>Empowering leadership; Job demand-resource theory; Innovative behaviours; Trust in leaders</t>
  </si>
  <si>
    <t>JOB DEMANDS; PSYCHOLOGICAL EMPOWERMENT; EMOTIONAL EXHAUSTION; INTRINSIC MOTIVATION; PERSONAL RESOURCE; WORK ENGAGEMENT; CREATIVITY; PERFORMANCE; TRUST; BURNOUT</t>
  </si>
  <si>
    <t>Purpose Empowering leadership is often considered unequivocally positive for employees, but recent studies have shown that this ostensibly straightforward effect is more complex. The dual facets of the effect of empowering leadership - especially on employees' innovative behaviour - have received insufficient attention. Based on job demand-resource (JD-R) theory, this study aims to propose a theoretical framework for the relationship between empowering leadership and employees' innovative behaviours with a dual process model of gain and loss. Design/methodology/approach This study is survey based, with 261 paired leader-employee data points collected in the People's Republic of China. Findings The results show that empowering leadership has a double-edged effect on employees' innovative behaviours: it affects innovative behaviours positively through employee job engagement and negatively through emotional exhaustion. Moreover, trust in leaders moderates the mediating roles of job engagement and emotional exhaustion. Originality/value This study contends that empowering leadership has a dual impact on employees and proposes a promising model of this double-edged effect to contrast with other complex models in the empowering leadership literature. Furthermore, this study uses JD-R theory to deeply explore the dual process whereby empowering leadership influences employees' innovative behaviour and provides practical guidance for business management.</t>
  </si>
  <si>
    <t>[Li, Zhengwei; Qiu, Chenye; Zeng, Kai; Wang, Feirong] Zhejiang Univ Technol, Sch Management, Hangzhou, Peoples R China</t>
  </si>
  <si>
    <t>Zhejiang University of Technology</t>
  </si>
  <si>
    <t>Zeng, K (corresponding author), Zhejiang Univ Technol, Sch Management, Hangzhou, Peoples R China.</t>
  </si>
  <si>
    <t>lizhengwei@zjut.edu.cn; 2930397546@qq.com; zengkai@zjut.edu.cn; wangfr@zjut.edu.cn</t>
  </si>
  <si>
    <t>Key Project of Zhejiang Provincial Philosophy and Social Science Foundation of China [19NDJC023Z]; Zhejiang Provincial Natural Science Foundation of China [LY20G020017, LY22G010003]; Zhejiang Provincial Philosophy and Social Science Foundation of China [21NDQN211YB]; Zhejiang University of Technology Humanities and Social Sciences Pre-research Fund Project [SKY-ZX-20210197, SKY-ZX-20210198]</t>
  </si>
  <si>
    <t>Key Project of Zhejiang Provincial Philosophy and Social Science Foundation of China; Zhejiang Provincial Natural Science Foundation of China(Natural Science Foundation of Zhejiang Province); Zhejiang Provincial Philosophy and Social Science Foundation of China; Zhejiang University of Technology Humanities and Social Sciences Pre-research Fund Project</t>
  </si>
  <si>
    <t>This study was funded by the Key Project of Zhejiang Provincial Philosophy and Social Science Foundation of China (19NDJC023Z), Zhejiang Provincial Natural Science Foundation of China (LY20G020017; LY22G010003), Zhejiang Provincial Philosophy and Social Science Foundation of China (21NDQN211YB) and 2021 Zhejiang University of Technology Humanities and Social Sciences Pre-research Fund Project (SKY-ZX-20210197, SKY-ZX-20210198).</t>
  </si>
  <si>
    <t>10.1108/CMS-06-2021-0243</t>
  </si>
  <si>
    <t>8B4CK</t>
  </si>
  <si>
    <t>WOS:000759451600001</t>
  </si>
  <si>
    <t>Tugay, O; Pekersen, Y</t>
  </si>
  <si>
    <t>Tugay, Onur; Pekersen, Yeliz</t>
  </si>
  <si>
    <t>Impact to culinary chefs' individual innovativeness levels on service innovation performance</t>
  </si>
  <si>
    <t>INTERNATIONAL JOURNAL OF GASTRONOMY AND FOOD SCIENCE</t>
  </si>
  <si>
    <t>Individual innovativeness; Service innovation performance; Culinary chefs; Hotel businesses; Istanbul</t>
  </si>
  <si>
    <t>BUSINESS PERFORMANCE; HOSPITALITY INDUSTRY; MODERATING ROLE; BEHAVIOR; CREATIVITY; JOB; EMPLOYEES; CULTURE; WORK; SUCCESS</t>
  </si>
  <si>
    <t>Today, the development of new services due to globalization and competition has a direct impact on hotel businesses. Successful service innovations depend on service innovation performance. At this point, the most important factor affecting service innovation performance is the level of individual innovativeness of employees. The aim of the study is to discover the impact of individual levels of innovation on service innovation performances of culinary chefs working in five-star hotel establishments in Istanbul province. Accordingly, between 01.2020 and 04.2020, a survey has been carried out with easy sampling method for culinary chefs working in hotel businesses. As a result of the research; it has been revealed that resistance to change and openness to change from individual innovativeness components has a significant impact on employee collaboration, process and resource creation behavior, innovative service behavior of employees and new service development from the sub-dimensions of service innovation performance. In addition, risk-taking from individual innovativeness components has a significant impact on employee innovative service behavior and new service development. It is very important for culinary chefs to support their individual innovativeness and reflect their innovative behavior to the service offered, in order to improve the service innovation performance of hotel businesses.</t>
  </si>
  <si>
    <t>[Tugay, Onur; Pekersen, Yeliz] Necmettin Erbakan Univ, Gastron &amp; Culinary Arts Dept, POB 42090, Konya, Turkey</t>
  </si>
  <si>
    <t>Necmettin Erbakan University</t>
  </si>
  <si>
    <t>Pekersen, Y (corresponding author), Necmettin Erbakan Univ, Gastron &amp; Culinary Arts Dept, POB 42090, Konya, Turkey.</t>
  </si>
  <si>
    <t>yeliz.ulusan@gmail.com</t>
  </si>
  <si>
    <t>pekersen, yeliz/AAF-3818-2021</t>
  </si>
  <si>
    <t>pekersen, yeliz/0000-0003-4769-7717</t>
  </si>
  <si>
    <t>1878-450X</t>
  </si>
  <si>
    <t>1878-4518</t>
  </si>
  <si>
    <t>INT J GASTRON FOOD S</t>
  </si>
  <si>
    <t>Int. J. Gastron. Food Sci.</t>
  </si>
  <si>
    <t>10.1016/j.ijgfs.2022.100472</t>
  </si>
  <si>
    <t>ZP1WJ</t>
  </si>
  <si>
    <t>WOS:000766216400001</t>
  </si>
  <si>
    <t>Li, ZQ; Liang, L; Duan, CQ; Zhang, X; Lv, Z</t>
  </si>
  <si>
    <t>Li, Zhongqiu; Liang, Liang; Duan, Caiquan; Zhang, Xue; Lv, Zhuo</t>
  </si>
  <si>
    <t>Impact of Meritocratic Beliefs of Newcomers on Creativity: A Career Construction Perspective</t>
  </si>
  <si>
    <t>meritocratic beliefs; meaning of work; learning adaptability; employee creativity; career construction theory</t>
  </si>
  <si>
    <t>PROACTIVE PERSONALITY; EMPLOYEE CREATIVITY; INNOVATIVE BEHAVIOR; WORK-ENVIRONMENT; SELF-REGULATION; MODEL; LEADERSHIP; OUTCOMES; SUPPORT; LIFE</t>
  </si>
  <si>
    <t>Recent research suggests that meritocratic beliefs impact future-oriented activities. However, relatively little attention has been given to concomitant work outcomes, such as employee creativity. This study examines how the meritocratic beliefs of newcomers relate to employee creativity. We explore a serial mediation model where the meritocratic beliefs of newcomers heighten their meaning of work and learning adaptability, which increases employee creativity. We use questionnaires to survey 212 full-time employees from 10 manufacturing enterprises in China, who had joined their companies for less than a year. The results show that positive serial indirect effects of the meritocratic beliefs of newcomers on employee creativity via increased meaning of work and learning adaptability. Overall, the results provide new insight that may advance theoretical and practical implications on the pathways in which meritocratic beliefs may enhance employee creativity.</t>
  </si>
  <si>
    <t>[Li, Zhongqiu; Lv, Zhuo] Northeast Agr Univ, Coll Econ &amp; Management, Harbin, Peoples R China; [Liang, Liang] Harbin Inst Technol, Sch Management, Harbin, Peoples R China; [Duan, Caiquan] Northeast Agr Univ, Coll Engn, Harbin, Peoples R China; [Zhang, Xue] Shanghai Normal Univ, Coll Philosophy Law &amp; Polit Sci, 100 Guilin Rd, Shanghai 200233, Peoples R China</t>
  </si>
  <si>
    <t>Northeast Agricultural University - China; Harbin Institute of Technology; Northeast Agricultural University - China; Shanghai Normal University</t>
  </si>
  <si>
    <t>Zhang, X (corresponding author), Shanghai Normal Univ, Coll Philosophy Law &amp; Polit Sci, 100 Guilin Rd, Shanghai 200233, Peoples R China.</t>
  </si>
  <si>
    <t>xuezinihao@163.com</t>
  </si>
  <si>
    <t>National Natural Science Foundation of China [71372089]; Higher Education Teaching Reform Project in Heilongjiang Province [SJGY20200061]; Young Talents Project of Northeast Agricultural University [20QC27, 18QC59]</t>
  </si>
  <si>
    <t>National Natural Science Foundation of China(National Natural Science Foundation of China (NSFC)); Higher Education Teaching Reform Project in Heilongjiang Province; Young Talents Project of Northeast Agricultural University</t>
  </si>
  <si>
    <t>The author(s) disclosed receipt of the following financial support for the research, authorship, and/or publication of this article: This paper is supported by grants from the National Natural Science Foundation of China (Project Numbers: 71372089), Higher Education Teaching Reform Project in Heilongjiang Province (SJGY20200061) and Young Talents Project of Northeast Agricultural University (20QC27 and 18QC59).</t>
  </si>
  <si>
    <t>10.1177/00332941211064810</t>
  </si>
  <si>
    <t>YP9YE</t>
  </si>
  <si>
    <t>WOS:000748974800001</t>
  </si>
  <si>
    <t>Mustafa, MJ; Badri, SKZ; Ramos, HM</t>
  </si>
  <si>
    <t>Mustafa, Michael J.; Badri, Siti Khadijah Zainal; Ramos, Hazel Melanie</t>
  </si>
  <si>
    <t>Linking middle-managers' ownership feelings to their innovative work behaviour: the mediating role of affective organisational commitment</t>
  </si>
  <si>
    <t>Innovative behaviour; Malaysia; middle-managers; ownership; psychological ownership</t>
  </si>
  <si>
    <t>GROUP ENGAGEMENT MODEL; PSYCHOLOGICAL OWNERSHIP; SOCIAL IDENTITY; EMPLOYEE INNOVATION; SELF-CATEGORIZATION; JOB CHARACTERISTICS; PERSONALITY-TRAITS; PROCEDURAL JUSTICE; HR PRACTICES; LEADERSHIP</t>
  </si>
  <si>
    <t>Middle-managers' innovative behaviours are considered an essential determinant of firm-level innovativeness. While prior research has traditionally focused on the contextual determinants of middle-managers' innovative work behaviour (IWB), research regarding individual-level determinants continues to remain scant. Particularly lacking is research which explores how middle-managers' ownership feelings influence their IWB. This study investigates whether middle-managers' affective commitment mediates the relationship between their psychological ownership and their IWB. Data are collected from 110 middle-managers - supervisor dyads in a large Malaysian IT organisation. Findings from this study contribute to enhancing our understanding of the individual-level determinants of middle-managers' IWB.</t>
  </si>
  <si>
    <t>[Mustafa, Michael J.] Univ Nottingham Malaysia, Nottingham Univ Business Sch, Semenyih, Malaysia; [Badri, Siti Khadijah Zainal; Ramos, Hazel Melanie] Univ Nottingham Malaysia, Div Org &amp; Appl Psychol, Semenyih, Malaysia</t>
  </si>
  <si>
    <t>University of Nottingham Malaysia; University of Nottingham Malaysia</t>
  </si>
  <si>
    <t>Mustafa, MJ (corresponding author), Univ Nottingham Malaysia, Nottingham Univ Business Sch, Semenyih, Malaysia.</t>
  </si>
  <si>
    <t>Badri, Siti Khadijah Zainal/AAE-4081-2022</t>
  </si>
  <si>
    <t>mustafa, michael/0000-0003-3804-2532</t>
  </si>
  <si>
    <t>PII S1833367221000675</t>
  </si>
  <si>
    <t>10.1017/jmo.2021.67</t>
  </si>
  <si>
    <t>YD2KF</t>
  </si>
  <si>
    <t>WOS:000740205000001</t>
  </si>
  <si>
    <t>Wang, F; Zhang, ZH; Shi, WD</t>
  </si>
  <si>
    <t>Wang, Feng; Zhang, Zihui; Shi, Wendian</t>
  </si>
  <si>
    <t>The Relationship Between Job Autonomy and Work-Leisure Conflict: Based on the Person-Job Fit Perspective</t>
  </si>
  <si>
    <t>job autonomy; psychological detachment; work-leisure conflict; boundary flexibility willingness; person-job fit</t>
  </si>
  <si>
    <t>SERVICE INNOVATIVE BEHAVIOR; MEMBER EXCHANGE LMX; PSYCHOLOGICAL DETACHMENT; FAMILY CONFLICT; ENVIRONMENT FIT; MODERATING ROLE; BOUNDARY MANAGEMENT; LIFE SATISFACTION; BENEFIT SYSTEMS; SOCIAL SUPPORT</t>
  </si>
  <si>
    <t>Purpose: Some studies have shown that job autonomy can reduce individual work-leisure conflict (WLC). However, some individuals show that WLC is stronger in situations of greater job autonomy. In light of these inconsistent findings, this study explores the relationship between job autonomy and WLC as well as the mediating role of psychological detachment and the moderating role of boundary flexibility willingness based on the fit perspective of person-job. Methods: The daily diary research method was used to investigate 97 employees for five consecutive working days, and a multilevel model was established. Results: The results show that job autonomy is negatively related to WLC. Psychological detachment plays a mediating role in the relationship between job autonomy and WLC. Boundary flexibility willingness can significantly moderate not only the relationship between job autonomy and psychological detachment but also that between job autonomy and WLC. Conclusion: In light of the inconsistent results of past work, this study explored the relationship between job autonomy and WLC as well as the possible mediating and moderating mechanisms involved. Job autonomy, psychological detachment and WLC are characterized by daily changes occurring at the individual level. Job autonomy is negatively related to WLC, and psychological detachment plays a mediating role in the relationship between job autonomy and WLC. The fit of boundary flexibility willingness and job autonomy will cause a change in boundary permeability, which will lead to the relationship between job autonomy and WLC to varying degrees. The results of this study are helpful for understanding boundary theory and provide guidance for enterprise management.</t>
  </si>
  <si>
    <t>[Wang, Feng] Shanghai Normal Univ, Postdoctoral Res Stn Philosophy, Shanghai, Peoples R China; [Wang, Feng] Shanghai Normal Univ, Dept Human Resource Management, Shanghai, Peoples R China; [Zhang, Zihui] Shanghai Normal Univ, Dept Philosophy, Shanghai 200234, Peoples R China; [Shi, Wendian] Shanghai Normal Univ, Dept Psychol, Shanghai, Peoples R China</t>
  </si>
  <si>
    <t>Shanghai Normal University; Shanghai Normal University; Shanghai Normal University; Shanghai Normal University</t>
  </si>
  <si>
    <t>Zhang, ZH (corresponding author), Shanghai Normal Univ, Dept Philosophy, Shanghai 200234, Peoples R China.;Shi, WD (corresponding author), Shanghai Normal Univ, Dept Psychol, Shanghai, Peoples R China.</t>
  </si>
  <si>
    <t>zhangzihui@shnu.edu.cn; swd_nx@163.com</t>
  </si>
  <si>
    <t>Shi, Wendian/0000-0003-3605-0782</t>
  </si>
  <si>
    <t>10.2147/PRBM.S384632</t>
  </si>
  <si>
    <t>6L2LB</t>
  </si>
  <si>
    <t>WOS:000888018800001</t>
  </si>
  <si>
    <t>Ravelonarivo, M; Dolce, V; Puppo, C; Sarnin, P</t>
  </si>
  <si>
    <t>Ravelonarivo, Matthis; Dolce, Valentina; Puppo, Costanza; Sarnin, Philippe</t>
  </si>
  <si>
    <t>French Adaptation of the Job Crafting Scale: The Job Demands-Resources Perspective</t>
  </si>
  <si>
    <t>CANADIAN JOURNAL OF BEHAVIOURAL SCIENCE-REVUE CANADIENNE DES SCIENCES DU COMPORTEMENT</t>
  </si>
  <si>
    <t>scale adaptation; job crafting; job demands-resources theory; French validation; nomological network</t>
  </si>
  <si>
    <t>LEADER-MEMBER EXCHANGE; PSYCHOLOGICAL EMPOWERMENT; WORK ENGAGEMENT; PERFORMANCE; CONSERVATION; PERSONALITY; VALIDATION; BEHAVIOR; LMX</t>
  </si>
  <si>
    <t>Job crafting can be seen as a form of proactive behavior in an organizational context. It refers to behaviors that workers can implement to restore the balance between their job demands and the resources they use to cope with them. This study tests the psychometric properties of the French version of the Job crafting scale (JCS-F) originally developed by Tims et al. (2012). To this end, the original scale was translated from English into French and then back-translated by two bilingual translators. Confirmatory factor analysis was carried out to establish the instrument's factor structure. Correlation and regression analyses were subsequently conducted to verify the nomological reliability and validity of the instrument. The results indicate that the JCS-F has a four-factor structure consistent with the conceptualization of Tims et al. (2012). These results suggest that the JCS-F can be used to measure job crafting reliably and validly. In addition, most of the job crafting dimensions are significantly correlated with the following variables: psychological empowerment (PE), leader-member exchange, organizational innovative behaviors, proactive personality, and work engagement.</t>
  </si>
  <si>
    <t>[Ravelonarivo, Matthis; Dolce, Valentina; Puppo, Costanza; Sarnin, Philippe] Lyon 2 Univ, UMR 1296, Radiat Def, Hlth,Environm, 5 Ave Pierre Mendes France, F-69676 Bron, France</t>
  </si>
  <si>
    <t>Ravelonarivo, M (corresponding author), Lyon 2 Univ, UMR 1296, Radiat Def, Hlth,Environm, 5 Ave Pierre Mendes France, F-69676 Bron, France.</t>
  </si>
  <si>
    <t>matthis.ravelonarivo@univ-lyon2.fr</t>
  </si>
  <si>
    <t>RAVELONARIVO, Matthis/0000-0003-0418-6298</t>
  </si>
  <si>
    <t>CANADIAN PSYCHOLOGICAL  ASSOC</t>
  </si>
  <si>
    <t>OTTAWA</t>
  </si>
  <si>
    <t>141 LAURIER AVE WEST, STE 702, OTTAWA, ONTARIO K1P 5J3, CANADA</t>
  </si>
  <si>
    <t>0008-400X</t>
  </si>
  <si>
    <t>1879-2669</t>
  </si>
  <si>
    <t>CAN J BEHAV SCI</t>
  </si>
  <si>
    <t>Can. J. Behav. Sci.-Rev. Can. Sci. Comport.</t>
  </si>
  <si>
    <t>10.1037/cbs0000310</t>
  </si>
  <si>
    <t>9A5CH</t>
  </si>
  <si>
    <t>WOS:000735547700001</t>
  </si>
  <si>
    <t>Li, YH; Xiong, MH; Chang, WH; Li, L</t>
  </si>
  <si>
    <t>Li, Yunhe; Xiong, Minghua; Chang, Wei-Hsuan; Li, Ling</t>
  </si>
  <si>
    <t>How Internal Marketing Drives Employees' Internal Relationship Quality of Service Organizations Between Mainland China and Taiwan: The Moderating Roles of Internal Relationship Investment and Leader-Member Exchange</t>
  </si>
  <si>
    <t>cultural comparison; internal marketing; internal relationship investment; internal relationship quality; internal service recovery; LMX</t>
  </si>
  <si>
    <t>PSYCHOLOGICAL EMPOWERMENT; INNOVATIVE BEHAVIOR; JOB-SATISFACTION; COMMITMENT; RECOVERY; SUPPORT; INVOLVEMENT; PERFORMANCE; TRUST; CONCEPTUALIZATION</t>
  </si>
  <si>
    <t>Recently, issues of human resource management gradually attract a lot of attention from organizational behavior scholars, thus how to effectively improve service employees' job attitude and performance to meet the needs of stakeholders is one of the key issues in internal marketing. Based on the perspective of internal marketing, the study transforms the relevant factors applied to maintaining external customer relations into internal employee-oriented factors, so as to increase the understanding of the relationship between internal service recovery and internal relationship quality (IRQ). This study aims to explore (1) whether internal service recovery enhances IRQ; (2) whether internal relationship investment (IRI) positively moderates relationship between internal service recovery and IRQ; and (3) whether effectiveness of internal service recovery differentiates under different exchange relationship (high/low quality leader-member exchange). In this study, a total of 206 Mainland China and 250 Taiwanese participants were collected. In this study, a variance-based structural equation modeling (PLS-SEM) was performed to test the proposed hypothesizes and conduct comparative analysis. Empirical results in both samples show that internal service recovery has positive and significant effects on IRQ; internal relationship investment and leader-member exchange (LMX) positively and significantly moderate the relationship between internal service recovery and IRQ. Finally, based on the results, this study provides some discussions, suggestions and managerial implications for future studies in organizational management.</t>
  </si>
  <si>
    <t>[Li, Yunhe] Shangqiu Normal Univ, Coll Econ &amp; Management, Shangqiu, Peoples R China; [Xiong, Minghua] Foshan Univ, Sch Econ &amp; Management, Foshan, Peoples R China; [Chang, Wei-Hsuan] Nanfang Coll Guangzhou, Coll Attainment, Guangzhou, Peoples R China; [Li, Ling] Shangqiu Normal Univ, Res Ctr Econ &amp; Social Dev Henan East Prov Joint, Shangqiu, Peoples R China</t>
  </si>
  <si>
    <t>Shangqiu Normal University; Foshan University; Nanfang College, Guangzhou; Shangqiu Normal University</t>
  </si>
  <si>
    <t>Xiong, MH (corresponding author), Foshan Univ, Sch Econ &amp; Management, Foshan, Peoples R China.;Chang, WH (corresponding author), Nanfang Coll Guangzhou, Coll Attainment, Guangzhou, Peoples R China.</t>
  </si>
  <si>
    <t>xiongmh8@foxmail.com; philosophyandliuqin@hotmail.com</t>
  </si>
  <si>
    <t>Xiong, Minghua/0000-0002-1904-6207</t>
  </si>
  <si>
    <t>Program for Innovative Research Team (in Science and Technology) in Henan University [19IRTSTHN016]; Center for Innovation and Economic Transformation and Upgrading, Research Institute of Social Science in Guangdong, Foshan Guangdong</t>
  </si>
  <si>
    <t>Program for Innovative Research Team (in Science and Technology) in Henan University; Center for Innovation and Economic Transformation and Upgrading, Research Institute of Social Science in Guangdong, Foshan Guangdong</t>
  </si>
  <si>
    <t>Funding This study was supported by Program for Innovative Research Team (in Science and Technology) in Henan University (Grant No. 19IRTSTHN016). The Center for Innovation and Economic Transformation and Upgrading, Research Institute of Social Science in Guangdong, Foshan Guangdong.</t>
  </si>
  <si>
    <t>10.3389/fpsyg.2021.794492</t>
  </si>
  <si>
    <t>YA5WQ</t>
  </si>
  <si>
    <t>WOS:000738403500001</t>
  </si>
  <si>
    <t>Yu, MC; Li, MJ; Chen, M; Wang, LH</t>
  </si>
  <si>
    <t>Yu, Mingchuan; Li, Mengjuan; Chen, Mo; Wang, Lihong</t>
  </si>
  <si>
    <t>Does Creativity Relate to Innovation or Destruction? An Explanation from the Perspective of Novelty and Usefulness</t>
  </si>
  <si>
    <t>creativity; usefulness; novelty; behavioral outcomes</t>
  </si>
  <si>
    <t>ORGANIZATIONAL CITIZENSHIP BEHAVIOR; EMPLOYEE CREATIVITY; WORKPLACE CREATIVITY; MEDIATING ROLE; DUAL PATHWAY; MODEL; PERFORMANCE; LEADERSHIP; ORIENTATION; PERCEPTIONS</t>
  </si>
  <si>
    <t>Creativity plays a vital role in both organizational innovation and success. However, existing research on the outcomes of creativity is controversial. This study intends to explain the controversy of the current research regarding novelty and usefulness, which are two dimensions of creativity. Using a sample of 721 employees, we tested the effects of novelty and usefulness as separate dimensions on certain employee behaviors, namely innovative behavior (IB), organizational citizenship behavior (OCB), and deviant behavior (DB). The results show that usefulness plays a more significant role in deciding whether to engage in OCB and DB or not, and usefulness interacts with novelty to impact IB. We also discuss the theoretical and practical implications of this study as well as its limitations.</t>
  </si>
  <si>
    <t>[Yu, Mingchuan; Li, Mengjuan] Shanghai Normal Univ, Sch Finance &amp; Business, Shanghai, Peoples R China; [Yu, Mingchuan] Shanghai Jiao Tong Univ, Antai Coll Econ &amp; Management, Shanghai, Peoples R China; [Chen, Mo] Harbin Inst Technol, Sch Management, Harbin, Peoples R China; [Wang, Lihong] Shanghai Univ Int Business &amp; Econ, Sch Management, 1900th Wenxiang Rd, Shanghai 201620, Peoples R China</t>
  </si>
  <si>
    <t>Shanghai Normal University; Shanghai Jiao Tong University; Harbin Institute of Technology; Shanghai University of International Business &amp; Economics</t>
  </si>
  <si>
    <t>Wang, LH (corresponding author), Shanghai Univ Int Business &amp; Econ, Sch Management, 1900th Wenxiang Rd, Shanghai 201620, Peoples R China.</t>
  </si>
  <si>
    <t>wanglihong@suibe.edu.cn</t>
  </si>
  <si>
    <t>Yu, Mingchuan/0000-0001-7576-509X</t>
  </si>
  <si>
    <t>National Natural Science Foundation of China [71802134]; China Postdoctoral Science Foundation [2018M632124]; National Social Science Foundation [17ZDA057]</t>
  </si>
  <si>
    <t>National Natural Science Foundation of China(National Natural Science Foundation of China (NSFC)); China Postdoctoral Science Foundation(China Postdoctoral Science Foundation); National Social Science Foundation</t>
  </si>
  <si>
    <t>This study is supported by the National Natural Science Foundation of China (Grant 71802134) and China Postdoctoral Science Foundation (Grant 2018M632124) National Social Science Foundation (17ZDA057).</t>
  </si>
  <si>
    <t>10.1037/aca0000447</t>
  </si>
  <si>
    <t>XS7QI</t>
  </si>
  <si>
    <t>WOS:000733098100001</t>
  </si>
  <si>
    <t>Peng, RZ; Chen, JS; Wu, WP</t>
  </si>
  <si>
    <t>Peng, Renzhong; Chen, Jingshuang; Wu, Weiping</t>
  </si>
  <si>
    <t>Mapping Innovation Research in Organizations: A Bibliometric Analysis</t>
  </si>
  <si>
    <t>innovation; creativity; organizations; bibliometric analysis; CiteSpace</t>
  </si>
  <si>
    <t>TRANSFORMATIONAL LEADERSHIP; WORK ENGAGEMENT; KNOWLEDGE INTEGRATION; EMPLOYEE CREATIVITY; PERSPECTIVE-TAKING; GROUP DIVERSITY; EXPLORATION; PERFORMANCE; AMBIDEXTERITY; EXPLOITATION</t>
  </si>
  <si>
    <t>This essay conducts a bibliometric study on innovation research in organizations within the three levels (i.e., individual, work team, and organizational) by using CiteSpace software to analyze 6,354 academic articles from the year 2000 to 2020 in four aspects: temporal distribution of published papers, scientific community (countries/regions/cited authors), intellectual structure (cited journals/cited references), and research hotspots. The research findings show that the total number and the growth rate of publications at the organizational level are far higher than the other two levels (individual and work team). The top three countries with the number of publications are United States, China, and United Kingdom. The top five highly cited authors are identified and listed from individual, work team, and organizational levels. Academy of Management Journal and Academy of Management Review are the top two highly cited journals at all three levels (i.e., individual, work team, and organizational levels). The most highly cited articles at the three levels are about topics of linking empowering leadership and employee creativity, team-level predictors of innovation at work, and organizational ambidexterity. The top three research hotspots are identified and listed from individual, work team, and organizational levels. These findings provide snapshots and comparisons of innovation research in management within the three levels (i.e., individual, work team, and organizational levels), which might be beneficial for researchers and scholars to understand and explore innovative behavior in organizations from a multilevel perspective.</t>
  </si>
  <si>
    <t>[Peng, Renzhong; Chen, Jingshuang] Huazhong Univ Sci &amp; Technol, Sch Foreign Languages, Wuhan, Peoples R China; [Wu, Weiping] Wuhan Univ Technol, Sch Foreign Languages, Wuhan, Peoples R China</t>
  </si>
  <si>
    <t>Huazhong University of Science &amp; Technology; Wuhan University of Technology</t>
  </si>
  <si>
    <t>Wu, WP (corresponding author), Wuhan Univ Technol, Sch Foreign Languages, Wuhan, Peoples R China.</t>
  </si>
  <si>
    <t>wuweiping@whut.edu.cn</t>
  </si>
  <si>
    <t>National Social Science Fund of China [17BYY098]</t>
  </si>
  <si>
    <t>Funding This study was supported by the National Social Science Fund of China (Grant Number: 17BYY098).</t>
  </si>
  <si>
    <t>10.3389/fpsyg.2021.750960</t>
  </si>
  <si>
    <t>XQ6WM</t>
  </si>
  <si>
    <t>WOS:000731686700001</t>
  </si>
  <si>
    <t>Zhao, XM; Liu, YQ; Xie, Y; Fan, JC</t>
  </si>
  <si>
    <t>Zhao, Xiaomin; Liu, Yunqing; Xie, Yu; Fan, Jianchang</t>
  </si>
  <si>
    <t>Firm-level digital transformation affects individual-level innovative behavior: Evidence from manufacturing firms in China</t>
  </si>
  <si>
    <t>digital transformation; digital technology; minority dissent; innovative behavior; individual innovation; manufacturing firms</t>
  </si>
  <si>
    <t>TASK CONFLICT; DECISION-MAKING; DISSENT; ORGANIZATIONS; EMPOWERMENT; PERFORMANCE; ENVIRONMENT; COMMITMENT; GENERATION; MANAGEMENT</t>
  </si>
  <si>
    <t>Digital technologies significantly impact on manufacturing firms as they innovate their business processes in response to rapidly changing environments. Therefore, the proper use of digital technology to promote innovative behavior has become an important topic in research. However, few studies have examined how firm-level digital transformation affects individual-level innovative behavior. Drawing on the minority dissent perspective, we explored the mechanism by which digital transformation affects innovative behavior. Surveying 540 participants from Chinese manufacturing firms revealed that firm-level digital transformation was significantly correlated with both cross-functional minority dissent and individual-level innovative behavior. Moreover, minority dissent played a partial mediating role in the relationship between digital transformation and innovative behavior. This study sheds new light on how firm-level digital transformation can determine individual-level innovative behavior.</t>
  </si>
  <si>
    <t>[Zhao, Xiaomin; Liu, Yunqing] Univ Elect Sci &amp; Technol China, Sch Management &amp; Econ, Chengdu, Sichuan, Peoples R China; [Liu, Yunqing] Anhui Univ Finance &amp; Econ, Inst Finance &amp; Publ Management, 962 Caoshan Rd, Bengbu 233030, Anhui, Peoples R China; [Xie, Yu] Chongqing Technol &amp; Business Univ, Sch Management, Chongqing, Peoples R China; [Fan, Jianchang] Nanjing Univ Finance &amp; Econ, Sch Mkt &amp; Logist Management, Nanjing, Peoples R China</t>
  </si>
  <si>
    <t>University of Electronic Science &amp; Technology of China; Anhui University of Finance &amp; Economics; Chongqing Technology &amp; Business University; Nanjing University of Finance &amp; Economics</t>
  </si>
  <si>
    <t>Liu, YQ (corresponding author), Anhui Univ Finance &amp; Econ, Inst Finance &amp; Publ Management, 962 Caoshan Rd, Bengbu 233030, Anhui, Peoples R China.</t>
  </si>
  <si>
    <t>liuyunqing@aufe.edu.cn</t>
  </si>
  <si>
    <t>Fan, Jianchang/AHC-1021-2022</t>
  </si>
  <si>
    <t>Liu, Yunqing/0000-0003-2013-8747</t>
  </si>
  <si>
    <t>National Natural Science Foundation of China [71772027, 72002094]; Humanities and Social Science Fund of Ministry of Education of China [20YJC630020]; High-level Talents Research Foundation Project [950319146]</t>
  </si>
  <si>
    <t>National Natural Science Foundation of China(National Natural Science Foundation of China (NSFC)); Humanities and Social Science Fund of Ministry of Education of China(Ministry of Education, China); High-level Talents Research Foundation Project</t>
  </si>
  <si>
    <t>This work was funded by the National Natural Science Foundation of China (71772027, 72002094), and Humanities and Social Science Fund of Ministry of Education of China (20YJC630020), and the High-level Talents Research Foundation Project (No. 950319146).</t>
  </si>
  <si>
    <t>e10840</t>
  </si>
  <si>
    <t>10.2224/sbp.10840</t>
  </si>
  <si>
    <t>WU3HU</t>
  </si>
  <si>
    <t>WOS:000716440200010</t>
  </si>
  <si>
    <t>Tee, K; Li, XS</t>
  </si>
  <si>
    <t>Tee, Kienpin; Li, Xiaoshu</t>
  </si>
  <si>
    <t>Emiratization and Workforce Innovation in Banking Sector</t>
  </si>
  <si>
    <t>Nationalization; Emiratization; Innovation; United Arab Emirates; Commercial bank; Local labor</t>
  </si>
  <si>
    <t>JOB-SATISFACTION; MODEL; NORM</t>
  </si>
  <si>
    <t>This study examines the impact of nationalization in employment towards bank innovation and individual innovative behavior. Using sample from United Arab Emirates, this paper studies the impact of Emiratization on innovation motivation of Emirati employees and compare the innovation degree between Emirati employees and expats. We conduct the investigations from two aspects. First, we survey the innovative behavior at the individual level through sets of questionnaires conducted on selected company managers. The questionnaires are projected to access the interviewees' opinions about the idea generation, idea promotion, and idea implementation among their subordinates. Second, using sample of 13 commercial banks in the UAE, we construct firm-level innovation index on firm samples. The innovation index is proxied by the technology gap ratio which is estimated using stochastic frontier analysis. Our findings indicate a positive effect of Emiratization on firm innovation. From the individual perspective, a work team with more national employees tends to have positive impact on idea generation and idea implementation but have negative impact on idea promotion.</t>
  </si>
  <si>
    <t>[Tee, Kienpin; Li, Xiaoshu] Zayed Univ, Abu Dhabi Campus, Abu Dhabi, U Arab Emirates</t>
  </si>
  <si>
    <t>Tee, K (corresponding author), Zayed Univ, Abu Dhabi Campus, Abu Dhabi, U Arab Emirates.</t>
  </si>
  <si>
    <t>Kienpin.Tee@zu.ac.ae; Xiaoshu.Li@zu.ac.ae</t>
  </si>
  <si>
    <t>Tee, Kienpin/0000-0002-4233-0767</t>
  </si>
  <si>
    <t>10.1007/s13132-021-00830-w</t>
  </si>
  <si>
    <t>6W4YT</t>
  </si>
  <si>
    <t>WOS:000712490900001</t>
  </si>
  <si>
    <t>Liu, HM; Long, JC</t>
  </si>
  <si>
    <t>Liu, Haiman; Long, Jiancheng</t>
  </si>
  <si>
    <t>The Influence Mechanism of Supervisor Developmental Feedback on the Enactment of Employees' Creative Ideas: A Moderated Chain Mediation Model Based on Psychological Empowerment</t>
  </si>
  <si>
    <t>supervisor developmental feedback; positive emotions; work engagement; psychological empowerment; enactment of employees' creative ideas</t>
  </si>
  <si>
    <t>WORK ENGAGEMENT; INNOVATIVE BEHAVIOR; POSITIVE EMOTIONS; JOINT CONTRIBUTIONS; SELF-EFFICACY; PERSONALITY; METAANALYSIS; PERSPECTIVE; PERFORMANCE; LEADERSHIP</t>
  </si>
  <si>
    <t>Employees' creative idea enactment is critical for organizational creativity assessment and innovation implementation. In the paper, we want to develop and verify a moderated chain mediation model to explore the impact of supervisor developmental feedback on the enactment of employees' creative ideas, and to investigate the moderating role of psychological empowerment further. Hierarchical regression analyses of the multi-time data from 375 employees in China indicate that positive emotions and work engagement, respectively mediate the relationship between supervisor developmental feedback and employees' creative idea enactment. Simultaneously, positive emotions and work engagement form chain mediation between supervisor developmental feedback and creative idea enactment. Besides, we find that psychological empowerment negatively moderates the relationship between supervisor developmental feedback and employees' positive emotions, as well as moderates the chain mediating effect of this paper. The present study not only contributes to the literature on feedback and innovation, but also provides practical guidance on how to seek remedies to facilitate employees' creative idea enactment from the perspective of human resource management.</t>
  </si>
  <si>
    <t>[Liu, Haiman; Long, Jiancheng] Xidian Univ, Sch Econ &amp; Management, Xian, Peoples R China</t>
  </si>
  <si>
    <t>Xidian University</t>
  </si>
  <si>
    <t>Liu, HM (corresponding author), Xidian Univ, Sch Econ &amp; Management, Xian, Peoples R China.</t>
  </si>
  <si>
    <t>3055064443@qq.com</t>
  </si>
  <si>
    <t>Liu, haiman/0000-0002-5610-7574</t>
  </si>
  <si>
    <t>research on the Countermeasures of Innovation and Entrepreneurship Education for College Students in Shaanxi [2016ZD06]</t>
  </si>
  <si>
    <t>research on the Countermeasures of Innovation and Entrepreneurship Education for College Students in Shaanxi</t>
  </si>
  <si>
    <t>This work was supported by the research on the Countermeasures of Innovation and Entrepreneurship Education for College Students in Shaanxi (2016ZD06).</t>
  </si>
  <si>
    <t>10.3389/fpsyg.2021.696034</t>
  </si>
  <si>
    <t>WU6EL</t>
  </si>
  <si>
    <t>WOS:000716636600001</t>
  </si>
  <si>
    <t>Sebastian-Enesco, C; Amezcua-Valmala, N; Colmenares, F; Mendes, N; Call, J</t>
  </si>
  <si>
    <t>Sebastian-Enesco, Carla; Amezcua-Valmala, Nerea; Colmenares, Fernando; Mendes, Natacha; Call, Josep</t>
  </si>
  <si>
    <t>Raising the level: orangutans solve the floating peanut task without visual feedback</t>
  </si>
  <si>
    <t>PRIMATES</t>
  </si>
  <si>
    <t>Floating peanut task; Innovation; Insight; Visual feedback; Tool use; Orangutans</t>
  </si>
  <si>
    <t>INNOVATION</t>
  </si>
  <si>
    <t>Chimpanzees and orangutans are able to generate innovative behaviors to solve complicated physical problems. For example, when presented with an out-of-reach peanut at the bottom of a vertical tube (floating peanut task-FPT), some of them spontaneously spit water into the tube until the peanut floats to the top. Yet, it is unclear whether this innovative solution results from repeating those actions that bring the peanut incrementally closer to the top or from anticipating the solution before acting. In the current study, we addressed this question by presenting three naive orangutans with an opaque version of the FPT that prevented them from obtaining visual information about the effect of their actions on the position of the peanut. One of the subjects solved the opaque FPT in the very first trial: he collected water from the faucet and poured it into the opaque tube repeatedly until the hitherto non-visible peanut reached the top. This provides evidence for the first time that orangutans can potentially solve the FPT without relying on sensorimotor learning, but to some extent by mentally representing the problem.</t>
  </si>
  <si>
    <t>[Sebastian-Enesco, Carla; Amezcua-Valmala, Nerea; Colmenares, Fernando] Univ Complutense Madrid, Grp UCM Psicobiol Social Evolut &amp; Comparada, Madrid, Spain; [Sebastian-Enesco, Carla] Univ Complutense Madrid, Fac Psicol, Dept Invest &amp; Psicol Educ, Madrid, Spain; [Amezcua-Valmala, Nerea] Univ Europea Madrid, Dept Psicol, Fac Ciencias Biomed &amp; Salud, Madrid, Spain; [Colmenares, Fernando] Univ Complutense Madrid, Fac Psicol, Dept Psicobiol &amp; Metodol Ciencias Comportamiento, Madrid, Spain; [Mendes, Natacha] Max Planck Inst Human Cognit &amp; Brain Sci, Max Planck Sch Cognit, Leipzig, Germany; [Call, Josep] Univ St Andrews, Sch Psychol &amp; Neurosci, St Andrews, Fife, Scotland</t>
  </si>
  <si>
    <t>Complutense University of Madrid; Complutense University of Madrid; European University of Madrid; Complutense University of Madrid; Max Planck Society; RLUK- Research Libraries UK; University of St Andrews</t>
  </si>
  <si>
    <t>Sebastian-Enesco, C (corresponding author), Univ Complutense Madrid, Grp UCM Psicobiol Social Evolut &amp; Comparada, Madrid, Spain.;Sebastian-Enesco, C (corresponding author), Univ Complutense Madrid, Fac Psicol, Dept Invest &amp; Psicol Educ, Madrid, Spain.</t>
  </si>
  <si>
    <t>carla.sebastian@gmail.com</t>
  </si>
  <si>
    <t>Sebastián-Enesco, Carla/AAO-8545-2020</t>
  </si>
  <si>
    <t>Sebastián-Enesco, Carla/0000-0001-7340-0038; Amezcua Valmala, Nerea/0000-0002-3511-2796; Colmenares, Fernando/0000-0003-0089-318X; Call Balaguer, Josep/0000-0002-8597-8336</t>
  </si>
  <si>
    <t>CRUE-CSIC agreement; Springer Nature</t>
  </si>
  <si>
    <t>Open Access funding provided thanks to the CRUE-CSIC agreement with Springer Nature.</t>
  </si>
  <si>
    <t>SPRINGER JAPAN KK</t>
  </si>
  <si>
    <t>SHIROYAMA TRUST TOWER 5F, 4-3-1 TORANOMON, MINATO-KU, TOKYO, 105-6005, JAPAN</t>
  </si>
  <si>
    <t>0032-8332</t>
  </si>
  <si>
    <t>1610-7365</t>
  </si>
  <si>
    <t>Primates</t>
  </si>
  <si>
    <t>10.1007/s10329-021-00952-4</t>
  </si>
  <si>
    <t>YP0KK</t>
  </si>
  <si>
    <t>hybrid, Green Published, Green Accepted</t>
  </si>
  <si>
    <t>WOS:000707681800001</t>
  </si>
  <si>
    <t>Rodrigues, RS; Garcia-Mijares, M</t>
  </si>
  <si>
    <t>Rodrigues, Rafael Silva; Garcia-Mijares, Miriam</t>
  </si>
  <si>
    <t>To Fail or Not to Fail? Implications of Extinction on Creativity and Problem-Solving Behavior</t>
  </si>
  <si>
    <t>PSYCHOLOGICAL RECORD</t>
  </si>
  <si>
    <t>extinction; creativity; problem solving; humans; innovation; Portal 2 (R)</t>
  </si>
  <si>
    <t>SPONTANEOUS INTERCONNECTION; INSIGHT; VARIABILITY; EXPERIENCE; ANIMALS; PIGEON; BLIND</t>
  </si>
  <si>
    <t>According to Epstein (1985), extinction is one of the main processes for creative problem solving. To test this assertion, we present an experiment in which we manipulated extinction in a problem situation using the computer game Portal 2 (R). Three groups of participants were exposed to the same problem (i.e., get out of a chamber) under two different conditions. Two groups of participants learned the prerequisite behavior to solve the problem (NOEXT and EXT), but one group did not receive this training (BL). Under one condition, the problem could be solved in two ways: either by emitting a new flexible behavior (innovative) or by doing all of the previously learned behaviors (not innovative). Under the second condition, the problem had to be solved by emitting the innovative behavior, and the learned behaviors were under operational extinction. NOEXT was exposed to the first condition and EXT and LB groups to the second. Results showed that all participants from EXT and NOEXT, but fewer than half of LB groups, solved the problem, corroborating previous data that showed that creative problem solving is a function of previous learning. All but two participants from the NOEXT group solved the problem by emitting the learned behaviors; thus, extinction increased the likelihood of emitting new and flexible problem-solving behaviors. The results also showed that the EXT group spent more time solving the problem, emitted a higher frequency of behaviors other than E1, and interacted more often with objects than the NOEXT group. Therefore, even if the problem-solving behavior of EXT and NOEXT groups was equally effective for obtaining the solution, it was not equally efficient. We discuss that the constraints (i.e., extinction vs. no extinction) of each problem imposed different learning conditions during problem solving. New learning was necessary to produce the new and flexible problem solving of the EXT group, and this process demands more time and effort than solving the problem by just performing what was learned in the past, as the NOEXT group did. Finally, results also suggested a modulatory effect of gaming experience of the effects of experimental training on creative problem solving, because the participants from LB who solved the problem were those with more experience with different types of games.</t>
  </si>
  <si>
    <t>[Rodrigues, Rafael Silva; Garcia-Mijares, Miriam] Univ Sao Paulo, Inst Psychol, Ave Prof Mello de Moraes 1721, Sao Paulo, Brazil; [Rodrigues, Rafael Silva] Inst Psicol, Programa Posgrad Psicol Expt, Bloco A,Sala A-6, BR-05508030 Sao Paulo, Brazil; [Rodrigues, Rafael Silva] Univ Sao Paulo, Inst Psychol, Dept Expt Psychol, Sao Paulo, Brazil</t>
  </si>
  <si>
    <t>Universidade de Sao Paulo; Universidade de Sao Paulo</t>
  </si>
  <si>
    <t>Rodrigues, RS (corresponding author), Univ Sao Paulo, Inst Psychol, Ave Prof Mello de Moraes 1721, Sao Paulo, Brazil.;Rodrigues, RS (corresponding author), Inst Psicol, Programa Posgrad Psicol Expt, Bloco A,Sala A-6, BR-05508030 Sao Paulo, Brazil.;Rodrigues, RS (corresponding author), Univ Sao Paulo, Inst Psychol, Dept Expt Psychol, Sao Paulo, Brazil.</t>
  </si>
  <si>
    <t>rodrigues.r9@hotmail.com</t>
  </si>
  <si>
    <t>Rodrigues, Rafael/0000-0001-6273-864X</t>
  </si>
  <si>
    <t>FAPESP (Fundacao de Amparo a Pesquisa do Estado de Sao Paulo) [2018/04824-1, 2019/27401-1]</t>
  </si>
  <si>
    <t>FAPESP (Fundacao de Amparo a Pesquisa do Estado de Sao Paulo)(Fundacao de Amparo a Pesquisa do Estado de Sao Paulo (FAPESP))</t>
  </si>
  <si>
    <t>This study was funded by FAPESP (Fundacao de Amparo a Pesquisa do Estado de Sao Paulo)-Grants 2018/04824-1 and 2019/27401-1.</t>
  </si>
  <si>
    <t>0033-2933</t>
  </si>
  <si>
    <t>2163-3452</t>
  </si>
  <si>
    <t>PSYCHOL REC</t>
  </si>
  <si>
    <t>Psychol. Rec.</t>
  </si>
  <si>
    <t>10.1007/s40732-021-00482-x</t>
  </si>
  <si>
    <t>YK7XX</t>
  </si>
  <si>
    <t>WOS:000703366800001</t>
  </si>
  <si>
    <t>Lan, YY; Xia, YH; Yang, L</t>
  </si>
  <si>
    <t>Lan, Yuanyuan; Xia, Yuhuan; Yang, Lin</t>
  </si>
  <si>
    <t>Effects of servant leadership on the leader's innovative behavior</t>
  </si>
  <si>
    <t>servant leadership behavior; sense of accomplishment; innovative behavior; extraversion; leader innovation; leader-follower relationship</t>
  </si>
  <si>
    <t>SELF-DETERMINATION THEORY; POSITIVE EMOTIONS; IMPACT; MODEL; IDENTIFICATION; ANTECEDENTS; PERFORMANCE; MOTIVATION; FOLLOWERS; CLIMATE</t>
  </si>
  <si>
    <t>Servant leadership has become an increasingly popular construct in organizational behavior research because of its effectiveness in organizations. Using self-determination theory and broaden-and-build theory, we proposed a moderated mediation framework in which the leader's sense of accomplishment would mediate the relationship between servant leadership behaviors and the leader's innovative behavior. The leader's extraversion was used as the boundary condition of the relationship. Participants comprised 232 leaders and their immediate supervisors, working in firms based in northern China. Results show that servant leadership behaviors indirectly influenced leaders' innovative behavior via their sense of accomplishment. In addition, leaders' extraversion strengthened the impact of sense of accomplishment on their innovative behavior, as well as the indirect effect of servant leadership behaviors on their innovative behavior. Theoretical and practical implications are discussed.</t>
  </si>
  <si>
    <t>[Lan, Yuanyuan; Xia, Yuhuan] Beijing Jiaotong Univ, Sch Econ &amp; Management, Beijing, Peoples R China; [Yang, Lin] Sangmyung Univ, Sch Mus, Seoul, South Korea</t>
  </si>
  <si>
    <t>Beijing Jiaotong University; Sangmyung University</t>
  </si>
  <si>
    <t>Xia, YH (corresponding author), Beijing Jiaotong Univ, Sch Econ &amp; Management, Beijing, Peoples R China.</t>
  </si>
  <si>
    <t>16113159@bjtu.edu.cn</t>
  </si>
  <si>
    <t>e10782</t>
  </si>
  <si>
    <t>10.2224/sbp.10782</t>
  </si>
  <si>
    <t>WG5FS</t>
  </si>
  <si>
    <t>WOS:000707021000013</t>
  </si>
  <si>
    <t>Ni, D; Liu, X; Zheng, XM</t>
  </si>
  <si>
    <t>Ni, Dan; Liu, Xin; Zheng, Xiaoming</t>
  </si>
  <si>
    <t>How and when does service performance improve positive emotions? an employee-customer social exchange perspective</t>
  </si>
  <si>
    <t>Employee service performance; employee positive emotions; positive customer treatment; job autonomy; attribution</t>
  </si>
  <si>
    <t>LEADER-MEMBER EXCHANGE; WORK ENGAGEMENT; MODERATING ROLE; INNOVATIVE BEHAVIOR; JOB DEMANDS; ORGANIZATION; SATISFACTION; COMMITMENT; MULTILEVEL; WORKPLACE</t>
  </si>
  <si>
    <t>Service performance is a key consideration in both the service industry and other industries. However, the consequences of employee service performance for the actors themselves remain largely unexplored. To shed light on this issue, we draw on social exchange theory to address how and when employee service performance increases employee positive emotions. We propose that employee service performance is positively related to positive customer treatment, which is consequently positively related to employee positive emotions. Furthermore, we argue that higher job autonomy enhances the effect of employee service performance on positive customer treatment via facilitating customer internal attribution. To test our theoretical model, we collected daily survey data from 104 employees of a commercial bank located in northern China (Study 1) and dyadic survey data from 306 employee-customer dyads in a high-tech service company in southern China (Study 2). These two studies together supported our hypotheses. Theoretical contributions and practical implications are discussed.</t>
  </si>
  <si>
    <t>[Ni, Dan] Sun Yat Sen Univ, Sch Business, Guangzhou, Guangdong, Peoples R China; [Liu, Xin] Renmin Univ China, Renmin Business Sch, Dept Org &amp; Human Resources, Beijing, Peoples R China; [Zheng, Xiaoming] Tsinghua Univ, Sch Econ &amp; Management, Dept Leadership &amp; Org Management, Beijing, Peoples R China</t>
  </si>
  <si>
    <t>Sun Yat Sen University; Renmin University of China; Tsinghua University</t>
  </si>
  <si>
    <t>Liu, X (corresponding author), Renmin Univ China, Renmin Business Sch, Dept Org &amp; Human Resources, Beijing, Peoples R China.</t>
  </si>
  <si>
    <t>liuxin@rmbs.ruc.edu.cn</t>
  </si>
  <si>
    <t>Ni, Dan/0000-0002-5161-4454</t>
  </si>
  <si>
    <t>National Natural Science Foundation of China [71771133, 72172074, 72002214]; fund for building world-class universities (disciplines) of Renmin University of China [KYGJD2021003]</t>
  </si>
  <si>
    <t>National Natural Science Foundation of China(National Natural Science Foundation of China (NSFC)); fund for building world-class universities (disciplines) of Renmin University of China</t>
  </si>
  <si>
    <t>This research was supported by the National Natural Science Foundation of China, specifically by Grant 71771133 and Grant 72172074 awarded to Xiaoming Zheng and by Grant 72002214 awarded to Xin Liu, and by the fund for building world-class universities (disciplines) of Renmin University of China (Project No. KYGJD2021003) awarded to Xin Liu.</t>
  </si>
  <si>
    <t>10.1080/1359432X.2021.1981292</t>
  </si>
  <si>
    <t>2C4JD</t>
  </si>
  <si>
    <t>WOS:000698276400001</t>
  </si>
  <si>
    <t>Zhang, GN; Wang, YM</t>
  </si>
  <si>
    <t>Zhang, Guangning; Wang, Yingmei</t>
  </si>
  <si>
    <t>Organizational identification and employees' innovative behavior: the mediating role of work engagement and the moderating role of creative self-efficacy</t>
  </si>
  <si>
    <t>Organizational identification; Employees' innovative behaviors; Work engagement; Creative self-efficacy</t>
  </si>
  <si>
    <t>PUBLIC-SERVICE MOTIVATION; LEADER-MEMBER EXCHANGE; TRANSFORMATIONAL LEADERSHIP; PERFORMANCE; ANTECEDENTS; SUPPORT; COMMITMENT; ATTACHMENT; CLIMATE; SCALES</t>
  </si>
  <si>
    <t>Purpose This study aims to investigate the effect of organizational identification to employees' innovative behavior, the mediating role of work engagement and the moderating role of creative self-efficacy in the relationship between organizational identification and employees' innovative behavior. Design/methodology/approach This study adopted questionnaires to gather data. The sample of 289 employees working in diverse organizations in China was applied to examine the hypotheses. Findings The results indicates that organizational identification is positively related to employees' innovative behavior and work engagement mediates the relationship between organizational identification and employees' innovative behavior. In addition, creative self-efficacy enhances the relationship of work engagement and employees' innovative behavior. Originality/value This study builds a system from psychological aspect to behavior, which includes the effect of individual cognition to explain the mechanism of organizational identification on employees' innovative behavior.</t>
  </si>
  <si>
    <t>[Zhang, Guangning; Wang, Yingmei] Liaoning Univ, Sch Business, Shenyang, Peoples R China</t>
  </si>
  <si>
    <t>Wang, YM (corresponding author), Liaoning Univ, Sch Business, Shenyang, Peoples R China.</t>
  </si>
  <si>
    <t>15567992110@163.com</t>
  </si>
  <si>
    <t>NOV 25</t>
  </si>
  <si>
    <t>10.1108/CMS-07-2021-0294</t>
  </si>
  <si>
    <t>6P1VN</t>
  </si>
  <si>
    <t>WOS:000693432400001</t>
  </si>
  <si>
    <t>Datta, S; Budhwar, P; Agarwal, UA; Bhargava, S</t>
  </si>
  <si>
    <t>Datta, Sumita; Budhwar, Pawan; Agarwal, Upasna A.; Bhargava, Shivganesh</t>
  </si>
  <si>
    <t>Impact of HRM practices on innovative behaviour: mediating role of talent development climate in Indian firms</t>
  </si>
  <si>
    <t>Talent development climate; human resource practices; innovative work behaviour; India</t>
  </si>
  <si>
    <t>HUMAN-RESOURCE MANAGEMENT; ABSORPTIVE-CAPACITY; KNOWLEDGE MANAGEMENT; PERFORMANCE; STRATEGY; PERCEPTIONS; CREATIVITY; CONSTRUCT</t>
  </si>
  <si>
    <t>The impact of human resource management (HRM) practices on talent development and innovative work behaviour (IWB) has attracted considerable research attention in recent times, with the advent of knowledge economies. Drawing from the resource-based view of the firm, the aim of this research is to explore themes associated with talent development climate (TDC) and to test its role in promoting innovative work behaviour amongst managerial employees. The results of this research are based on three studies. Study 1 was qualitative that used an inductive approach, to explore the dimensions of TDC. Based on the themes that emerged from the qualitative study, we conducted studies 2 and 3 using quantitative methods on managers (N = 307 in first phase and N = 403 in second phase), drawn from 11 large global and Indian MNCs operating in India. The findings indicate two dimensions of TDC and highlight the mediating role of TDC in the relationship between HRM practices and IWB. The study contributes to the growing field of talent management with evidence from an emerging market economy - India. It provides a compelling argument for extending the scope of HRM practices and supervisory support in creating a talent development climate to achieve greater success in fostering innovation in organizations.</t>
  </si>
  <si>
    <t>[Datta, Sumita] SPJIMR, Women Leadership Dev Org Behav &amp; HRM, Mumbai 400058, Maharashtra, India; [Datta, Sumita] Univ Lisbon, ISCSP, Lisbon, Portugal; [Budhwar, Pawan] Aston Univ, Aston India Ctr Appl Res, Aston Business Sch, Birmingham, W Midlands, England; [Agarwal, Upasna A.] NITIE, HRM &amp; Org Behav, Mumbai, Maharashtra, India; [Bhargava, Shivganesh] Indian Inst Technol, Shailesh J Mehta Sch Management, Bombay, Maharashtra, India</t>
  </si>
  <si>
    <t>S. P. Jain Institute of Management &amp; Research (SPJIMR); Universidade de Lisboa; Aston University; National Institute of Industrial Engineering (NITIE); Indian Institute of Technology System (IIT System); Indian Institute of Technology (IIT) - Bombay</t>
  </si>
  <si>
    <t>Datta, S (corresponding author), SPJIMR, Women Leadership Dev Org Behav &amp; HRM, Mumbai 400058, Maharashtra, India.</t>
  </si>
  <si>
    <t>drsumitadatta@gmail.com</t>
  </si>
  <si>
    <t>Datta, Sumita/G-5178-2019</t>
  </si>
  <si>
    <t>Datta, Sumita/0000-0002-8988-2390</t>
  </si>
  <si>
    <t>10.1080/09585192.2021.1973063</t>
  </si>
  <si>
    <t>A7BF8</t>
  </si>
  <si>
    <t>WOS:000700456500001</t>
  </si>
  <si>
    <t>Bradley, JL; Johnson, DA</t>
  </si>
  <si>
    <t>Bradley, Jacob L.; Johnson, Douglas A.</t>
  </si>
  <si>
    <t>Creating Creativity: A Behavior Analytic Approach</t>
  </si>
  <si>
    <t>creativity; innovation</t>
  </si>
  <si>
    <t>INSIGHT; PEOPLE</t>
  </si>
  <si>
    <t>Creativity and innovation have brought about phenomenal changes throughout human history. Art, science, medicine, industry, and technology have all grown through creative and innovative behavior. A complete science of human behavior needs to account for creativity, especially given its importance in society. Prior behavioral research has been able to account for creative behavior in animals by training the component skills of a complex creative solution and arranging environmental conditions which result in the recombination of component skills to produce a creative solution. The present study partially replicates creativity research conducted in a laboratory setting with animals by conducting a similarly arranged laboratory study with humans. The purpose of the present study was to determine whether a creative solution to a difficult problem could be produced by teaching participants the necessary component skills and arranging the environment in such a way as to cause the component skills to recombine in order to solve the problem. The present study suggests that such an approach may be viable and provides an experimental task that can be used in future human creativity research.</t>
  </si>
  <si>
    <t>[Bradley, Jacob L.; Johnson, Douglas A.] Western Michigan Univ, POB 1295, Portage, MI 49081 USA</t>
  </si>
  <si>
    <t>Western Michigan University</t>
  </si>
  <si>
    <t>Johnson, DA (corresponding author), Western Michigan Univ, POB 1295, Portage, MI 49081 USA.</t>
  </si>
  <si>
    <t>behavioranalyst@gmail.com</t>
  </si>
  <si>
    <t>10.1007/s40732-021-00480-z</t>
  </si>
  <si>
    <t>WOS:000673016700001</t>
  </si>
  <si>
    <t>Curado, M; Rodriguez, R; Jimenez, M; Tortosa, L; Vicent, JF</t>
  </si>
  <si>
    <t>Curado, Manuel; Rodriguez, Rocio; Jimenez, Manuel; Tortosa, Leandro; Vicent, Jose F.</t>
  </si>
  <si>
    <t>A New Methodology to Study Street Accessibility: A Case Study of Avila (Spain)</t>
  </si>
  <si>
    <t>ISPRS INTERNATIONAL JOURNAL OF GEO-INFORMATION</t>
  </si>
  <si>
    <t>centrality measures; urban networks; accessibility</t>
  </si>
  <si>
    <t>IDENTIFYING INFLUENTIAL NODES; CENTRALITY; TOURISM; ALGORITHM; NETWORKS</t>
  </si>
  <si>
    <t>Taking into account that accessibility is one of the most strategic and determining factors in economic models and that accessibility and tourism affect each other, we can say that the study and improvement of one of them involved the development of the other. Using network analysis, this study presents an algorithm for labeling the difficulty of the streets of a city using different accessibility parameters. We combine network structure and accessibility factors to explore the association between innovative behavior within the street network, and the relationships with the commercial activity in a city. Finally, we present a case study of the city of Avila, locating the most inaccessible areas of the city using centrality measures and analyzing the effects, in terms of accessibility, on the commerce and services of the city.</t>
  </si>
  <si>
    <t>[Curado, Manuel; Jimenez, Manuel] Catholic Univ Murcia, Polytech Sch, Campus Los Jeronimos, E-30107 Murcia, Spain; [Rodriguez, Rocio] Catholic Univ Avila, Dept Mech Engn, Calle Canteros, E-05005 Avila, Spain; [Tortosa, Leandro; Vicent, Jose F.] Univ Alicante, Dept Comp Sci &amp; Artificial Intelligence, Campus San Vicente,Ap Correos 99, E-03080 Alicante, Spain</t>
  </si>
  <si>
    <t>Universidad Catolica de Murcia; Santa Teresa Jesus Catholic University of Avila; Universitat d'Alacant</t>
  </si>
  <si>
    <t>Curado, M (corresponding author), Catholic Univ Murcia, Polytech Sch, Campus Los Jeronimos, E-30107 Murcia, Spain.</t>
  </si>
  <si>
    <t>mcurado@ucam.edu; rocio.rodriguez@ucavila.es; mjimenez6@atmucam.edu; tortosa@ua.es; jvicent@ua.es</t>
  </si>
  <si>
    <t>Rodríguez, Rocio/AAX-1502-2021; Tortosa, Leandro/K-4441-2014; Vicent, Jose F./AAE-5434-2020; Rocío, Rodríguez/HKN-9427-2023</t>
  </si>
  <si>
    <t>Rodríguez, Rocio/0000-0002-5499-0738; Tortosa, Leandro/0000-0002-2562-8123; Vicent, Jose F./0000-0002-2990-1879; Rocío, Rodríguez/0000-0002-5499-0738; Curado Navarro, Manuel/0000-0003-2307-1760</t>
  </si>
  <si>
    <t>Diputacion de Avila</t>
  </si>
  <si>
    <t>This research was funded by Diputacion de Avila (Convocatoria de Ayudas a la Investigacion sobre Temas Abulenses 2019).</t>
  </si>
  <si>
    <t>2220-9964</t>
  </si>
  <si>
    <t>ISPRS INT J GEO-INF</t>
  </si>
  <si>
    <t>ISPRS Int. J. Geo-Inf.</t>
  </si>
  <si>
    <t>10.3390/ijgi10070491</t>
  </si>
  <si>
    <t>Computer Science, Information Systems; Geography, Physical; Remote Sensing</t>
  </si>
  <si>
    <t>Computer Science; Physical Geography; Remote Sensing</t>
  </si>
  <si>
    <t>TO1DW</t>
  </si>
  <si>
    <t>WOS:000676662700001</t>
  </si>
  <si>
    <t>Fadul, A</t>
  </si>
  <si>
    <t>Fadul, Ali</t>
  </si>
  <si>
    <t>Does Organizational Justice Influence Employee Innovative Behavior in an Arabic Context? Evidence From the Libyan Oil Industry</t>
  </si>
  <si>
    <t>Libya; organizational justice; employee innovative behavior; oil industry; culture</t>
  </si>
  <si>
    <t>WORK BEHAVIOR; CITIZENSHIP BEHAVIORS; JOB-SATISFACTION; FAIRNESS; PERCEPTIONS; SUPPORT; DETERMINANTS; AMERICAN; MODELS; SECTOR</t>
  </si>
  <si>
    <t>Innovative employees are the main source of an organization's survival in a dynamic environment. Therefore, understanding how to stimulate and sustain employee innovative behaviors is of great importance for organizations. From this perspective, based on the social exchange theory, the current study seeks to investigate the influence of organizational justice on employee innovative behavior within the Libyan context. Through a pre-designed questionnaire, data were gathered from 295 employees working for 5 Libyan national oil companies and analyzed using partial least squares-structural equation modeling [PLS]. The results indicated that procedural justice is positively related to employee innovative behavior, whereas distributive justice and interactional justice are not. The findings foster the assumption that organizational justice perceptions and responses differ across cultures based on national values. The results and implications are discussed in light of the literature and the Libyan work environment and culture.</t>
  </si>
  <si>
    <t>[Fadul, Ali] Cyprus Int Univ, Nicosia, North Cyprus, Turkey</t>
  </si>
  <si>
    <t>Fadul, A (corresponding author), Mustafa Avalia Apt Flat 09, Nicosia, North Cyprus, Turkey.</t>
  </si>
  <si>
    <t>alifadul4@gmail.com</t>
  </si>
  <si>
    <t>10.1177/21582440211043931</t>
  </si>
  <si>
    <t>UW8YU</t>
  </si>
  <si>
    <t>WOS:000700439600001</t>
  </si>
  <si>
    <t>Guerrero, M; Link, AN</t>
  </si>
  <si>
    <t>Guerrero, Maribel; Link, Albert N.</t>
  </si>
  <si>
    <t>Public support of innovative activity in small and large firms in Mexico</t>
  </si>
  <si>
    <t>Public program evaluation; Innovation; R&amp;D; Mexico</t>
  </si>
  <si>
    <t>PERFORMANCE; PRODUCTIVITY</t>
  </si>
  <si>
    <t>The National Science and Technology Council (CONACYT) was established in 1970 by the Mexican government. CONACYT was formed to promote the scientific development and technological modernization of Mexico through developing high-level human resources, encouraging research projects, and disseminating scientific/technological information. In 2009, CONACYT launched the Innovation Stimulus Program (PEI) to foster enterprises' innovation activities and to encourage collaboration on innovation activities among firms and between firms and public research institutes and higher education institutions. Based on an analysis of project data from the PEI program over the years 2009 through 2014, we found that large firms are more innovative than small firms. And, firms that are more innovative are those that had prior funded research, collaborated with universities in the funded research project, added new employees during the research project, and faced larger markets for their innovations. Plain English Summary Only a few studies have systematically compared publicly supported innovative behavior between groups of large and small firms within developing countries, and absent from this list is an analysis of Mexico. In this paper, we study research projects funded through Mexico's Innovation Stimulus Program, and we find that large firms are more innovative than small firms. We also find that firms with previously funded research, that collaborated with universities in the funded research project, that added new employees during the research project, and that faced larger markets for their innovations are more innovative. Thus, the findings in this paper might provide an initial indication about those firms that will have a greater innovation-related response to the public funding to support their research.</t>
  </si>
  <si>
    <t>[Guerrero, Maribel] Univ Desarrollo, Fac Econ &amp; Negocios, Santiago, Chile; [Guerrero, Maribel] Northumbria Univ, Northumbria Ctr Innovat Reg Transformat &amp; Entrepr, Newcastle Business Sch, Newcastle Upon Tyne, Tyne &amp; Wear, England; [Link, Albert N.] Univ N Carolina, Greensboro, NC 27412 USA</t>
  </si>
  <si>
    <t>Universidad del Desarrollo; N8 Research Partnership; RLUK- Research Libraries UK; Newcastle University - UK; Northumbria University; University of North Carolina; University of North Carolina Greensboro</t>
  </si>
  <si>
    <t>Link, AN (corresponding author), Univ N Carolina, Greensboro, NC 27412 USA.</t>
  </si>
  <si>
    <t>maribel.guerrero@northumbria.ac.uk; anlink@uncg.edu</t>
  </si>
  <si>
    <t>Guerrero, Maribel/C-5978-2008</t>
  </si>
  <si>
    <t>Guerrero, Maribel/0000-0001-7387-1999</t>
  </si>
  <si>
    <t>10.1007/s11187-021-00517-1</t>
  </si>
  <si>
    <t>1U1OZ</t>
  </si>
  <si>
    <t>WOS:000658972500001</t>
  </si>
  <si>
    <t>Ingel, S; Smith, L; Magnuson, S; Rudes, D</t>
  </si>
  <si>
    <t>Ingel, Sydney; Smith, Lindsay; Magnuson, Shannon; Rudes, Danielle</t>
  </si>
  <si>
    <t>Strain &amp; Gain: From Deprivation to Innovation within Restricted Housing Units</t>
  </si>
  <si>
    <t>DEVIANT BEHAVIOR</t>
  </si>
  <si>
    <t>The deprived nature of restricted housing units (RHUs) leaves residents fraught with an innumerable amount of strain. Coupled with a problematic grievance system, the social structure of RHUs can prevent residents from attaining desired goals of basic needs through conventional/formal RHU routines and processes. Framing our data using Merton's strain theory, we find some residents turn to deviant innovative behaviors as a means of achieving basic goals when they have no legitimate way of attaining them otherwise. Analyzing data from interviews with 44 male residents, our study examines the characteristics of RHU residents' innovation. Our findings show these innovative behaviors are characterized by the number of actors, the communication style of the behavior, and the degree of violence. These findings begin to unpack how extremely punitive and tightly controlled sanctions may work in counterproductive ways. We also discuss the theoretical and policy implications of this contradictory behavior and what it means for prison administrators.</t>
  </si>
  <si>
    <t>[Ingel, Sydney; Smith, Lindsay; Magnuson, Shannon; Rudes, Danielle] George Mason Univ, Fairfax, VA 22030 USA</t>
  </si>
  <si>
    <t>George Mason University</t>
  </si>
  <si>
    <t>Ingel, S (corresponding author), George Mason Univ, Dept Criminol, Law &amp; Soc Dept, Ctr Adv Correct Excellence ACE, 4400 Univ Dr, Fairfax, VA 22030 USA.</t>
  </si>
  <si>
    <t>singel@gmu.edu</t>
  </si>
  <si>
    <t>Ingel, Sydney/AAQ-3034-2021</t>
  </si>
  <si>
    <t>Ingel, Sydney/0000-0002-5686-4436</t>
  </si>
  <si>
    <t>0163-9625</t>
  </si>
  <si>
    <t>1521-0456</t>
  </si>
  <si>
    <t>DEVIANT BEHAV</t>
  </si>
  <si>
    <t>Deviant Behav.</t>
  </si>
  <si>
    <t>10.1080/01639625.2021.1913453</t>
  </si>
  <si>
    <t>Criminology &amp; Penology; Psychology, Social; Sociology</t>
  </si>
  <si>
    <t>Criminology &amp; Penology; Psychology; Sociology</t>
  </si>
  <si>
    <t>1J7LC</t>
  </si>
  <si>
    <t>WOS:000639696400001</t>
  </si>
  <si>
    <t>Rathakrishnan, T; Ng, SI; Ho, JA; Zawawi, D</t>
  </si>
  <si>
    <t>Rathakrishnan, Thanuja; Ng, Siew Imm; Ho, Jo Ahn; Zawawi, Dahlia</t>
  </si>
  <si>
    <t>The Corporate Conundrum: How to Blend People and Process to Improve Firm Performance</t>
  </si>
  <si>
    <t>RBGN-REVISTA BRASILEIRA DE GESTAO DE NEGOCIOS</t>
  </si>
  <si>
    <t>Effectuation Decision Making; Firm Performance; Individual Values; Innovative Behaviour; Multinational Companies (MNCs)</t>
  </si>
  <si>
    <t>DECISION-MAKING; ORGANIZATIONAL PERFORMANCE; STRATEGIC MANAGEMENT; MULTINATIONAL-FIRM; MARKET ORIENTATION; PERSONAL VALUES; EFFECTUATION; INNOVATION; KNOWLEDGE; CREATIVITY</t>
  </si>
  <si>
    <t>Purpose - One of the challenges in the business world is maximising effectiveness and firm performance. This study proposes that the right blend of people (with openness to change and self- transcendence values) and process (effectuation) would result in innovative behaviour and firm performance. Theoretical framework - The effectuation process has been found to be useful in promoting innovativeness, especially among small firms whose resources are scarce. This relationship is also true in large firms, although these have more resources and operate in a relatively stable environment. Design/methodology/approach - Using a snowball sampling approach, a total of 206 completed questionnaires were collected online from employees involved in decision making and innovative work processes in multinational companies in Selangor, Malaysia. PLS-SEM was used to analyse the data. Findings - The right people (who are open to change or self-transcendent) blended with the right process (effectuation) were found to positively predict innovative behaviour and firm performance. Effectuation and innovative behaviour also mediated the relationships between individual values and firm performance, suggesting that people and process should coexist to enhance firm performance. Research Practical &amp; Social implications - Effectuation is scarcely practised in large firms. Therefore, we suggest that large firms encourage the use of effectuation through training. As the practice is better received among individuals who are open to change and self-transcendent, these values could also be used as hiring criteria. Originality/value - This study contributes to the literature by analysing the roles of people and process in optimising firm performance, and identifying effectuation and innovative behaviour as mechanisms that link individual values to firm performance.</t>
  </si>
  <si>
    <t>[Rathakrishnan, Thanuja] Univ Putra Malaysia, Sch Business &amp; Econ, Serdang, Malaysia; [Rathakrishnan, Thanuja] Univ Putra Malaysia, Business Econ, Serdang, Malaysia; [Ng, Siew Imm] Univ Western Australia, Management, Perth, WA, Australia; [Ho, Jo Ahn] Cardiff Univ, Cardiff Business Sch, Business Eth, Cardiff, Wales; [Zawawi, Dahlia] Univ Reading, Org Behav, Reading, Berks, England</t>
  </si>
  <si>
    <t>Universiti Putra Malaysia; Universiti Putra Malaysia; University of Western Australia; RLUK- Research Libraries UK; Cardiff University; RLUK- Research Libraries UK; University of Reading</t>
  </si>
  <si>
    <t>Rathakrishnan, T (corresponding author), Univ Putra Malaysia, Sch Business &amp; Econ, Serdang, Malaysia.;Rathakrishnan, T (corresponding author), Univ Putra Malaysia, Business Econ, Serdang, Malaysia.</t>
  </si>
  <si>
    <t>thanuja87@outlook.com; imm_ns@upm.edu.my; ann_hj@upm.edu.my; dahlia@upm.edu.my</t>
  </si>
  <si>
    <t>Rathakrishnan, Thanuja/HZI-2923-2023; Ng, Siew Imm/ABD-4070-2021</t>
  </si>
  <si>
    <t>Rathakrishnan, Thanuja/0000-0002-5470-8931; Ng, Siew Imm/0000-0002-6518-925X</t>
  </si>
  <si>
    <t>Universiti Putra Malaysia under UPM Grant Putra Siswazah [9536100]</t>
  </si>
  <si>
    <t>Universiti Putra Malaysia under UPM Grant Putra Siswazah</t>
  </si>
  <si>
    <t>This research was sponsored by Universiti Putra Malaysia under UPM Grant Putra Siswazah, Project Number: 9536100.</t>
  </si>
  <si>
    <t>FUND ESCOLA COMERCIO ALVARES PENTEADO-FECAP</t>
  </si>
  <si>
    <t>SAO PAULO SP</t>
  </si>
  <si>
    <t>AV DA LIBERDADE 532, SAO PAULO SP, CEP01502-001, BRAZIL</t>
  </si>
  <si>
    <t>1806-4892</t>
  </si>
  <si>
    <t>1983-0807</t>
  </si>
  <si>
    <t>RBGN-REV BRAS GEST N</t>
  </si>
  <si>
    <t>RBGN-Rev. Bras. Gest. Negocios</t>
  </si>
  <si>
    <t>APR-JUN</t>
  </si>
  <si>
    <t>10.7819/rbgn.v23i2.4099</t>
  </si>
  <si>
    <t>WD1PH</t>
  </si>
  <si>
    <t>WOS:000704721100002</t>
  </si>
  <si>
    <t>Shmallo, R; Shrot, T; Madar, NK</t>
  </si>
  <si>
    <t>Shmallo, Ronit; Shrot, Tammar; Madar, Neta Kela</t>
  </si>
  <si>
    <t>Investigating Factors That Impact the Development of Entrepreneurial Interest among Engineering Students</t>
  </si>
  <si>
    <t>entrepreneurship; gender differences; entrepreneurial intention; personality factors; engineering education</t>
  </si>
  <si>
    <t>EDUCATION; UNIVERSITY; INTENTION; SCIENCE; PROGRAMS; BEHAVIOR</t>
  </si>
  <si>
    <t>Entrepreneurship is a crucial skill in today's world, especially in the engineering and hi-tech industries, but engineering education is still lagging behind in finding ways to teach entrepreneurship. The purpose of this study is to clarify the factors that contribute to entrepreneurship tendencies among engineering students and to use them as an entrepreneurship predictor tool. We conducted research on 95 undergraduate engineering students, for which we used well-documented personality analysis and entrepreneurial questionnaires. In particular, we analyzed the relationship between personality profiling and entrepreneurial intention, and we examined entrepreneurship according to the types of goals that drive innovative behavior. We discovered four main factors that contribute to entrepreneurial behavior: motivation, control, innovative personality, and ability to get support. In addition, our findings indicate that while emotional intelligence contributes to the engineering students' entrepreneurial intention, students with an established perception of gender equality have higher entrepreneurship intention. This suggests that their entrepreneurial tendencies will benefit from an enhanced perception of gender equality. The importance of this study is that it points out the crucial impact of the perception of gender equality in the early stages of student development in the academic world. This pinpoints the effect of gender equality on entrepreneurial and innovation intention. Therefore, it is crucial to examine how gender equality and emotional intelligence can be incorporated into the curriculum of engineering studies. The challenges of teaching entrepreneurship in engineering education as well as the difficulties of involving women as entrepreneurs can both be solved by actions that foster entrepreneurship for women in the educational setting.</t>
  </si>
  <si>
    <t>[Shmallo, Ronit; Shrot, Tammar; Madar, Neta Kela] SCE Shamoon Coll Engn, Jabotinsky 84, Ashdod, Israel</t>
  </si>
  <si>
    <t>Shmallo, R (corresponding author), SCE Shamoon Coll Engn, Jabotinsky 84, Ashdod, Israel.</t>
  </si>
  <si>
    <t>ronitsl@sce.ac.il; tammash@sce.ac.il; netayke@sce.ac.il</t>
  </si>
  <si>
    <t>Shrot, Tammar/0000-0002-9611-2765</t>
  </si>
  <si>
    <t>SU7RT</t>
  </si>
  <si>
    <t>WOS:000663330400023</t>
  </si>
  <si>
    <t>Stauber, CE; Person, B; Otieno, R; Oremo, J; Schilling, K; Hayat, MJ; Ayers, T; Quick, R</t>
  </si>
  <si>
    <t>Stauber, Christine E.; Person, Bobbie; Otieno, Ronald; Oremo, Jared; Schilling, Katharine; Hayat, Matthew J.; Ayers, Tracy; Quick, Robert</t>
  </si>
  <si>
    <t>A Cluster Randomized Trial of the Impact of Education through Listening (a Novel Behavior Change Technique) on Household Water Treatment with Chlorine in Vihiga District, Kenya, 2010-2011</t>
  </si>
  <si>
    <t>AMERICAN JOURNAL OF TROPICAL MEDICINE AND HYGIENE</t>
  </si>
  <si>
    <t>POINT-OF-USE; DRINKING-WATER; SAFE STORAGE; MICROBIOLOGICAL CONTAMINATION; DEVELOPING-COUNTRIES; DIARRHEAL DISEASE; QUALITY; INTERVENTIONS; DISINFECTION; POPULATIONS</t>
  </si>
  <si>
    <t>Despite multiple studies demonstrating the effectiveness of household water treatment with chlorine in disinfecting water and preventing diarrhea, social marketing of this intervention in lowand middle-income countries has resulted in only modest uptake. In a cluster randomized trial in Vihiga district, western Kenya, we compared uptake of household water treatment with chlorine among six villages served by community vendors trained in standard social marketing plus education through listening (ETL), an innovative behavior change method, and six villages served by community vendors trained in standard social marketing only. Water treatment uptake, water quality, and childhood diarrhea were measured over 6 months and compared between the two groups of villages. During the 6-month period, we found no association between ETL exposure and reported and confirmed household water treatment with chlorine. In both groups (ETL and comparison), reported use of water treatment was low and did not change during our 6-month follow-up. However, persons confirmed to have chlorinated water had improved bacteriologic water quality. Study findings suggest that ETL implementation was suboptimal, which, along with unexpected changes in the supply and price of chlorine, may have prevented an accurate assessment of the potential impact of ETL on water treatment behavior. Taken together, these observations exemplify the complexities of habits, practices, attitudes, and external factors that can create challenging conditions for implementing behavioral interventions. As a consequence, in this trial, ETL had no measurable impact on water treatment behavior.</t>
  </si>
  <si>
    <t>[Stauber, Christine E.; Hayat, Matthew J.] Georgia State Univ, Sch Publ Hlth, Dept Populat Hlth Sci, Atlanta, GA 30303 USA; [Person, Bobbie; Schilling, Katharine; Ayers, Tracy; Quick, Robert] Ctr Dis Control, Div Foodbome Waterborne &amp; Environm Dis, Atlanta, GA 30333 USA; [Otieno, Ronald; Oremo, Jared] Safe Water &amp; AIDS Project, Kisumu, Kenya</t>
  </si>
  <si>
    <t>University System of Georgia; Georgia State University; Centers for Disease Control &amp; Prevention - USA</t>
  </si>
  <si>
    <t>Stauber, CE (corresponding author), Sch Publ Hlth, Dept Populat Hlth Sci, 140 Decatur St, Atlanta, GA 30303 USA.</t>
  </si>
  <si>
    <t>cstauber@gsu.edu; bobbieperson@gmail.com; ronotien0@yahoo.com; jerryoresh@yahoo.com; schillka@gmail.com; mhayat@gsu.edu; eyk6@cdc.gov; rxq1@cdc.gov</t>
  </si>
  <si>
    <t>Georgia State University/CDC Seed grant; U.S. Agency for International Development</t>
  </si>
  <si>
    <t>Georgia State University/CDC Seed grant; U.S. Agency for International Development(United States Agency for International Development (USAID))</t>
  </si>
  <si>
    <t>This project was supported by a Georgia State University/CDC Seed grant and the U.S. Agency for International Development.</t>
  </si>
  <si>
    <t>AMER SOC TROP MED &amp; HYGIENE</t>
  </si>
  <si>
    <t>MCLEAN</t>
  </si>
  <si>
    <t>8000 WESTPARK DR, STE 130, MCLEAN, VA 22101 USA</t>
  </si>
  <si>
    <t>0002-9637</t>
  </si>
  <si>
    <t>1476-1645</t>
  </si>
  <si>
    <t>AM J TROP MED HYG</t>
  </si>
  <si>
    <t>Am. J. Trop. Med. Hyg.</t>
  </si>
  <si>
    <t>10.4269/ajtmh.20-0215</t>
  </si>
  <si>
    <t>Public, Environmental &amp; Occupational Health; Tropical Medicine</t>
  </si>
  <si>
    <t>QD0RC</t>
  </si>
  <si>
    <t>WOS:000615234800058</t>
  </si>
  <si>
    <t>Turulja, L; Delalic, E</t>
  </si>
  <si>
    <t>Turulja, Lejla; Delalic, Elma</t>
  </si>
  <si>
    <t>How Companies Should Manage Their Human Resources to Respond to the Disruptive Innovation Brought About by the Sharing Economy</t>
  </si>
  <si>
    <t>JOURNAL OF EAST EUROPEAN MANAGEMENT STUDIES</t>
  </si>
  <si>
    <t>Sharing economy; Human resource management; Organizational identification; Innovative behaviour; Knowledge sharing; Job performance</t>
  </si>
  <si>
    <t>SOCIAL-EXCHANGE THEORY; ORGANIZATIONAL COMMITMENT; WORK BEHAVIOR; HRM PRACTICES; DYNAMIC CAPABILITIES; KNOWLEDGE MANAGEMENT; FIRM INNOVATIVENESS; JOB-PERFORMANCE; BUSINESS MODELS; MEDIATING ROLE</t>
  </si>
  <si>
    <t>In recent years, the sharing economy has become a new buzzword, providing various business opportunities and challenges to conventional businesses. It is characterized by the transforma- tion of conventional business sectors and many companies are already facing the pressure of adapting their operations to the changing conditions. Human resource management, especially when it comes to experts and knowledge workers, is among the affected business activities. In particular, due to the apparent high demand, this type of workforce has the opportunity to share services among many businesses. Therefore, human resource managers should tackle the issue of cultivating employee organizational identification to increase employee retention and achieve the desired performance. In this regard, this paper proposes a model that binds human resource management practices to employee organizational identification, innovative behaviour, knowledge sharing, and finally, employee job performance. The model is estimat- ed using the survey method and structural equation modelling technique for data analysis. The results imply that selective recruiting, participation in decision-making, and rewarding contribute to employees' organizational identification, while training does not directly affect it. The findings, therefore, indicate that adequate human resource management practices, mainly through the simultaneous impact of the critical capabilities examined by this model, can serve as a foundation for business success in the sharing economy.</t>
  </si>
  <si>
    <t>[Turulja, Lejla] Univ Sarajevo, Sch Econ &amp; Business, Sarajevo, Bosnia &amp; Herceg; [Delalic, Elma] Deloitte, Sarajevo, Bosnia &amp; Herceg</t>
  </si>
  <si>
    <t>University of Sarajevo</t>
  </si>
  <si>
    <t>Turulja, L (corresponding author), Univ Sarajevo, Sch Econ &amp; Business, Sarajevo, Bosnia &amp; Herceg.</t>
  </si>
  <si>
    <t>lejla.turulja@efsa.unsa.ba; edelalic@deloittece.com</t>
  </si>
  <si>
    <t>Turulja, Lejla/A-9857-2017</t>
  </si>
  <si>
    <t>Turulja, Lejla/0000-0003-1493-8318</t>
  </si>
  <si>
    <t>NOMOS VERLAGSGESELLSCHAFT MBH &amp; CO KG</t>
  </si>
  <si>
    <t>BADEN-BADEN</t>
  </si>
  <si>
    <t>WALDSEESTR 3 5, BADEN-BADEN, 76530, GERMANY</t>
  </si>
  <si>
    <t>1862-0019</t>
  </si>
  <si>
    <t>10.5771/0949-6181-2021-4-738</t>
  </si>
  <si>
    <t>XM0XT</t>
  </si>
  <si>
    <t>WOS:000728560800008</t>
  </si>
  <si>
    <t>Timeus, K; Breaugh, J</t>
  </si>
  <si>
    <t>Timeus, Krista; Breaugh, Jessica</t>
  </si>
  <si>
    <t>What's in it for me? How blame and credit expectations affect support for innovation</t>
  </si>
  <si>
    <t>PUBLIC POLICY AND ADMINISTRATION</t>
  </si>
  <si>
    <t>Behavioural public administration; blame avoidance; public administration; public innovation; risk management</t>
  </si>
  <si>
    <t>PUBLIC MANAGEMENT; AVOIDING BLAME; ORGANIZATIONAL INNOVATION; MECHANICAL TURK; RISK; AVOIDANCE; SECTOR; DETERMINANTS; FRAMEWORK; DECISION</t>
  </si>
  <si>
    <t>The article applies an experimental vignette research design to test how blame and credit expectations affect individuals' willingness to support innovative programs. Respondents received a survey with three scenarios of innovative programs and were randomly allocated to being blamed if the program failed, credited if it succeeded, or a control group. Blame and credit framing had no statistically significant effect on willingness to support the programs. It was much more important for respondents whether the program was 'good for the community'. This calls into question current assumptions about anticipatory blame avoidance motivations as a primary antecedent of innovative behavior.</t>
  </si>
  <si>
    <t>[Timeus, Krista] ESADE Business &amp; Law Sch, Ave Pedralbes 60-62, Barcelona 08034, Spain; [Breaugh, Jessica] Hertie Sch Governance, Berlin, Germany</t>
  </si>
  <si>
    <t>Universitat Ramon Llull; Escuela Superior de Administracion y Direccion de Empresas (ESADE)</t>
  </si>
  <si>
    <t>Timeus, K (corresponding author), ESADE Business &amp; Law Sch, Ave Pedralbes 60-62, Barcelona 08034, Spain.</t>
  </si>
  <si>
    <t>ktimeus@gmail.com</t>
  </si>
  <si>
    <t>0952-0767</t>
  </si>
  <si>
    <t>1749-4192</t>
  </si>
  <si>
    <t>PUBLIC POLICY ADMIN</t>
  </si>
  <si>
    <t>Public. Policy Adm.</t>
  </si>
  <si>
    <t>10.1177/0952076720977598</t>
  </si>
  <si>
    <t>D4PS1</t>
  </si>
  <si>
    <t>WOS:000608769600001</t>
  </si>
  <si>
    <t>Cheng, JH; Lei, DY; Huang, KP; Feng, YL</t>
  </si>
  <si>
    <t>Cheng, Jui-Hsi; Lei, Di-Yu; Huang, Kai-Ping; Feng, Yu-Lei</t>
  </si>
  <si>
    <t>Based On Social Capital to Discuss the Correlation between Internal Marketing Strategy and Employees' Job Satisfaction in Medical Equipment Industry</t>
  </si>
  <si>
    <t>medical equipment industry; social capital; internal marketing strategy; job satisfaction</t>
  </si>
  <si>
    <t>ORGANIZATIONAL COMMITMENT; INNOVATIVE BEHAVIOR; LEADERSHIP-STYLE; CULTURE</t>
  </si>
  <si>
    <t>The approach to aging society in past years shows increasing medical equipment market with needs for health care that current health care industry is encountering the unprecedented dilemma. The fiercer competition has hospitals start to seek for the promotion of operating performance in order to create more profits. The partnership between hospitals and medical equipment stores provides more items for patients and the family members. Accordingly, the image and service quality of medical equipment industry are emphasized. Aiming at employees of medical equipment industry in Taichung City, total 360 copies are distributed for this study, and 251 valid copies are retrieved, with the retrieval rate 70%. According to the research results, suggestions are proposed, expecting to provide suggestions and reference for introducing human resource organizations into medical equipment industry so that human resource departments could offer more customized service closer to organizational strategies.</t>
  </si>
  <si>
    <t>[Cheng, Jui-Hsi; Feng, Yu-Lei] Xiamen Huaxia Univ, Coll Business &amp; Management, Xiamen, Peoples R China; [Lei, Di-Yu] Ming Chi Univ Technol, Dept Business &amp; Management, Taipei, Taiwan; [Huang, Kai-Ping] Fu Jen Catholic Univ, Social Enterprise Ctr, Dept Business Adm, New Taipei, Taiwan</t>
  </si>
  <si>
    <t>Xiamen Huaxia University; Ming Chi University of Technology; Fu Jen Catholic University</t>
  </si>
  <si>
    <t>Cheng, JH (corresponding author), Xiamen Huaxia Univ, Coll Business &amp; Management, Xiamen, Peoples R China.</t>
  </si>
  <si>
    <t>zhengrx@hxxy.edu.cn; raymond.lei@mail.mcut.edu.tw; 129741@mail.fju.edu.tw; fyl@hxxy.edu.cn</t>
  </si>
  <si>
    <t>10.33788/rcis.71.14</t>
  </si>
  <si>
    <t>PC1ZY</t>
  </si>
  <si>
    <t>WOS:000596808700013</t>
  </si>
  <si>
    <t>Lee, K; Song, HD</t>
  </si>
  <si>
    <t>Lee, Kwangho; Song, Hae-Deok</t>
  </si>
  <si>
    <t>Linkages between Social Goal Orientation and Innovative Behavior: Examining the Mediating Role of Knowledge Sharing and Employee Engagement</t>
  </si>
  <si>
    <t>social goal orientation; knowledge sharing; employee engagement; innovative behavior</t>
  </si>
  <si>
    <t>The purpose of this study is to identify the structural relationships among social goal orientation, knowledge sharing, employee engagement and innovative behavior on employees of an organization. This study used a data sample of office workers in Korean companies by survey. The findings are as follows. First, knowledge sharing plays a significant role in the relationship between social goal orientation type and innovative behavior. Second, employee engagement plays a mediating role between social goal orientation and innovative behavior. Third, the dual mediating effect of knowledge sharing and employee engagement is important between social goal orientation and innovative behavior. Our findings have important theoretical implications, which suggest that not only psychological motivations of individuals but also their social motivations should be considered to promote innovative behavior. Therefore, it is important to provide an appropriate knowledge sharing and employee engagement environment for employees according to their social goal orientation type rather than requiring innovative behavior.</t>
  </si>
  <si>
    <t>[Lee, Kwangho] Chung Ang Univ, Grad Sch, Dept Human Resource Dev, Seoul 06974, South Korea; [Song, Hae-Deok] Chung Ang Univ, Dept Educ, Coll Educ, Seoul 06974, South Korea</t>
  </si>
  <si>
    <t>Song, HD (corresponding author), Chung Ang Univ, Dept Educ, Coll Educ, Seoul 06974, South Korea.</t>
  </si>
  <si>
    <t>seurman@cau.ac.kr; hsong@cau.ac.kr</t>
  </si>
  <si>
    <t>Song, Hae Deok/HJY-0971-2023</t>
  </si>
  <si>
    <t>Ministry of Education of the Republic of Korea; National Research Foundation of Korea [NRF-2017S1A3A2066878]</t>
  </si>
  <si>
    <t>This research was supported by the Ministry of Education of the Republic of Korea and the National Research Foundation of Korea (NRF-2017S1A3A2066878).</t>
  </si>
  <si>
    <t>10.3390/su12239886</t>
  </si>
  <si>
    <t>PD9KQ</t>
  </si>
  <si>
    <t>WOS:000597995000001</t>
  </si>
  <si>
    <t>Matookchund, NG; Steyn, R</t>
  </si>
  <si>
    <t>Matookchund, Navin G.; Steyn, Renier</t>
  </si>
  <si>
    <t>The significance of performance appraisal for innovation, in selected South African organisations</t>
  </si>
  <si>
    <t>SOUTH AFRICAN JOURNAL OF ECONOMIC AND MANAGEMENT SCIENCES</t>
  </si>
  <si>
    <t>Corporate entrepreneurship; innovation; organisational commitment; performance appraisal; proactive personality; South Africa; transformational leadership; work engagement</t>
  </si>
  <si>
    <t>CORPORATE ENTREPRENEURSHIP; PROACTIVE PERSONALITY; MEDIATING ROLE; LEADERSHIP; BEHAVIOR; CONTEXT; SUPPORT</t>
  </si>
  <si>
    <t>Background: It is evident from Western literature that performance appraisal (PA) results in innovation. However, evidence of empirical research on the different models on the PA-innovation link is seemingly lacking within the South African environment. The South African context may be unique, given the legislative framework within which PA is administered. Aim: To provide clarity on the specific PA-innovation models within the South African context. Setting: The PA-innovation relationship is contextualised within the South African context, across more than 50 organisations and more than 3000 randomly selected employees. Methods: A quantitative research approach was adopted, using a cross-sectional survey design as the study involved 3180 employees from 53 organisations. Seven variables were included in the model, namely PA, individual innovative behaviour (IIB), proactive personality (PP), transformational leadership (TL), corporate entrepreneurship (CE), work engagement (WE) and affective commitment (AC). Results: The results reveal that PA directly influences innovation. The PA-innovation relationship is mediated by WE and AC, with WE having the most significant effect. Furthermore, TL and CE moderate the PA-innovation relationship, with TL having the strongest effect and CE having almost no effect. Additionally, PP does not moderate the PA-innovation relationship. Managing employees with TL practices and instilling WE may be at the root of innovation in organisations. Conclusion: The research contributes to the body of knowledge on the PA-innovation link, and the outcomes of this study are expected to be of value to all stakeholders and may assist managers to appropriately assign resources to particular organisational variables, thereby enhancing innovation within organisations. This evidence-based information would help managers to increase innovative behaviour, performance, competitive advantage, organisational success, growth and organisational survival.</t>
  </si>
  <si>
    <t>[Matookchund, Navin G.; Steyn, Renier] Univ South Africa, Grad Sch Business Leadership, Leadership &amp; Org Behav, Pretoria, South Africa</t>
  </si>
  <si>
    <t>University of South Africa</t>
  </si>
  <si>
    <t>Matookchund, NG (corresponding author), Univ South Africa, Grad Sch Business Leadership, Leadership &amp; Org Behav, Pretoria, South Africa.</t>
  </si>
  <si>
    <t>navin.matookchund@sasol.com</t>
  </si>
  <si>
    <t>Steyn, Renier/ABA-2208-2020</t>
  </si>
  <si>
    <t>Steyn, Renier/0000-0002-2446-3662; Matookchund, Navin Gazanchand/0000-0002-9022-9129</t>
  </si>
  <si>
    <t>AOSIS</t>
  </si>
  <si>
    <t>Durbanville</t>
  </si>
  <si>
    <t>Postnet Suite 110, Private Bag x 19, Durbanville, SOUTH AFRICA</t>
  </si>
  <si>
    <t>2222-3436</t>
  </si>
  <si>
    <t>S AFR J ECON MANAG S</t>
  </si>
  <si>
    <t>S. Afr. J. Econ. Manag. Sci.</t>
  </si>
  <si>
    <t>a3272</t>
  </si>
  <si>
    <t>10.4102/sajems.v23i1.3272</t>
  </si>
  <si>
    <t>MY8CT</t>
  </si>
  <si>
    <t>WOS:000558644100001</t>
  </si>
  <si>
    <t>Hou, Y; Wang, ZS</t>
  </si>
  <si>
    <t>Hou, Yong; Wang, Zhisheng</t>
  </si>
  <si>
    <t>STUDY OF CORPORATE SOCIAL RESPONSIBILITY AND EMPLOYEES INNOVATIVE BEHAVIOUR IN ENVIRONMENTAL INDUSTRY - THE MEDIATION OF WELL-BEING AND ORGANISATIONAL IDENTITY</t>
  </si>
  <si>
    <t>corporate social responsibility awareness; employees well-being; organisational identity; innovative behaviour</t>
  </si>
  <si>
    <t>FINANCIAL PERFORMANCE; MODERATING ROLE; IDENTIFICATION; CONSEQUENCES; COMMITMENT; LEVEL; MODEL; TRUST; WORK</t>
  </si>
  <si>
    <t>Corporate social responsibility refers to the voluntary commitment of an enterprise based on the idea of sustainable development. When executing series of social activities, environmental corporation should pay attention to the employees feelings, including employees identity and wellbeing. Nevertheless, past research on corporate social responsibility mostly stressed on the financial performance of enterprises, but seldom studied employee performance. With the combination of the awareness of social responsibility, well-being, and organisational identity of employees in environmental industry with the innovative behaviour, the empirical research is preceded in this study. Total 431 valid copies of questionnaire are retrieved for the SEM analysis. The result reveals positive relations between the awareness of social responsibility and innovative behaviour of employees in environmental industry and the mediation effects of employees well-being and organisational identity. It is suggested that a environmental corporation should have the employees be aware of and even participate in the execution of social responsibility to induce various innovative behaviours beneficial to the sustainable development of the business through the interaction between internal and external interested parties in the process.</t>
  </si>
  <si>
    <t>[Hou, Yong] Weifang Univ Sci &amp; Technol, Sch Business Adm, Weifang, Peoples R China; [Wang, Zhisheng] Huaqiao Univ, Business Sch, Quanzhou 362021, Peoples R China</t>
  </si>
  <si>
    <t>Hou, Y (corresponding author), Weifang Univ Sci &amp; Technol, Sch Business Adm, Weifang, Peoples R China.</t>
  </si>
  <si>
    <t>linerme@hotmail.com</t>
  </si>
  <si>
    <t>National Natural Science Foundation of China [71602042, 71801098]</t>
  </si>
  <si>
    <t>The authors are grateful to the valuable comments made by the reviewers. This research was supported by the National Natural Science Foundation of China (71602042, 71801098).</t>
  </si>
  <si>
    <t>LL9OH</t>
  </si>
  <si>
    <t>WOS:000531884000017</t>
  </si>
  <si>
    <t>Relationship between Knowledge Staff's Creative Self-Efficacy, Job Environment Involvement and Innovative Behavior based on Mining Data Technology: Evidence from Manufacturing Industries (Environmental Satisfaction)</t>
  </si>
  <si>
    <t>creative self-efficacy; innovative behavior; job involvement</t>
  </si>
  <si>
    <t>The study aimed to investigate relationship between knowledge staff's creative self-efficacy, job involvement and innovative behavior, job involvement as a mediator of the relationship between creative self-efficacy and innovative behavior. The literature relating to the effects of innovative behavior is presented to provide the basis for the research hypotheses. It was surveyed a sample of 130 knowledge employees in manufacturing companies in China, a wide range of positions regarding their creative self-efficacy, job involvement and innovative behavior. Variables were measured by subjective and self-described questionnaires. Used mining data technology and regression analyses, correlate analyses and so on were used to get the conclusion. Findings-The results showed that (1) Creative self-efficacy predicted innovative behavior. (2) Job involvement as a mediator of the relationship between creative self-efficacy and innovative behavior (3) Used mining data technology is a good choice. Practical implications-Knowledge of the antecedents to innovative behavior should provide certain advantages organizations attempting to design innovation policy. The findings have implications for individual innovation behavior. This paper makes a valuable contribution to innovation literatures, by being one of the first to examine the relationship between relationship between creative self-efficacy and innovative behavior. This paper also will be useful to the academic communities, the public and other interested parties who are interested in improving individual innovation during their periods of career.</t>
  </si>
  <si>
    <t>[Yu, Chen] Zhejiang Gongshang Univ, Sch Business, Hangzhou, Zhejiang, Peoples R China</t>
  </si>
  <si>
    <t>Yu, C (corresponding author), Zhejiang Gongshang Univ, Sch Business, Hangzhou, Zhejiang, Peoples R China.</t>
  </si>
  <si>
    <t>Zhejiang Natural Science Foundation [LY18G020004]</t>
  </si>
  <si>
    <t>This research was financially supported by Zhejiang Natural Science Foundation (grant no. LY18G020004).</t>
  </si>
  <si>
    <t>UNSP e107472</t>
  </si>
  <si>
    <t>HP4WZ</t>
  </si>
  <si>
    <t>WOS:000461678300471</t>
  </si>
  <si>
    <t>Aranda, M; Marcos, A; Topa, G</t>
  </si>
  <si>
    <t>Aranda, Mercedes; Marcos, Alexandra; Topa, Gabriela</t>
  </si>
  <si>
    <t>Relationship between organizational socialization and attitudes and behaviours in volunteers: the importance of organizational</t>
  </si>
  <si>
    <t>REVISTA DE PSICOLOGIA SOCIAL</t>
  </si>
  <si>
    <t>organizational socialization; intention to stay; innovative behaviour; organizational justice; volunteers</t>
  </si>
  <si>
    <t>FAIRNESS PERCEPTIONS; MOTIVATION; JUSTICE; SUPPORT</t>
  </si>
  <si>
    <t>This study explores the influences of organizational socialization on the intention to stay and innovative behaviours using a two-time design with a sample (N = 308) of volunteers who provide advice and guidance. Furthermore, it analyses the mediating role of perceptions of organizational justice on the relationships between socialization and results. Our findings support the proposed hypotheses; that is, they showed that the higher the organizational socialization, the higher the intention to stay and the more innovative behaviour shown by the volunteers, and that both effects are mediated by the perceived organizational justice. The practical implications are discussed.</t>
  </si>
  <si>
    <t>[Aranda, Mercedes; Marcos, Alexandra; Topa, Gabriela] Univ Nacl Educ Distancia, Madrid, Spain</t>
  </si>
  <si>
    <t>Universidad Nacional de Educacion a Distancia (UNED)</t>
  </si>
  <si>
    <t>Topa, G (corresponding author), Fac Psicol, Dept Psicol Social &amp; Org, C Juan del Rosal 10,Despacho 0-20, Madrid 28040, Spain.</t>
  </si>
  <si>
    <t>gtopa@psi.uned.es</t>
  </si>
  <si>
    <t>Topa, Gabriela/L-9061-2014</t>
  </si>
  <si>
    <t>Topa, Gabriela/0000-0002-9181-8603; Marcos Lorenzo, Alexandra/0000-0003-1929-411X</t>
  </si>
  <si>
    <t>0213-4748</t>
  </si>
  <si>
    <t>1579-3680</t>
  </si>
  <si>
    <t>REV PSICOL SOC</t>
  </si>
  <si>
    <t>Rev. Psicol. Soc.</t>
  </si>
  <si>
    <t>10.1080/02134748.2018.1482054</t>
  </si>
  <si>
    <t>GQ5OS</t>
  </si>
  <si>
    <t>WOS:000441736200004</t>
  </si>
  <si>
    <t>Mullins, J</t>
  </si>
  <si>
    <t>Mullins, John</t>
  </si>
  <si>
    <t>The counter-conventional mindsets of entrepreneurs</t>
  </si>
  <si>
    <t>Entrepreneurship; Entrepreneur mindset; Entrepreneurial ideas; Fostering innovation; Innovative behavior</t>
  </si>
  <si>
    <t>These days, it seems, nearly everyone aspires to be an entrepreneur. But many entrepreneurs think and act differently than the way in which most other businesspeople do and the way much of today's business education encourages them to think and act. My in-depth examination of dozens of entrepreneurs I've come to know well over the past 2 decades tells me that their unconventional or, dare I say, counter-conventional mindsets and behaviors are marked by six common patterns: (1) `Yes, we can;' (2) beg, borrow, or steal; (3) think narrow, not broad; (4) problem first, not product -first logic; (5) 'No' is something waiting to be turned into `Yes'; and (6) ask for the cash and ride the float. Thankfully, we now know that entrepreneurs are made, not born. These six patterns of entrepreneurial thought and action are eminently learnable. If you want to someday be an entrepreneur, or if you want the people in your company to become more entrepreneurial, then developing or encouraging and incentivizing your people to develop such a mindset might constitute a suitable first step toward preparing you to follow a more entrepreneurial path or to foster a more entrepreneurial culture in your company. (C) 2017 Kelley School of Business, Indiana University. Published by Elsevier Inc. All rights reserved.</t>
  </si>
  <si>
    <t>[Mullins, John] London Business Sch, Sussex Pl,Regents Pk, London NW1 4SA, England</t>
  </si>
  <si>
    <t>University of London; London Business School</t>
  </si>
  <si>
    <t>Mullins, J (corresponding author), London Business Sch, Sussex Pl,Regents Pk, London NW1 4SA, England.</t>
  </si>
  <si>
    <t>jmullins@london.edu</t>
  </si>
  <si>
    <t>Mullins, John W/C-1619-2014</t>
  </si>
  <si>
    <t>10.1016/j.bushor.2017.05.003</t>
  </si>
  <si>
    <t>FH6QW</t>
  </si>
  <si>
    <t>WOS:000411302800004</t>
  </si>
  <si>
    <t>Marzabal, OR; Deza, XV; Carreira, MDS</t>
  </si>
  <si>
    <t>Rodil Marzabal, Oscar; Vence Deza, Xavier; Sanchez Carreira, Maria del Carmen</t>
  </si>
  <si>
    <t>THE BILATERAL TRADE BETWEEN SPAIN AND ITS EUROPEAN PARTNERS FROM A PERSPECTIVE OF TECHNOLOGICAL INTENSITY</t>
  </si>
  <si>
    <t>REVISTA DE ECONOMIA MUNDIAL</t>
  </si>
  <si>
    <t>Trade; Technology; Innovation; Spain; European Union</t>
  </si>
  <si>
    <t>NATIONAL INNOVATION SYSTEMS; INTERNATIONAL-TRADE; MONOPOLISTIC COMPETITION; CAPABILITIES; PATTERNS</t>
  </si>
  <si>
    <t>This paper aims at analyzing the level and evolution of the technological intensity of bilateral trade flows between Spain and its main European partners (EU-15) for the period 2000-2012. This study focuses on the existence of different sectoral technological intensities, which have been highlighted by the literature on trade and technological specialization. The paper also analyzes the evolution of different indicators related to innovative behaviour in order to catch the hypothetical positive relationship among the innovation effort and the technology and trading performance of countries. Results show the existence of a positive relationship between the innovative features of countries and their bilateral trade. While this result is observed for each dimension of innovation, it becomes more evident when the innovation is considered overall through a synthetic index of innovation (systemic approach). Moreover, data show that this relationship is stronger in the case of flows with higher technological content.</t>
  </si>
  <si>
    <t>[Rodil Marzabal, Oscar; Vence Deza, Xavier; Sanchez Carreira, Maria del Carmen] Univ Santiago de Compostela, Santiago De Compostela, Spain</t>
  </si>
  <si>
    <t>Marzabal, OR (corresponding author), Univ Santiago de Compostela, Santiago De Compostela, Spain.</t>
  </si>
  <si>
    <t>oscar.rodil@usc.es; xavier.vence@usc.es; carmela.sanchezl@usc.es</t>
  </si>
  <si>
    <t>Sánchez Carreira, María Carmen/L-1180-2015; Rodil, Óscar/K-3943-2014</t>
  </si>
  <si>
    <t>Sánchez Carreira, María Carmen/0000-0001-9265-2521; Rodil, Óscar/0000-0002-9418-1281</t>
  </si>
  <si>
    <t>UNIV HUELVA, SERV PUBLICACIONES</t>
  </si>
  <si>
    <t>HUELVA</t>
  </si>
  <si>
    <t>CAMPUS EL CARMEN, EDIFICIO MARIE CURIE, AVENIDA FUERZAS ARMADAS S-N, HUELVA, 21071, SPAIN</t>
  </si>
  <si>
    <t>1576-0162</t>
  </si>
  <si>
    <t>2340-4264</t>
  </si>
  <si>
    <t>REV ECON MUND</t>
  </si>
  <si>
    <t>Rev. Econ. Mund.</t>
  </si>
  <si>
    <t>CK9KN</t>
  </si>
  <si>
    <t>WOS:000356559100005</t>
  </si>
  <si>
    <t>Brussen, M; Sanders, K</t>
  </si>
  <si>
    <t>Brussen, Mirjam; Sanders, Karin</t>
  </si>
  <si>
    <t>The relationship between reflection and innovative behavior of Dutch fire brigade leaders: considering the influence of self-efficacy, time for reflection and autonomy</t>
  </si>
  <si>
    <t>reflection; innovative behavior; fire brigade; self-efficacy</t>
  </si>
  <si>
    <t>AFTER-EVENT REVIEWS; PSYCHOLOGICAL-RESEARCH; TASK-PERFORMANCE; WORK; CREATIVITY; COHESIVENESS; PERCEPTIONS; FAIRNESS; MODEL; JOB</t>
  </si>
  <si>
    <t>This study examines to what extent reflection on work by fire brigade leaders plays a role in the explanation of self-efficacy, autonomy and time for reflection, on the one hand, and innovative behaviour (idea creation and idea application), on the other hand. The research was conducted among Dutch fire brigade leaders during an annual fire conference (N = 109). The research showed that reflection of fire brigade leaders is positively related to discovering new ideas as well as to translating the new ideas into practice. Self-efficacy and time for reflection predict reflection as opposed to autonomy. The relationship between self-efficacy and idea creation and idea application was partly explained by reflection. Reflection had no mediating effect in the relationship between time for reflection and idea creation, as opposed to the relationship between time for reflection and idea application.</t>
  </si>
  <si>
    <t>[Brussen, Mirjam] Twynstra Gudde, Amersfoort, Netherlands; [Sanders, Karin] Australian Sch Business, Sch Management, Sydney, NSW, Australia; [Sanders, Karin] Univ Twente, NL-7500 AE Enschede, Netherlands</t>
  </si>
  <si>
    <t>Brussen, M (corresponding author), Twynstra Gudde, Amersfoort, Netherlands.</t>
  </si>
  <si>
    <t>mjb@tg.nl</t>
  </si>
  <si>
    <t>AR7TH</t>
  </si>
  <si>
    <t>WOS:000343782200002</t>
  </si>
  <si>
    <t>Sandrini, F; Durgiai, B; Aubert, S; Meier, H</t>
  </si>
  <si>
    <t>Sandrini, Florian; Durgiai, Bruno; Aubert, Sylvie; Meier, Hansjoerg</t>
  </si>
  <si>
    <t>How to optimize agricultural extension for a successful farm management?</t>
  </si>
  <si>
    <t>AGRARFORSCHUNG SCHWEIZ</t>
  </si>
  <si>
    <t>agricultural extension; extension approaches; extension activities; extension strategies</t>
  </si>
  <si>
    <t>Production costs play a key role in the competitiveness of agricultural enterprises. In the past, various actors in agricultural consultancy and education offered advanced training, but the number of participants remained below expectations. To investigate the reasons for this low participation and determine measures for improvement, the Opticost working group conducted semi-structured interviews with experts who were project managers, consultants and participants in five economic advanced training projects in Swiss agriculture. The group also interviewed consultants from economic training projects on French, German and Austrian agriculture and from another project outside this sector in Switzerland. The analysis of the expert interviews was carried out according to Meyer (2009), the theoretical coding according to Bohm (1994). The results showed that a distinction could be made in the target group between innovative and reactive participation behaviour patterns. Persons with innovative behaviour patterns participated in the advanced training programmes out of their own initiative, whereas persons with reactive patterns participated out of operational necessity. In the configuration of the training programmes, the importance of educational demands and target groups orientation influenced the composition of the participants. Direct communication showed the best effect in raising the awareness of the participants. Lastly there should be more adaptation to the target group in future, and more agricultural associations, consultants, fiduciaries etc. should be included.</t>
  </si>
  <si>
    <t>[Sandrini, Florian; Durgiai, Bruno] HAFL, CH-3052 Zollikofen, Switzerland; [Aubert, Sylvie; Meier, Hansjoerg] AGRIDEA, CH-8315 Lindau, Switzerland</t>
  </si>
  <si>
    <t>Sandrini, F (corresponding author), HAFL, CH-3052 Zollikofen, Switzerland.</t>
  </si>
  <si>
    <t>sylvie.aubert@agridea.ch</t>
  </si>
  <si>
    <t>AGRARFORSCHUNG</t>
  </si>
  <si>
    <t>POSIEUX</t>
  </si>
  <si>
    <t>AGROSCOPE LIEBEFELD-POSIEUX, POSIEUX, CH-1725, SWITZERLAND</t>
  </si>
  <si>
    <t>1663-7852</t>
  </si>
  <si>
    <t>1663-7909</t>
  </si>
  <si>
    <t>AGRARFORSCH SCHWEIZ+</t>
  </si>
  <si>
    <t>Agrarforschung Schweiz</t>
  </si>
  <si>
    <t>AU3YF</t>
  </si>
  <si>
    <t>WOS:000345545800004</t>
  </si>
  <si>
    <t>Vermeulen, M; Van Acker, F; Kreijns, K; van Buuren, H</t>
  </si>
  <si>
    <t>Vermeulen, M.; Van Acker, F.; Kreijns, K.; van Buuren, H.</t>
  </si>
  <si>
    <t>Do school leadership characteristics promote the use of digital learning materials by teachers?</t>
  </si>
  <si>
    <t>PEDAGOGISCHE STUDIEN</t>
  </si>
  <si>
    <t>TRANSFORMATIONAL LEADERSHIP; PRINCIPAL LEADERSHIP; INNOVATIVE BEHAVIOR; USE ICT; INTEGRATION; INSTRUCTION; EDUCATION; REFORM</t>
  </si>
  <si>
    <t>In this study, it was examined whether transformative leadership influences the use of digital learning materials (DLMs) by teachers in their pedagogical practice. Earlier research on DLMs has shown that the Integrated Model of Behavior Prediction (IMBP) can be applied to explain or predict the intention of teachers to use DLMs. The research also has shown that self-efficacy and attitudes and, to a lesser extent, perceived subjective norm, influenced the intention to use DLMs. To gain more insight into how to promote the use of DLMs, it was examined whether school leaders through ICT policy and professionalization activities affect self-efficacy, attitude and subjective norm and, thus, the (intention) to use these. A questionnaire was administered by TNS/NIPO with a response of 543 teachers from primary, secondary and vocational education. Two relevant dimensions of transformative leadership emerged: vision and intellectual stimulation. These dimensions influenced teachers' attitude, subjective norm and self-efficacy via ICT policy and professionalization activities. Attitude, subjective norm and self-efficacy were predictors of the use of DLMs in the pedagogical practice of teachers.</t>
  </si>
  <si>
    <t>[Vermeulen, M.] Lerarenuniversitei, Heerlen, Netherlands; [Van Acker, F.; van Buuren, H.] Open Univ, Fac Psychol, Heerlen, Netherlands; [Kreijns, K.] Open Univ, Wetenschappelijk Ctr Lerarenonderzoek LOOK, Heerlen, Netherlands</t>
  </si>
  <si>
    <t>Vermeulen, M (corresponding author), Lerarenuniversitei, Heerlen, Netherlands.</t>
  </si>
  <si>
    <t>Van Acker, Frederik/0000-0003-2002-7297</t>
  </si>
  <si>
    <t>VOR-VFO</t>
  </si>
  <si>
    <t>EINDHOVEN</t>
  </si>
  <si>
    <t>P/A EINDHOVEN SCH EDUC, DR P DEN BROK, POSTBUS 513, EINDHOVEN, 5600 MB, NETHERLANDS</t>
  </si>
  <si>
    <t>0165-0645</t>
  </si>
  <si>
    <t>PEDAGOG STUD</t>
  </si>
  <si>
    <t>Pedagog. Stud.</t>
  </si>
  <si>
    <t>AM7VK</t>
  </si>
  <si>
    <t>WOS:000340076600001</t>
  </si>
  <si>
    <t>Drug development in NZ: can a country be a cluster?</t>
  </si>
  <si>
    <t>drug development; policy; expertise; knowledge management; innovation</t>
  </si>
  <si>
    <t>INNOVATION; POLICY; BIOTECHNOLOGY; PRICE</t>
  </si>
  <si>
    <t>The aims of this research were to assess New Zealand's (NZ) growing drug development industry, and compare it with drug development and biotechnology clusters overseas. This article presents the results of questionnaires administered dutring interviews with 60 senior people representing the industry. It narrates their expertise, knowledge management, and innovative behaviors. NZ's industry comprises highly qualified, very experienced, and motivated people. Their organizations have particular expertise in drug discovery, which has arisen from long-term government support for biomedical research. There is also significant expertise in early-stage clinical development and contract clinical research. Knowledge sharing was rated as better within organizations than externally. The participants gave the highest ratings of their organizations' innovative performance to solving problems that had caused others difficulty, teamwork and having new ideas; they prefer informal methods of knowledge acquisition. These factors may reflect the NZ approach of applying ingenuity to solve problems and preference for casual and internal knowledge sharing. NZ has a hub of drug development activity; however, its size, limited resources, and remoteness from major markets may limit the development of a complete pharmaceutical industry. NZ could be promoted as a unique country cluster offering niche areas of expertise especially in drug discovery and clinical research. Drug Dev Res 73: 5158, 2012. (c) 2011 Wiley Periodicals, Inc.</t>
  </si>
  <si>
    <t>Babar, Zaheer-Ud-Din/AFQ-8221-2022; Garg, Sanjay/B-2516-2012</t>
  </si>
  <si>
    <t>Babar, Zaheer-Ud-Din/0000-0003-1051-3240; Garg, Sanjay/0000-0001-7253-2629</t>
  </si>
  <si>
    <t>Foundation for Research, Science and Technology (FRST TIF); Foundation for Research, Science and Technology scholarship</t>
  </si>
  <si>
    <t>Grant sponsor: Foundation for Research, Science and Technology (FRST TIF).; Michelle Lockhart has received a Foundation for Research, Science and Technology scholarship to enable her to conduct this research. The authors thank Professor Sally Davenport for her comments on the manuscript.</t>
  </si>
  <si>
    <t>1098-2299</t>
  </si>
  <si>
    <t>10.1002/ddr.20489</t>
  </si>
  <si>
    <t>900FY</t>
  </si>
  <si>
    <t>WOS:000300873200007</t>
  </si>
  <si>
    <t>Lyashenko, OM; Boiko, ZM</t>
  </si>
  <si>
    <t>Lyashenko, O. M.; Boiko, Z. M.</t>
  </si>
  <si>
    <t>AN APPROACH TO STUDYING THE INFLUENCE OF SECTORAL MARKET STRUCTURE UPON INNOVATIVE ACTIVITY OF ENTERPRISES</t>
  </si>
  <si>
    <t>ACTUAL PROBLEMS OF ECONOMICS</t>
  </si>
  <si>
    <t>Ukrainian</t>
  </si>
  <si>
    <t>innovative activity, innovative behavior; stimulus towards innovations, enterprises' technological capacities, competitive policy, sectoral markets organization, market structure</t>
  </si>
  <si>
    <t>The article basing on the detailed analysis of the theoretical grounds of sectoral markets organization develops an approach to studying the influence of the sectoral market structure upon the innovative activity of enterprises. Directions for improvement of the state competitive policy regarding the stimulation of the industrial enterprises towards the intensive innovative activity are offered. It is determined that at the current stage the research of the mutual influence between the market structure indices and R&amp;D performance indices of industrial enterprises is required.</t>
  </si>
  <si>
    <t>Ternopil Natl Econom Univ, Dept Int Econom Partnership, UA-46000 Ternopl, Ukraine</t>
  </si>
  <si>
    <t>Ministry of Education &amp; Science of Ukraine; Western Ukrainian National University</t>
  </si>
  <si>
    <t>Lyashenko, OM (corresponding author), Ternopil Natl Econom Univ, Dept Int Econom Partnership, 11 Lvovskaya Vul, UA-46000 Ternopl, Ukraine.</t>
  </si>
  <si>
    <t>Lyashenko, Oksana/AAZ-1776-2021</t>
  </si>
  <si>
    <t>Lyashenko, Oksana/0000-0001-5489-815X</t>
  </si>
  <si>
    <t>NATL ACAD MANAGEMENT</t>
  </si>
  <si>
    <t>KYIV</t>
  </si>
  <si>
    <t>VUL PANASA MYMOGO 26, KYIV, 01011, UKRAINE</t>
  </si>
  <si>
    <t>1993-6788</t>
  </si>
  <si>
    <t>ACTUAL PROBL ECON</t>
  </si>
  <si>
    <t>Actual Probl. Econ.</t>
  </si>
  <si>
    <t>596LN</t>
  </si>
  <si>
    <t>WOS:000277686600004</t>
  </si>
  <si>
    <t>Hartwich, F</t>
  </si>
  <si>
    <t>Hartwich, Frank</t>
  </si>
  <si>
    <t>Rural innovation networks: from knowledge to development</t>
  </si>
  <si>
    <t>social networks; innovation; agriculture; Switzerland</t>
  </si>
  <si>
    <t>SWITZERLAND; ADOPTION</t>
  </si>
  <si>
    <t>When do agricultural producers invest in new harvesting technology, change the rotation of crop and fertilisation, reorient their production or use new marketing channels'? Over the last years the use of advanced knowledge and technology in agriculture has become more and more important. Farmers,as well as agro-industry companies that provide agricultural input or buy, process and market agricultural products, are forced to innovate; otherwise they would not stand a chance against competitors in local and international markets. Meanwhile the wheel of technical change seems to be spinning faster and faster and for farmers, rural communities and entire regions it is becoming more and more difficult to keep up with the pace. But how do famers and the agricultural sector in general gain and use new knowledge and technologies? Is it enough to have the agricultural adviser visiting the farm or to read through professional journals? New insights from the field of innovation studies indicate that this is, in fact, not enough. Rather, a range of factors must come together simultaneously: the innovations must be profitable and easily perceived as such, there must be sufficient economic and socio-psychological capacity to adopt them and conducive political and institutional framework conditions must be in place to enable the creation and use of innovations. The social connectivity between the famers and also with various in the agro-industry and in research and development is an important parameter in determining the innovative behaviour of farmers. The rule is: he who networks is more innovative..</t>
  </si>
  <si>
    <t>Schweizer Hsch Landwirtschaft SHL, CH-3052 Zollikofen, Switzerland</t>
  </si>
  <si>
    <t>Hartwich, F (corresponding author), Schweizer Hsch Landwirtschaft SHL, CH-3052 Zollikofen, Switzerland.</t>
  </si>
  <si>
    <t>frank.hartwich@bfh.ch</t>
  </si>
  <si>
    <t>1022-663X</t>
  </si>
  <si>
    <t>Agrarforschung</t>
  </si>
  <si>
    <t>459HI</t>
  </si>
  <si>
    <t>WOS:000267091800003</t>
  </si>
  <si>
    <t>Braun, G</t>
  </si>
  <si>
    <t>Braun, Gerald</t>
  </si>
  <si>
    <t>The Myth of Traditionalism in Poor Societies</t>
  </si>
  <si>
    <t>JOURNAL OF AGRICULTURE AND RURAL DEVELOPMENT IN THE TROPICS AND SUBTROPICS</t>
  </si>
  <si>
    <t>thesis of traditionalism; innovative behavior; cultural norms; Third World development policy</t>
  </si>
  <si>
    <t>Conservative and innovative behaviors exist parallel in all societies. The behavior of people living in Third World countries can be divided into three categories: the traditionalist, the rationalist and the 'modern man'. It is obvious to think that traditional behavior has to be modernized in order to develop the country. But theoretical as well as empirical evidence show that it is necessary to invert the thesis of traditionalism. Therefore it is necessary to analyze the influence of culture on the innovative behavior of a social group. In the text the author makes suppositions regarding the missing innovation adaptations in Third World countries.</t>
  </si>
  <si>
    <t>Univ Rostock, Inst Entrepreneurship &amp; Reg Dev, D-2500 Rostock 1, Germany</t>
  </si>
  <si>
    <t>Braun, G (corresponding author), Univ Rostock, Inst Entrepreneurship &amp; Reg Dev, D-2500 Rostock 1, Germany.</t>
  </si>
  <si>
    <t>gerald.braun@hie-ro.de</t>
  </si>
  <si>
    <t>KASSEL UNIV PRESS GMBH</t>
  </si>
  <si>
    <t>KASSEL</t>
  </si>
  <si>
    <t>DIAGONALE 10, D-34127 KASSEL, GERMANY</t>
  </si>
  <si>
    <t>1612-9830</t>
  </si>
  <si>
    <t>J AGR RURAL DEV TROP</t>
  </si>
  <si>
    <t>J. Agric. Rural Dev. Trop. Subtrop.</t>
  </si>
  <si>
    <t>617QA</t>
  </si>
  <si>
    <t>WOS:000279294700005</t>
  </si>
  <si>
    <t>Fujii, D; Huffman, C</t>
  </si>
  <si>
    <t>Fujii, Dmitri; Huffman, Curtis</t>
  </si>
  <si>
    <t>The fiscal incentives policies on Mexican firms, 2001-2005</t>
  </si>
  <si>
    <t>INVESTIGACION ECONOMICA</t>
  </si>
  <si>
    <t>fiscal incentives; technological capabilities; Mexican industry</t>
  </si>
  <si>
    <t>Our study focuses on the impacts of fiscal incentives, as an instrument of public policy for local industries, on Mexican firms during previous years. The analysis departs from an identification of the main public policy strategies in Mexico in terms of technological development, focusing our attention on policies of fiscal incentives as instruments for such strategies. We review in detail the application of resources from policies of fiscal incentives on supported firms. In particular, we focus our attention on a proposed division for Mexican industry: High-Tech and Low-Tech firms, which is based on firms' ability to develop technological capabilities, and we conclude that existing policies of fiscal incentives are not necessarily designed for those firms (High-Tech ones) that are more able to exploit the received resources in terms of innovation or technological progress. Additionally, we argue that existing policies are disperse, which limits the impact that the public policy for local industries could have on technological development and innovative behavior of Mexican firms.</t>
  </si>
  <si>
    <t>[Fujii, Dmitri; Huffman, Curtis] Univ Nacl Autonoma Mexico, Mexico City 04510, DF, Mexico</t>
  </si>
  <si>
    <t>Universidad Nacional Autonoma de Mexico</t>
  </si>
  <si>
    <t>Fujii, D (corresponding author), Univ Nacl Autonoma Mexico, Mexico City 04510, DF, Mexico.</t>
  </si>
  <si>
    <t>dmitri.fujii@gmail.com; curtis_huffuman@yahoo.com.mx</t>
  </si>
  <si>
    <t>UNIV NACIONAL AUTONOMA MEXICO, FAC ECONOMIA</t>
  </si>
  <si>
    <t>MEXICO</t>
  </si>
  <si>
    <t>CIRCUITO INTERIOR S-N EDIFICIO B, PRIMER PISO, CIUDAD UNIV, MEXICO, DISTRITO FEDERAL 04510, MEXICO</t>
  </si>
  <si>
    <t>0185-1667</t>
  </si>
  <si>
    <t>INVEST ECON-MEX</t>
  </si>
  <si>
    <t>Investig. Econ.</t>
  </si>
  <si>
    <t>302XL</t>
  </si>
  <si>
    <t>WOS:000256003200005</t>
  </si>
  <si>
    <t>Ceci, A; De Marchi, M; Rocchi, M</t>
  </si>
  <si>
    <t>Ceci, Anna; De Marchi, Mario; Rocchi, Maurizio</t>
  </si>
  <si>
    <t>A note on innovation in the chemical industry in Italy</t>
  </si>
  <si>
    <t>In our analysis we have recalled the general results of recent studies on innovation according to which innovation within the manufacturing industry is a complex phenomenon which does not lend itself to description or explanation utilising simplistic analytical models. We have then taken into account clues garnered from various descriptions of the innovative behaviour of companies Utilising several indicators of how innovative they are. Our results confirm the belief that notable differences exist between the two sub-sectors into which the chemical industry is divided: pharmaceutical and basic chemicals. Regarding the policy implications of our research, the close correlation between patents and basic research expenditure suggests that the Italian Fund for Basic Research might play a useful role in promoting innovation in the chemical industry.</t>
  </si>
  <si>
    <t>CNR, CERIS, I-00185 Rome, Italy; Italian Natl Inst Stat, Rome, Italy</t>
  </si>
  <si>
    <t>Consiglio Nazionale delle Ricerche (CNR)</t>
  </si>
  <si>
    <t>De Marchi, M (corresponding author), CNR, CERIS, Via Taurini 19, I-00185 Rome, Italy.</t>
  </si>
  <si>
    <t>demarchi@isrds.rm.cnr.it</t>
  </si>
  <si>
    <t>10.1007/s11192-006-0172-3</t>
  </si>
  <si>
    <t>114NF</t>
  </si>
  <si>
    <t>WOS:000242672200009</t>
  </si>
  <si>
    <t>MENSCH, G</t>
  </si>
  <si>
    <t>INNOVATIVE BEHAVIOR OF SMALL, MID-SIZED AND MIDDLE-LARGE BUSINESSES</t>
  </si>
  <si>
    <t>ZEITSCHRIFT FUR BETRIEBSWIRTSCHAFT</t>
  </si>
  <si>
    <t>MENSCH, G (corresponding author), INT INST MANAGEMENT &amp; VERWALTUNG,GRIEG STR 5,D-1000 BERLIN 33,FED REP GER.</t>
  </si>
  <si>
    <t>BETRIEBSWIRTSCHAFTLICHER VERLAG</t>
  </si>
  <si>
    <t>WIESBADEN</t>
  </si>
  <si>
    <t>DR TH GABLER GMBH 54 TAUNUSSTRASSE, W-6200 WIESBADEN, GERMANY</t>
  </si>
  <si>
    <t>0044-2372</t>
  </si>
  <si>
    <t>Z BETRIEBSWIRT</t>
  </si>
  <si>
    <t>GL329</t>
  </si>
  <si>
    <t>WOS:A1979GL32900007</t>
  </si>
  <si>
    <t>SHUPTRINE, FK</t>
  </si>
  <si>
    <t>IDENTIFYING INNOVATIVE BEHAVIOR PATTERNS USING CANONICAL ANALYSIS</t>
  </si>
  <si>
    <t>UNIV S CAROLINA,COLL BUSINESS ADM,COLUMBIA,SC 29208</t>
  </si>
  <si>
    <t>University of South Carolina System; University of South Carolina Columbia</t>
  </si>
  <si>
    <t>655 AVENUE OF THE AMERICAS, NEW YORK, NY 10010</t>
  </si>
  <si>
    <t>10.1016/0148-2963(77)90014-5</t>
  </si>
  <si>
    <t>EE759</t>
  </si>
  <si>
    <t>WOS:A1977EE75900004</t>
  </si>
  <si>
    <t>MOLCHO, S</t>
  </si>
  <si>
    <t>PREDICTION OF INNOVATIVE BEHAVIOR OF FARMERS IN LIGHT OF ROLE-THEORY</t>
  </si>
  <si>
    <t>MEGAMOT</t>
  </si>
  <si>
    <t>Hebrew</t>
  </si>
  <si>
    <t>HENRIETTA SZOLD INSTITUTE NAT INST RES IN BEHAV SCI</t>
  </si>
  <si>
    <t>JERUSALEM</t>
  </si>
  <si>
    <t>9 COLUMBIA STREET KIRYAT MENACHEM, JERUSALEM 96 583, ISRAEL</t>
  </si>
  <si>
    <t>0025-8679</t>
  </si>
  <si>
    <t>Psychology, Biological; Social Sciences, Interdisciplinary</t>
  </si>
  <si>
    <t>BT134</t>
  </si>
  <si>
    <t>WOS:A1976BT13400002</t>
  </si>
  <si>
    <t>SHUPTRIN.FK</t>
  </si>
  <si>
    <t>INVESTIGATION OF RELATIONSHIP BETWEEN ROLE COMMITMENT AND INNOVATIVE BEHAVIOR IN UNIVERSITY PROFESSORS</t>
  </si>
  <si>
    <t>JOURNAL OF ECONOMICS AND BUSINESS</t>
  </si>
  <si>
    <t>UNIV S CAROLINA, COLUMBIA, SC 29208 USA</t>
  </si>
  <si>
    <t>0148-6195</t>
  </si>
  <si>
    <t>J ECON BUS</t>
  </si>
  <si>
    <t>J. Econ. Bus.</t>
  </si>
  <si>
    <t>Business, Finance</t>
  </si>
  <si>
    <t>T2652</t>
  </si>
  <si>
    <t>WOS:A1974T265200010</t>
  </si>
  <si>
    <t>FRECH, HW</t>
  </si>
  <si>
    <t>INNOVATIVE BEHAVIOR AND TEACHER TRAINING</t>
  </si>
  <si>
    <t>BILDUNG UND ERZIEHUNG</t>
  </si>
  <si>
    <t>MAX PLANCK INST BILDUNGSFORSCH,BERLIN 31,WEST GERMANY</t>
  </si>
  <si>
    <t>0006-2456</t>
  </si>
  <si>
    <t>BILD ERZIEH</t>
  </si>
  <si>
    <t>10.7788/bue-1972-0105</t>
  </si>
  <si>
    <t>L8330</t>
  </si>
  <si>
    <t>WOS:A1972L833000004</t>
  </si>
  <si>
    <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</si>
</sst>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0"/>
      <name val="Arial"/>
    </font>
    <font>
      <b/>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301"/>
  <sheetViews>
    <sheetView tabSelected="1" workbookViewId="0">
      <selection activeCell="U29" sqref="U29"/>
    </sheetView>
  </sheetViews>
  <sheetFormatPr defaultRowHeight="13.2" x14ac:dyDescent="0.25"/>
  <sheetData>
    <row r="1" spans="1:72" s="1" customForma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row>
    <row r="2" spans="1:72" x14ac:dyDescent="0.25">
      <c r="A2" t="s">
        <v>72</v>
      </c>
      <c r="B2" t="s">
        <v>73</v>
      </c>
      <c r="C2" t="s">
        <v>74</v>
      </c>
      <c r="D2" t="s">
        <v>74</v>
      </c>
      <c r="E2" t="s">
        <v>74</v>
      </c>
      <c r="F2" t="s">
        <v>73</v>
      </c>
      <c r="G2" t="s">
        <v>74</v>
      </c>
      <c r="H2" t="s">
        <v>74</v>
      </c>
      <c r="I2" t="s">
        <v>75</v>
      </c>
      <c r="J2" t="s">
        <v>76</v>
      </c>
      <c r="K2" t="s">
        <v>74</v>
      </c>
      <c r="L2" t="s">
        <v>74</v>
      </c>
      <c r="M2" t="s">
        <v>77</v>
      </c>
      <c r="N2" t="s">
        <v>78</v>
      </c>
      <c r="O2" t="s">
        <v>74</v>
      </c>
      <c r="P2" t="s">
        <v>74</v>
      </c>
      <c r="Q2" t="s">
        <v>74</v>
      </c>
      <c r="R2" t="s">
        <v>74</v>
      </c>
      <c r="S2" t="s">
        <v>74</v>
      </c>
      <c r="T2" t="s">
        <v>74</v>
      </c>
      <c r="U2" t="s">
        <v>79</v>
      </c>
      <c r="V2" t="s">
        <v>80</v>
      </c>
      <c r="W2" t="s">
        <v>81</v>
      </c>
      <c r="X2" t="s">
        <v>82</v>
      </c>
      <c r="Y2" t="s">
        <v>83</v>
      </c>
      <c r="Z2" t="s">
        <v>74</v>
      </c>
      <c r="AA2" t="s">
        <v>74</v>
      </c>
      <c r="AB2" t="s">
        <v>74</v>
      </c>
      <c r="AC2" t="s">
        <v>74</v>
      </c>
      <c r="AD2" t="s">
        <v>74</v>
      </c>
      <c r="AE2" t="s">
        <v>74</v>
      </c>
      <c r="AF2" t="s">
        <v>74</v>
      </c>
      <c r="AG2">
        <v>69</v>
      </c>
      <c r="AH2">
        <v>2774</v>
      </c>
      <c r="AI2">
        <v>2939</v>
      </c>
      <c r="AJ2">
        <v>66</v>
      </c>
      <c r="AK2">
        <v>1056</v>
      </c>
      <c r="AL2" t="s">
        <v>84</v>
      </c>
      <c r="AM2" t="s">
        <v>85</v>
      </c>
      <c r="AN2" t="s">
        <v>86</v>
      </c>
      <c r="AO2" t="s">
        <v>87</v>
      </c>
      <c r="AP2" t="s">
        <v>88</v>
      </c>
      <c r="AQ2" t="s">
        <v>74</v>
      </c>
      <c r="AR2" t="s">
        <v>89</v>
      </c>
      <c r="AS2" t="s">
        <v>90</v>
      </c>
      <c r="AT2" t="s">
        <v>91</v>
      </c>
      <c r="AU2">
        <v>1994</v>
      </c>
      <c r="AV2">
        <v>37</v>
      </c>
      <c r="AW2">
        <v>3</v>
      </c>
      <c r="AX2" t="s">
        <v>74</v>
      </c>
      <c r="AY2" t="s">
        <v>74</v>
      </c>
      <c r="AZ2" t="s">
        <v>74</v>
      </c>
      <c r="BA2" t="s">
        <v>74</v>
      </c>
      <c r="BB2">
        <v>580</v>
      </c>
      <c r="BC2">
        <v>607</v>
      </c>
      <c r="BD2" t="s">
        <v>74</v>
      </c>
      <c r="BE2" t="s">
        <v>92</v>
      </c>
      <c r="BF2" t="str">
        <f>HYPERLINK("http://dx.doi.org/10.2307/256701","http://dx.doi.org/10.2307/256701")</f>
        <v>http://dx.doi.org/10.2307/256701</v>
      </c>
      <c r="BG2" t="s">
        <v>74</v>
      </c>
      <c r="BH2" t="s">
        <v>74</v>
      </c>
      <c r="BI2">
        <v>28</v>
      </c>
      <c r="BJ2" t="s">
        <v>93</v>
      </c>
      <c r="BK2" t="s">
        <v>94</v>
      </c>
      <c r="BL2" t="s">
        <v>95</v>
      </c>
      <c r="BM2" t="s">
        <v>96</v>
      </c>
      <c r="BN2" t="s">
        <v>74</v>
      </c>
      <c r="BO2" t="s">
        <v>74</v>
      </c>
      <c r="BP2" t="s">
        <v>74</v>
      </c>
      <c r="BQ2" t="s">
        <v>74</v>
      </c>
      <c r="BR2" t="s">
        <v>97</v>
      </c>
      <c r="BS2" t="s">
        <v>98</v>
      </c>
      <c r="BT2" t="str">
        <f>HYPERLINK("https%3A%2F%2Fwww.webofscience.com%2Fwos%2Fwoscc%2Ffull-record%2FWOS:A1994NN57600006","View Full Record in Web of Science")</f>
        <v>View Full Record in Web of Science</v>
      </c>
    </row>
    <row r="3" spans="1:72" x14ac:dyDescent="0.25">
      <c r="A3" t="s">
        <v>72</v>
      </c>
      <c r="B3" t="s">
        <v>99</v>
      </c>
      <c r="C3" t="s">
        <v>74</v>
      </c>
      <c r="D3" t="s">
        <v>74</v>
      </c>
      <c r="E3" t="s">
        <v>74</v>
      </c>
      <c r="F3" t="s">
        <v>99</v>
      </c>
      <c r="G3" t="s">
        <v>74</v>
      </c>
      <c r="H3" t="s">
        <v>74</v>
      </c>
      <c r="I3" t="s">
        <v>100</v>
      </c>
      <c r="J3" t="s">
        <v>76</v>
      </c>
      <c r="K3" t="s">
        <v>74</v>
      </c>
      <c r="L3" t="s">
        <v>74</v>
      </c>
      <c r="M3" t="s">
        <v>77</v>
      </c>
      <c r="N3" t="s">
        <v>78</v>
      </c>
      <c r="O3" t="s">
        <v>74</v>
      </c>
      <c r="P3" t="s">
        <v>74</v>
      </c>
      <c r="Q3" t="s">
        <v>74</v>
      </c>
      <c r="R3" t="s">
        <v>74</v>
      </c>
      <c r="S3" t="s">
        <v>74</v>
      </c>
      <c r="T3" t="s">
        <v>74</v>
      </c>
      <c r="U3" t="s">
        <v>101</v>
      </c>
      <c r="V3" t="s">
        <v>102</v>
      </c>
      <c r="W3" t="s">
        <v>103</v>
      </c>
      <c r="X3" t="s">
        <v>104</v>
      </c>
      <c r="Y3" t="s">
        <v>105</v>
      </c>
      <c r="Z3" t="s">
        <v>106</v>
      </c>
      <c r="AA3" t="s">
        <v>107</v>
      </c>
      <c r="AB3" t="s">
        <v>108</v>
      </c>
      <c r="AC3" t="s">
        <v>74</v>
      </c>
      <c r="AD3" t="s">
        <v>74</v>
      </c>
      <c r="AE3" t="s">
        <v>74</v>
      </c>
      <c r="AF3" t="s">
        <v>74</v>
      </c>
      <c r="AG3">
        <v>57</v>
      </c>
      <c r="AH3">
        <v>794</v>
      </c>
      <c r="AI3">
        <v>829</v>
      </c>
      <c r="AJ3">
        <v>44</v>
      </c>
      <c r="AK3">
        <v>520</v>
      </c>
      <c r="AL3" t="s">
        <v>84</v>
      </c>
      <c r="AM3" t="s">
        <v>85</v>
      </c>
      <c r="AN3" t="s">
        <v>86</v>
      </c>
      <c r="AO3" t="s">
        <v>87</v>
      </c>
      <c r="AP3" t="s">
        <v>88</v>
      </c>
      <c r="AQ3" t="s">
        <v>74</v>
      </c>
      <c r="AR3" t="s">
        <v>89</v>
      </c>
      <c r="AS3" t="s">
        <v>90</v>
      </c>
      <c r="AT3" t="s">
        <v>91</v>
      </c>
      <c r="AU3">
        <v>2004</v>
      </c>
      <c r="AV3">
        <v>47</v>
      </c>
      <c r="AW3">
        <v>3</v>
      </c>
      <c r="AX3" t="s">
        <v>74</v>
      </c>
      <c r="AY3" t="s">
        <v>74</v>
      </c>
      <c r="AZ3" t="s">
        <v>74</v>
      </c>
      <c r="BA3" t="s">
        <v>74</v>
      </c>
      <c r="BB3">
        <v>368</v>
      </c>
      <c r="BC3">
        <v>384</v>
      </c>
      <c r="BD3" t="s">
        <v>74</v>
      </c>
      <c r="BE3" t="s">
        <v>109</v>
      </c>
      <c r="BF3" t="str">
        <f>HYPERLINK("http://dx.doi.org/10.2307/20159587","http://dx.doi.org/10.2307/20159587")</f>
        <v>http://dx.doi.org/10.2307/20159587</v>
      </c>
      <c r="BG3" t="s">
        <v>74</v>
      </c>
      <c r="BH3" t="s">
        <v>74</v>
      </c>
      <c r="BI3">
        <v>17</v>
      </c>
      <c r="BJ3" t="s">
        <v>93</v>
      </c>
      <c r="BK3" t="s">
        <v>94</v>
      </c>
      <c r="BL3" t="s">
        <v>95</v>
      </c>
      <c r="BM3" t="s">
        <v>110</v>
      </c>
      <c r="BN3" t="s">
        <v>74</v>
      </c>
      <c r="BO3" t="s">
        <v>111</v>
      </c>
      <c r="BP3" t="s">
        <v>74</v>
      </c>
      <c r="BQ3" t="s">
        <v>74</v>
      </c>
      <c r="BR3" t="s">
        <v>97</v>
      </c>
      <c r="BS3" t="s">
        <v>112</v>
      </c>
      <c r="BT3" t="str">
        <f>HYPERLINK("https%3A%2F%2Fwww.webofscience.com%2Fwos%2Fwoscc%2Ffull-record%2FWOS:000222272400005","View Full Record in Web of Science")</f>
        <v>View Full Record in Web of Science</v>
      </c>
    </row>
    <row r="4" spans="1:72" x14ac:dyDescent="0.25">
      <c r="A4" t="s">
        <v>72</v>
      </c>
      <c r="B4" t="s">
        <v>113</v>
      </c>
      <c r="C4" t="s">
        <v>74</v>
      </c>
      <c r="D4" t="s">
        <v>74</v>
      </c>
      <c r="E4" t="s">
        <v>74</v>
      </c>
      <c r="F4" t="s">
        <v>114</v>
      </c>
      <c r="G4" t="s">
        <v>74</v>
      </c>
      <c r="H4" t="s">
        <v>74</v>
      </c>
      <c r="I4" t="s">
        <v>115</v>
      </c>
      <c r="J4" t="s">
        <v>76</v>
      </c>
      <c r="K4" t="s">
        <v>74</v>
      </c>
      <c r="L4" t="s">
        <v>74</v>
      </c>
      <c r="M4" t="s">
        <v>77</v>
      </c>
      <c r="N4" t="s">
        <v>78</v>
      </c>
      <c r="O4" t="s">
        <v>74</v>
      </c>
      <c r="P4" t="s">
        <v>74</v>
      </c>
      <c r="Q4" t="s">
        <v>74</v>
      </c>
      <c r="R4" t="s">
        <v>74</v>
      </c>
      <c r="S4" t="s">
        <v>74</v>
      </c>
      <c r="T4" t="s">
        <v>74</v>
      </c>
      <c r="U4" t="s">
        <v>116</v>
      </c>
      <c r="V4" t="s">
        <v>117</v>
      </c>
      <c r="W4" t="s">
        <v>118</v>
      </c>
      <c r="X4" t="s">
        <v>119</v>
      </c>
      <c r="Y4" t="s">
        <v>120</v>
      </c>
      <c r="Z4" t="s">
        <v>121</v>
      </c>
      <c r="AA4" t="s">
        <v>74</v>
      </c>
      <c r="AB4" t="s">
        <v>74</v>
      </c>
      <c r="AC4" t="s">
        <v>74</v>
      </c>
      <c r="AD4" t="s">
        <v>74</v>
      </c>
      <c r="AE4" t="s">
        <v>74</v>
      </c>
      <c r="AF4" t="s">
        <v>74</v>
      </c>
      <c r="AG4">
        <v>92</v>
      </c>
      <c r="AH4">
        <v>772</v>
      </c>
      <c r="AI4">
        <v>804</v>
      </c>
      <c r="AJ4">
        <v>40</v>
      </c>
      <c r="AK4">
        <v>557</v>
      </c>
      <c r="AL4" t="s">
        <v>84</v>
      </c>
      <c r="AM4" t="s">
        <v>85</v>
      </c>
      <c r="AN4" t="s">
        <v>86</v>
      </c>
      <c r="AO4" t="s">
        <v>87</v>
      </c>
      <c r="AP4" t="s">
        <v>74</v>
      </c>
      <c r="AQ4" t="s">
        <v>74</v>
      </c>
      <c r="AR4" t="s">
        <v>89</v>
      </c>
      <c r="AS4" t="s">
        <v>90</v>
      </c>
      <c r="AT4" t="s">
        <v>122</v>
      </c>
      <c r="AU4">
        <v>2010</v>
      </c>
      <c r="AV4">
        <v>53</v>
      </c>
      <c r="AW4">
        <v>2</v>
      </c>
      <c r="AX4" t="s">
        <v>74</v>
      </c>
      <c r="AY4" t="s">
        <v>74</v>
      </c>
      <c r="AZ4" t="s">
        <v>74</v>
      </c>
      <c r="BA4" t="s">
        <v>74</v>
      </c>
      <c r="BB4">
        <v>323</v>
      </c>
      <c r="BC4">
        <v>342</v>
      </c>
      <c r="BD4" t="s">
        <v>74</v>
      </c>
      <c r="BE4" t="s">
        <v>123</v>
      </c>
      <c r="BF4" t="str">
        <f>HYPERLINK("http://dx.doi.org/10.5465/AMJ.2010.49388995","http://dx.doi.org/10.5465/AMJ.2010.49388995")</f>
        <v>http://dx.doi.org/10.5465/AMJ.2010.49388995</v>
      </c>
      <c r="BG4" t="s">
        <v>74</v>
      </c>
      <c r="BH4" t="s">
        <v>74</v>
      </c>
      <c r="BI4">
        <v>20</v>
      </c>
      <c r="BJ4" t="s">
        <v>93</v>
      </c>
      <c r="BK4" t="s">
        <v>94</v>
      </c>
      <c r="BL4" t="s">
        <v>95</v>
      </c>
      <c r="BM4" t="s">
        <v>124</v>
      </c>
      <c r="BN4" t="s">
        <v>74</v>
      </c>
      <c r="BO4" t="s">
        <v>74</v>
      </c>
      <c r="BP4" t="s">
        <v>74</v>
      </c>
      <c r="BQ4" t="s">
        <v>74</v>
      </c>
      <c r="BR4" t="s">
        <v>97</v>
      </c>
      <c r="BS4" t="s">
        <v>125</v>
      </c>
      <c r="BT4" t="str">
        <f>HYPERLINK("https%3A%2F%2Fwww.webofscience.com%2Fwos%2Fwoscc%2Ffull-record%2FWOS:000277657300006","View Full Record in Web of Science")</f>
        <v>View Full Record in Web of Science</v>
      </c>
    </row>
    <row r="5" spans="1:72" x14ac:dyDescent="0.25">
      <c r="A5" t="s">
        <v>72</v>
      </c>
      <c r="B5" t="s">
        <v>126</v>
      </c>
      <c r="C5" t="s">
        <v>74</v>
      </c>
      <c r="D5" t="s">
        <v>74</v>
      </c>
      <c r="E5" t="s">
        <v>74</v>
      </c>
      <c r="F5" t="s">
        <v>127</v>
      </c>
      <c r="G5" t="s">
        <v>74</v>
      </c>
      <c r="H5" t="s">
        <v>128</v>
      </c>
      <c r="I5" t="s">
        <v>129</v>
      </c>
      <c r="J5" t="s">
        <v>130</v>
      </c>
      <c r="K5" t="s">
        <v>74</v>
      </c>
      <c r="L5" t="s">
        <v>74</v>
      </c>
      <c r="M5" t="s">
        <v>77</v>
      </c>
      <c r="N5" t="s">
        <v>78</v>
      </c>
      <c r="O5" t="s">
        <v>74</v>
      </c>
      <c r="P5" t="s">
        <v>74</v>
      </c>
      <c r="Q5" t="s">
        <v>74</v>
      </c>
      <c r="R5" t="s">
        <v>74</v>
      </c>
      <c r="S5" t="s">
        <v>74</v>
      </c>
      <c r="T5" t="s">
        <v>131</v>
      </c>
      <c r="U5" t="s">
        <v>132</v>
      </c>
      <c r="V5" t="s">
        <v>133</v>
      </c>
      <c r="W5" t="s">
        <v>74</v>
      </c>
      <c r="X5" t="s">
        <v>74</v>
      </c>
      <c r="Y5" t="s">
        <v>74</v>
      </c>
      <c r="Z5" t="s">
        <v>74</v>
      </c>
      <c r="AA5" t="s">
        <v>134</v>
      </c>
      <c r="AB5" t="s">
        <v>135</v>
      </c>
      <c r="AC5" t="s">
        <v>136</v>
      </c>
      <c r="AD5" t="s">
        <v>137</v>
      </c>
      <c r="AE5" t="s">
        <v>74</v>
      </c>
      <c r="AF5" t="s">
        <v>74</v>
      </c>
      <c r="AG5">
        <v>269</v>
      </c>
      <c r="AH5">
        <v>652</v>
      </c>
      <c r="AI5">
        <v>664</v>
      </c>
      <c r="AJ5">
        <v>7</v>
      </c>
      <c r="AK5">
        <v>106</v>
      </c>
      <c r="AL5" t="s">
        <v>138</v>
      </c>
      <c r="AM5" t="s">
        <v>139</v>
      </c>
      <c r="AN5" t="s">
        <v>140</v>
      </c>
      <c r="AO5" t="s">
        <v>141</v>
      </c>
      <c r="AP5" t="s">
        <v>142</v>
      </c>
      <c r="AQ5" t="s">
        <v>74</v>
      </c>
      <c r="AR5" t="s">
        <v>130</v>
      </c>
      <c r="AS5" t="s">
        <v>143</v>
      </c>
      <c r="AT5" t="s">
        <v>144</v>
      </c>
      <c r="AU5">
        <v>2013</v>
      </c>
      <c r="AV5">
        <v>128</v>
      </c>
      <c r="AW5">
        <v>15</v>
      </c>
      <c r="AX5" t="s">
        <v>74</v>
      </c>
      <c r="AY5" t="s">
        <v>74</v>
      </c>
      <c r="AZ5" t="s">
        <v>74</v>
      </c>
      <c r="BA5" t="s">
        <v>74</v>
      </c>
      <c r="BB5">
        <v>1689</v>
      </c>
      <c r="BC5">
        <v>1712</v>
      </c>
      <c r="BD5" t="s">
        <v>74</v>
      </c>
      <c r="BE5" t="s">
        <v>145</v>
      </c>
      <c r="BF5" t="str">
        <f>HYPERLINK("http://dx.doi.org/10.1161/CIR.0b013e3182a5cfb3","http://dx.doi.org/10.1161/CIR.0b013e3182a5cfb3")</f>
        <v>http://dx.doi.org/10.1161/CIR.0b013e3182a5cfb3</v>
      </c>
      <c r="BG5" t="s">
        <v>74</v>
      </c>
      <c r="BH5" t="s">
        <v>74</v>
      </c>
      <c r="BI5">
        <v>24</v>
      </c>
      <c r="BJ5" t="s">
        <v>146</v>
      </c>
      <c r="BK5" t="s">
        <v>147</v>
      </c>
      <c r="BL5" t="s">
        <v>148</v>
      </c>
      <c r="BM5" t="s">
        <v>149</v>
      </c>
      <c r="BN5">
        <v>24016455</v>
      </c>
      <c r="BO5" t="s">
        <v>74</v>
      </c>
      <c r="BP5" t="s">
        <v>150</v>
      </c>
      <c r="BQ5" t="s">
        <v>151</v>
      </c>
      <c r="BR5" t="s">
        <v>97</v>
      </c>
      <c r="BS5" t="s">
        <v>152</v>
      </c>
      <c r="BT5" t="str">
        <f>HYPERLINK("https%3A%2F%2Fwww.webofscience.com%2Fwos%2Fwoscc%2Ffull-record%2FWOS:000325345700022","View Full Record in Web of Science")</f>
        <v>View Full Record in Web of Science</v>
      </c>
    </row>
    <row r="6" spans="1:72" x14ac:dyDescent="0.25">
      <c r="A6" t="s">
        <v>72</v>
      </c>
      <c r="B6" t="s">
        <v>153</v>
      </c>
      <c r="C6" t="s">
        <v>74</v>
      </c>
      <c r="D6" t="s">
        <v>74</v>
      </c>
      <c r="E6" t="s">
        <v>74</v>
      </c>
      <c r="F6" t="s">
        <v>153</v>
      </c>
      <c r="G6" t="s">
        <v>74</v>
      </c>
      <c r="H6" t="s">
        <v>74</v>
      </c>
      <c r="I6" t="s">
        <v>154</v>
      </c>
      <c r="J6" t="s">
        <v>155</v>
      </c>
      <c r="K6" t="s">
        <v>74</v>
      </c>
      <c r="L6" t="s">
        <v>74</v>
      </c>
      <c r="M6" t="s">
        <v>77</v>
      </c>
      <c r="N6" t="s">
        <v>78</v>
      </c>
      <c r="O6" t="s">
        <v>74</v>
      </c>
      <c r="P6" t="s">
        <v>74</v>
      </c>
      <c r="Q6" t="s">
        <v>74</v>
      </c>
      <c r="R6" t="s">
        <v>74</v>
      </c>
      <c r="S6" t="s">
        <v>74</v>
      </c>
      <c r="T6" t="s">
        <v>74</v>
      </c>
      <c r="U6" t="s">
        <v>156</v>
      </c>
      <c r="V6" t="s">
        <v>157</v>
      </c>
      <c r="W6" t="s">
        <v>74</v>
      </c>
      <c r="X6" t="s">
        <v>74</v>
      </c>
      <c r="Y6" t="s">
        <v>158</v>
      </c>
      <c r="Z6" t="s">
        <v>74</v>
      </c>
      <c r="AA6" t="s">
        <v>74</v>
      </c>
      <c r="AB6" t="s">
        <v>74</v>
      </c>
      <c r="AC6" t="s">
        <v>74</v>
      </c>
      <c r="AD6" t="s">
        <v>74</v>
      </c>
      <c r="AE6" t="s">
        <v>74</v>
      </c>
      <c r="AF6" t="s">
        <v>74</v>
      </c>
      <c r="AG6">
        <v>96</v>
      </c>
      <c r="AH6">
        <v>609</v>
      </c>
      <c r="AI6">
        <v>626</v>
      </c>
      <c r="AJ6">
        <v>5</v>
      </c>
      <c r="AK6">
        <v>235</v>
      </c>
      <c r="AL6" t="s">
        <v>159</v>
      </c>
      <c r="AM6" t="s">
        <v>160</v>
      </c>
      <c r="AN6" t="s">
        <v>161</v>
      </c>
      <c r="AO6" t="s">
        <v>162</v>
      </c>
      <c r="AP6" t="s">
        <v>74</v>
      </c>
      <c r="AQ6" t="s">
        <v>74</v>
      </c>
      <c r="AR6" t="s">
        <v>163</v>
      </c>
      <c r="AS6" t="s">
        <v>164</v>
      </c>
      <c r="AT6" t="s">
        <v>165</v>
      </c>
      <c r="AU6">
        <v>1994</v>
      </c>
      <c r="AV6">
        <v>31</v>
      </c>
      <c r="AW6">
        <v>3</v>
      </c>
      <c r="AX6" t="s">
        <v>74</v>
      </c>
      <c r="AY6" t="s">
        <v>74</v>
      </c>
      <c r="AZ6" t="s">
        <v>74</v>
      </c>
      <c r="BA6" t="s">
        <v>74</v>
      </c>
      <c r="BB6">
        <v>405</v>
      </c>
      <c r="BC6">
        <v>431</v>
      </c>
      <c r="BD6" t="s">
        <v>74</v>
      </c>
      <c r="BE6" t="s">
        <v>166</v>
      </c>
      <c r="BF6" t="str">
        <f>HYPERLINK("http://dx.doi.org/10.1111/j.1467-6486.1994.tb00624.x","http://dx.doi.org/10.1111/j.1467-6486.1994.tb00624.x")</f>
        <v>http://dx.doi.org/10.1111/j.1467-6486.1994.tb00624.x</v>
      </c>
      <c r="BG6" t="s">
        <v>74</v>
      </c>
      <c r="BH6" t="s">
        <v>74</v>
      </c>
      <c r="BI6">
        <v>27</v>
      </c>
      <c r="BJ6" t="s">
        <v>93</v>
      </c>
      <c r="BK6" t="s">
        <v>94</v>
      </c>
      <c r="BL6" t="s">
        <v>95</v>
      </c>
      <c r="BM6" t="s">
        <v>167</v>
      </c>
      <c r="BN6" t="s">
        <v>74</v>
      </c>
      <c r="BO6" t="s">
        <v>74</v>
      </c>
      <c r="BP6" t="s">
        <v>74</v>
      </c>
      <c r="BQ6" t="s">
        <v>74</v>
      </c>
      <c r="BR6" t="s">
        <v>97</v>
      </c>
      <c r="BS6" t="s">
        <v>168</v>
      </c>
      <c r="BT6" t="str">
        <f>HYPERLINK("https%3A%2F%2Fwww.webofscience.com%2Fwos%2Fwoscc%2Ffull-record%2FWOS:A1994NQ74100005","View Full Record in Web of Science")</f>
        <v>View Full Record in Web of Science</v>
      </c>
    </row>
    <row r="7" spans="1:72" x14ac:dyDescent="0.25">
      <c r="A7" t="s">
        <v>72</v>
      </c>
      <c r="B7" t="s">
        <v>169</v>
      </c>
      <c r="C7" t="s">
        <v>74</v>
      </c>
      <c r="D7" t="s">
        <v>74</v>
      </c>
      <c r="E7" t="s">
        <v>74</v>
      </c>
      <c r="F7" t="s">
        <v>170</v>
      </c>
      <c r="G7" t="s">
        <v>74</v>
      </c>
      <c r="H7" t="s">
        <v>74</v>
      </c>
      <c r="I7" t="s">
        <v>171</v>
      </c>
      <c r="J7" t="s">
        <v>76</v>
      </c>
      <c r="K7" t="s">
        <v>74</v>
      </c>
      <c r="L7" t="s">
        <v>74</v>
      </c>
      <c r="M7" t="s">
        <v>77</v>
      </c>
      <c r="N7" t="s">
        <v>78</v>
      </c>
      <c r="O7" t="s">
        <v>74</v>
      </c>
      <c r="P7" t="s">
        <v>74</v>
      </c>
      <c r="Q7" t="s">
        <v>74</v>
      </c>
      <c r="R7" t="s">
        <v>74</v>
      </c>
      <c r="S7" t="s">
        <v>74</v>
      </c>
      <c r="T7" t="s">
        <v>74</v>
      </c>
      <c r="U7" t="s">
        <v>172</v>
      </c>
      <c r="V7" t="s">
        <v>173</v>
      </c>
      <c r="W7" t="s">
        <v>174</v>
      </c>
      <c r="X7" t="s">
        <v>175</v>
      </c>
      <c r="Y7" t="s">
        <v>176</v>
      </c>
      <c r="Z7" t="s">
        <v>177</v>
      </c>
      <c r="AA7" t="s">
        <v>178</v>
      </c>
      <c r="AB7" t="s">
        <v>179</v>
      </c>
      <c r="AC7" t="s">
        <v>74</v>
      </c>
      <c r="AD7" t="s">
        <v>74</v>
      </c>
      <c r="AE7" t="s">
        <v>74</v>
      </c>
      <c r="AF7" t="s">
        <v>74</v>
      </c>
      <c r="AG7">
        <v>76</v>
      </c>
      <c r="AH7">
        <v>478</v>
      </c>
      <c r="AI7">
        <v>505</v>
      </c>
      <c r="AJ7">
        <v>19</v>
      </c>
      <c r="AK7">
        <v>309</v>
      </c>
      <c r="AL7" t="s">
        <v>84</v>
      </c>
      <c r="AM7" t="s">
        <v>85</v>
      </c>
      <c r="AN7" t="s">
        <v>86</v>
      </c>
      <c r="AO7" t="s">
        <v>87</v>
      </c>
      <c r="AP7" t="s">
        <v>88</v>
      </c>
      <c r="AQ7" t="s">
        <v>74</v>
      </c>
      <c r="AR7" t="s">
        <v>89</v>
      </c>
      <c r="AS7" t="s">
        <v>90</v>
      </c>
      <c r="AT7" t="s">
        <v>91</v>
      </c>
      <c r="AU7">
        <v>2009</v>
      </c>
      <c r="AV7">
        <v>52</v>
      </c>
      <c r="AW7">
        <v>3</v>
      </c>
      <c r="AX7" t="s">
        <v>74</v>
      </c>
      <c r="AY7" t="s">
        <v>74</v>
      </c>
      <c r="AZ7" t="s">
        <v>74</v>
      </c>
      <c r="BA7" t="s">
        <v>74</v>
      </c>
      <c r="BB7">
        <v>489</v>
      </c>
      <c r="BC7">
        <v>505</v>
      </c>
      <c r="BD7" t="s">
        <v>74</v>
      </c>
      <c r="BE7" t="s">
        <v>180</v>
      </c>
      <c r="BF7" t="str">
        <f>HYPERLINK("http://dx.doi.org/10.5465/AMJ.2009.41330806","http://dx.doi.org/10.5465/AMJ.2009.41330806")</f>
        <v>http://dx.doi.org/10.5465/AMJ.2009.41330806</v>
      </c>
      <c r="BG7" t="s">
        <v>74</v>
      </c>
      <c r="BH7" t="s">
        <v>74</v>
      </c>
      <c r="BI7">
        <v>17</v>
      </c>
      <c r="BJ7" t="s">
        <v>93</v>
      </c>
      <c r="BK7" t="s">
        <v>94</v>
      </c>
      <c r="BL7" t="s">
        <v>95</v>
      </c>
      <c r="BM7" t="s">
        <v>181</v>
      </c>
      <c r="BN7" t="s">
        <v>74</v>
      </c>
      <c r="BO7" t="s">
        <v>74</v>
      </c>
      <c r="BP7" t="s">
        <v>74</v>
      </c>
      <c r="BQ7" t="s">
        <v>74</v>
      </c>
      <c r="BR7" t="s">
        <v>97</v>
      </c>
      <c r="BS7" t="s">
        <v>182</v>
      </c>
      <c r="BT7" t="str">
        <f>HYPERLINK("https%3A%2F%2Fwww.webofscience.com%2Fwos%2Fwoscc%2Ffull-record%2FWOS:000267355100004","View Full Record in Web of Science")</f>
        <v>View Full Record in Web of Science</v>
      </c>
    </row>
    <row r="8" spans="1:72" x14ac:dyDescent="0.25">
      <c r="A8" t="s">
        <v>72</v>
      </c>
      <c r="B8" t="s">
        <v>183</v>
      </c>
      <c r="C8" t="s">
        <v>74</v>
      </c>
      <c r="D8" t="s">
        <v>74</v>
      </c>
      <c r="E8" t="s">
        <v>74</v>
      </c>
      <c r="F8" t="s">
        <v>184</v>
      </c>
      <c r="G8" t="s">
        <v>74</v>
      </c>
      <c r="H8" t="s">
        <v>74</v>
      </c>
      <c r="I8" t="s">
        <v>185</v>
      </c>
      <c r="J8" t="s">
        <v>186</v>
      </c>
      <c r="K8" t="s">
        <v>74</v>
      </c>
      <c r="L8" t="s">
        <v>74</v>
      </c>
      <c r="M8" t="s">
        <v>77</v>
      </c>
      <c r="N8" t="s">
        <v>78</v>
      </c>
      <c r="O8" t="s">
        <v>74</v>
      </c>
      <c r="P8" t="s">
        <v>74</v>
      </c>
      <c r="Q8" t="s">
        <v>74</v>
      </c>
      <c r="R8" t="s">
        <v>74</v>
      </c>
      <c r="S8" t="s">
        <v>74</v>
      </c>
      <c r="T8" t="s">
        <v>187</v>
      </c>
      <c r="U8" t="s">
        <v>188</v>
      </c>
      <c r="V8" t="s">
        <v>189</v>
      </c>
      <c r="W8" t="s">
        <v>190</v>
      </c>
      <c r="X8" t="s">
        <v>191</v>
      </c>
      <c r="Y8" t="s">
        <v>192</v>
      </c>
      <c r="Z8" t="s">
        <v>193</v>
      </c>
      <c r="AA8" t="s">
        <v>74</v>
      </c>
      <c r="AB8" t="s">
        <v>74</v>
      </c>
      <c r="AC8" t="s">
        <v>74</v>
      </c>
      <c r="AD8" t="s">
        <v>74</v>
      </c>
      <c r="AE8" t="s">
        <v>74</v>
      </c>
      <c r="AF8" t="s">
        <v>74</v>
      </c>
      <c r="AG8">
        <v>123</v>
      </c>
      <c r="AH8">
        <v>471</v>
      </c>
      <c r="AI8">
        <v>502</v>
      </c>
      <c r="AJ8">
        <v>31</v>
      </c>
      <c r="AK8">
        <v>442</v>
      </c>
      <c r="AL8" t="s">
        <v>194</v>
      </c>
      <c r="AM8" t="s">
        <v>195</v>
      </c>
      <c r="AN8" t="s">
        <v>196</v>
      </c>
      <c r="AO8" t="s">
        <v>197</v>
      </c>
      <c r="AP8" t="s">
        <v>74</v>
      </c>
      <c r="AQ8" t="s">
        <v>74</v>
      </c>
      <c r="AR8" t="s">
        <v>198</v>
      </c>
      <c r="AS8" t="s">
        <v>199</v>
      </c>
      <c r="AT8" t="s">
        <v>200</v>
      </c>
      <c r="AU8">
        <v>2011</v>
      </c>
      <c r="AV8">
        <v>96</v>
      </c>
      <c r="AW8">
        <v>2</v>
      </c>
      <c r="AX8" t="s">
        <v>74</v>
      </c>
      <c r="AY8" t="s">
        <v>74</v>
      </c>
      <c r="AZ8" t="s">
        <v>74</v>
      </c>
      <c r="BA8" t="s">
        <v>74</v>
      </c>
      <c r="BB8">
        <v>277</v>
      </c>
      <c r="BC8">
        <v>293</v>
      </c>
      <c r="BD8" t="s">
        <v>74</v>
      </c>
      <c r="BE8" t="s">
        <v>201</v>
      </c>
      <c r="BF8" t="str">
        <f>HYPERLINK("http://dx.doi.org/10.1037/a0020952","http://dx.doi.org/10.1037/a0020952")</f>
        <v>http://dx.doi.org/10.1037/a0020952</v>
      </c>
      <c r="BG8" t="s">
        <v>74</v>
      </c>
      <c r="BH8" t="s">
        <v>74</v>
      </c>
      <c r="BI8">
        <v>17</v>
      </c>
      <c r="BJ8" t="s">
        <v>202</v>
      </c>
      <c r="BK8" t="s">
        <v>94</v>
      </c>
      <c r="BL8" t="s">
        <v>203</v>
      </c>
      <c r="BM8" t="s">
        <v>204</v>
      </c>
      <c r="BN8">
        <v>20954756</v>
      </c>
      <c r="BO8" t="s">
        <v>74</v>
      </c>
      <c r="BP8" t="s">
        <v>74</v>
      </c>
      <c r="BQ8" t="s">
        <v>74</v>
      </c>
      <c r="BR8" t="s">
        <v>97</v>
      </c>
      <c r="BS8" t="s">
        <v>205</v>
      </c>
      <c r="BT8" t="str">
        <f>HYPERLINK("https%3A%2F%2Fwww.webofscience.com%2Fwos%2Fwoscc%2Ffull-record%2FWOS:000288584400005","View Full Record in Web of Science")</f>
        <v>View Full Record in Web of Science</v>
      </c>
    </row>
    <row r="9" spans="1:72" x14ac:dyDescent="0.25">
      <c r="A9" t="s">
        <v>72</v>
      </c>
      <c r="B9" t="s">
        <v>206</v>
      </c>
      <c r="C9" t="s">
        <v>74</v>
      </c>
      <c r="D9" t="s">
        <v>74</v>
      </c>
      <c r="E9" t="s">
        <v>74</v>
      </c>
      <c r="F9" t="s">
        <v>207</v>
      </c>
      <c r="G9" t="s">
        <v>74</v>
      </c>
      <c r="H9" t="s">
        <v>74</v>
      </c>
      <c r="I9" t="s">
        <v>208</v>
      </c>
      <c r="J9" t="s">
        <v>209</v>
      </c>
      <c r="K9" t="s">
        <v>74</v>
      </c>
      <c r="L9" t="s">
        <v>74</v>
      </c>
      <c r="M9" t="s">
        <v>77</v>
      </c>
      <c r="N9" t="s">
        <v>78</v>
      </c>
      <c r="O9" t="s">
        <v>74</v>
      </c>
      <c r="P9" t="s">
        <v>74</v>
      </c>
      <c r="Q9" t="s">
        <v>74</v>
      </c>
      <c r="R9" t="s">
        <v>74</v>
      </c>
      <c r="S9" t="s">
        <v>74</v>
      </c>
      <c r="T9" t="s">
        <v>74</v>
      </c>
      <c r="U9" t="s">
        <v>210</v>
      </c>
      <c r="V9" t="s">
        <v>211</v>
      </c>
      <c r="W9" t="s">
        <v>212</v>
      </c>
      <c r="X9" t="s">
        <v>213</v>
      </c>
      <c r="Y9" t="s">
        <v>214</v>
      </c>
      <c r="Z9" t="s">
        <v>215</v>
      </c>
      <c r="AA9" t="s">
        <v>216</v>
      </c>
      <c r="AB9" t="s">
        <v>217</v>
      </c>
      <c r="AC9" t="s">
        <v>74</v>
      </c>
      <c r="AD9" t="s">
        <v>74</v>
      </c>
      <c r="AE9" t="s">
        <v>74</v>
      </c>
      <c r="AF9" t="s">
        <v>74</v>
      </c>
      <c r="AG9">
        <v>67</v>
      </c>
      <c r="AH9">
        <v>447</v>
      </c>
      <c r="AI9">
        <v>459</v>
      </c>
      <c r="AJ9">
        <v>23</v>
      </c>
      <c r="AK9">
        <v>339</v>
      </c>
      <c r="AL9" t="s">
        <v>218</v>
      </c>
      <c r="AM9" t="s">
        <v>219</v>
      </c>
      <c r="AN9" t="s">
        <v>220</v>
      </c>
      <c r="AO9" t="s">
        <v>221</v>
      </c>
      <c r="AP9" t="s">
        <v>222</v>
      </c>
      <c r="AQ9" t="s">
        <v>74</v>
      </c>
      <c r="AR9" t="s">
        <v>223</v>
      </c>
      <c r="AS9" t="s">
        <v>224</v>
      </c>
      <c r="AT9" t="s">
        <v>165</v>
      </c>
      <c r="AU9">
        <v>2010</v>
      </c>
      <c r="AV9">
        <v>31</v>
      </c>
      <c r="AW9">
        <v>4</v>
      </c>
      <c r="AX9" t="s">
        <v>74</v>
      </c>
      <c r="AY9" t="s">
        <v>74</v>
      </c>
      <c r="AZ9" t="s">
        <v>74</v>
      </c>
      <c r="BA9" t="s">
        <v>74</v>
      </c>
      <c r="BB9">
        <v>609</v>
      </c>
      <c r="BC9">
        <v>623</v>
      </c>
      <c r="BD9" t="s">
        <v>74</v>
      </c>
      <c r="BE9" t="s">
        <v>225</v>
      </c>
      <c r="BF9" t="str">
        <f>HYPERLINK("http://dx.doi.org/10.1002/job.650","http://dx.doi.org/10.1002/job.650")</f>
        <v>http://dx.doi.org/10.1002/job.650</v>
      </c>
      <c r="BG9" t="s">
        <v>74</v>
      </c>
      <c r="BH9" t="s">
        <v>74</v>
      </c>
      <c r="BI9">
        <v>15</v>
      </c>
      <c r="BJ9" t="s">
        <v>226</v>
      </c>
      <c r="BK9" t="s">
        <v>94</v>
      </c>
      <c r="BL9" t="s">
        <v>227</v>
      </c>
      <c r="BM9" t="s">
        <v>228</v>
      </c>
      <c r="BN9" t="s">
        <v>74</v>
      </c>
      <c r="BO9" t="s">
        <v>229</v>
      </c>
      <c r="BP9" t="s">
        <v>74</v>
      </c>
      <c r="BQ9" t="s">
        <v>74</v>
      </c>
      <c r="BR9" t="s">
        <v>97</v>
      </c>
      <c r="BS9" t="s">
        <v>230</v>
      </c>
      <c r="BT9" t="str">
        <f>HYPERLINK("https%3A%2F%2Fwww.webofscience.com%2Fwos%2Fwoscc%2Ffull-record%2FWOS:000276912600007","View Full Record in Web of Science")</f>
        <v>View Full Record in Web of Science</v>
      </c>
    </row>
    <row r="10" spans="1:72" x14ac:dyDescent="0.25">
      <c r="A10" t="s">
        <v>72</v>
      </c>
      <c r="B10" t="s">
        <v>231</v>
      </c>
      <c r="C10" t="s">
        <v>74</v>
      </c>
      <c r="D10" t="s">
        <v>74</v>
      </c>
      <c r="E10" t="s">
        <v>74</v>
      </c>
      <c r="F10" t="s">
        <v>232</v>
      </c>
      <c r="G10" t="s">
        <v>74</v>
      </c>
      <c r="H10" t="s">
        <v>74</v>
      </c>
      <c r="I10" t="s">
        <v>233</v>
      </c>
      <c r="J10" t="s">
        <v>234</v>
      </c>
      <c r="K10" t="s">
        <v>74</v>
      </c>
      <c r="L10" t="s">
        <v>74</v>
      </c>
      <c r="M10" t="s">
        <v>77</v>
      </c>
      <c r="N10" t="s">
        <v>78</v>
      </c>
      <c r="O10" t="s">
        <v>74</v>
      </c>
      <c r="P10" t="s">
        <v>74</v>
      </c>
      <c r="Q10" t="s">
        <v>74</v>
      </c>
      <c r="R10" t="s">
        <v>74</v>
      </c>
      <c r="S10" t="s">
        <v>74</v>
      </c>
      <c r="T10" t="s">
        <v>74</v>
      </c>
      <c r="U10" t="s">
        <v>235</v>
      </c>
      <c r="V10" t="s">
        <v>236</v>
      </c>
      <c r="W10" t="s">
        <v>237</v>
      </c>
      <c r="X10" t="s">
        <v>238</v>
      </c>
      <c r="Y10" t="s">
        <v>239</v>
      </c>
      <c r="Z10" t="s">
        <v>74</v>
      </c>
      <c r="AA10" t="s">
        <v>74</v>
      </c>
      <c r="AB10" t="s">
        <v>74</v>
      </c>
      <c r="AC10" t="s">
        <v>74</v>
      </c>
      <c r="AD10" t="s">
        <v>74</v>
      </c>
      <c r="AE10" t="s">
        <v>74</v>
      </c>
      <c r="AF10" t="s">
        <v>74</v>
      </c>
      <c r="AG10">
        <v>173</v>
      </c>
      <c r="AH10">
        <v>445</v>
      </c>
      <c r="AI10">
        <v>460</v>
      </c>
      <c r="AJ10">
        <v>10</v>
      </c>
      <c r="AK10">
        <v>287</v>
      </c>
      <c r="AL10" t="s">
        <v>84</v>
      </c>
      <c r="AM10" t="s">
        <v>85</v>
      </c>
      <c r="AN10" t="s">
        <v>86</v>
      </c>
      <c r="AO10" t="s">
        <v>240</v>
      </c>
      <c r="AP10" t="s">
        <v>241</v>
      </c>
      <c r="AQ10" t="s">
        <v>74</v>
      </c>
      <c r="AR10" t="s">
        <v>242</v>
      </c>
      <c r="AS10" t="s">
        <v>243</v>
      </c>
      <c r="AT10" t="s">
        <v>74</v>
      </c>
      <c r="AU10">
        <v>2007</v>
      </c>
      <c r="AV10">
        <v>1</v>
      </c>
      <c r="AW10" t="s">
        <v>74</v>
      </c>
      <c r="AX10" t="s">
        <v>74</v>
      </c>
      <c r="AY10" t="s">
        <v>74</v>
      </c>
      <c r="AZ10" t="s">
        <v>74</v>
      </c>
      <c r="BA10" t="s">
        <v>74</v>
      </c>
      <c r="BB10">
        <v>439</v>
      </c>
      <c r="BC10">
        <v>477</v>
      </c>
      <c r="BD10" t="s">
        <v>74</v>
      </c>
      <c r="BE10" t="s">
        <v>244</v>
      </c>
      <c r="BF10" t="str">
        <f>HYPERLINK("http://dx.doi.org/10.1080/078559814","http://dx.doi.org/10.1080/078559814")</f>
        <v>http://dx.doi.org/10.1080/078559814</v>
      </c>
      <c r="BG10" t="s">
        <v>74</v>
      </c>
      <c r="BH10" t="s">
        <v>74</v>
      </c>
      <c r="BI10">
        <v>39</v>
      </c>
      <c r="BJ10" t="s">
        <v>93</v>
      </c>
      <c r="BK10" t="s">
        <v>94</v>
      </c>
      <c r="BL10" t="s">
        <v>95</v>
      </c>
      <c r="BM10" t="s">
        <v>245</v>
      </c>
      <c r="BN10" t="s">
        <v>74</v>
      </c>
      <c r="BO10" t="s">
        <v>74</v>
      </c>
      <c r="BP10" t="s">
        <v>74</v>
      </c>
      <c r="BQ10" t="s">
        <v>74</v>
      </c>
      <c r="BR10" t="s">
        <v>97</v>
      </c>
      <c r="BS10" t="s">
        <v>246</v>
      </c>
      <c r="BT10" t="str">
        <f>HYPERLINK("https%3A%2F%2Fwww.webofscience.com%2Fwos%2Fwoscc%2Ffull-record%2FWOS:000207501400009","View Full Record in Web of Science")</f>
        <v>View Full Record in Web of Science</v>
      </c>
    </row>
    <row r="11" spans="1:72" x14ac:dyDescent="0.25">
      <c r="A11" t="s">
        <v>72</v>
      </c>
      <c r="B11" t="s">
        <v>247</v>
      </c>
      <c r="C11" t="s">
        <v>74</v>
      </c>
      <c r="D11" t="s">
        <v>74</v>
      </c>
      <c r="E11" t="s">
        <v>74</v>
      </c>
      <c r="F11" t="s">
        <v>248</v>
      </c>
      <c r="G11" t="s">
        <v>74</v>
      </c>
      <c r="H11" t="s">
        <v>74</v>
      </c>
      <c r="I11" t="s">
        <v>249</v>
      </c>
      <c r="J11" t="s">
        <v>76</v>
      </c>
      <c r="K11" t="s">
        <v>74</v>
      </c>
      <c r="L11" t="s">
        <v>74</v>
      </c>
      <c r="M11" t="s">
        <v>77</v>
      </c>
      <c r="N11" t="s">
        <v>78</v>
      </c>
      <c r="O11" t="s">
        <v>74</v>
      </c>
      <c r="P11" t="s">
        <v>74</v>
      </c>
      <c r="Q11" t="s">
        <v>74</v>
      </c>
      <c r="R11" t="s">
        <v>74</v>
      </c>
      <c r="S11" t="s">
        <v>74</v>
      </c>
      <c r="T11" t="s">
        <v>74</v>
      </c>
      <c r="U11" t="s">
        <v>250</v>
      </c>
      <c r="V11" t="s">
        <v>251</v>
      </c>
      <c r="W11" t="s">
        <v>252</v>
      </c>
      <c r="X11" t="s">
        <v>253</v>
      </c>
      <c r="Y11" t="s">
        <v>254</v>
      </c>
      <c r="Z11" t="s">
        <v>255</v>
      </c>
      <c r="AA11" t="s">
        <v>74</v>
      </c>
      <c r="AB11" t="s">
        <v>74</v>
      </c>
      <c r="AC11" t="s">
        <v>74</v>
      </c>
      <c r="AD11" t="s">
        <v>74</v>
      </c>
      <c r="AE11" t="s">
        <v>74</v>
      </c>
      <c r="AF11" t="s">
        <v>74</v>
      </c>
      <c r="AG11">
        <v>78</v>
      </c>
      <c r="AH11">
        <v>418</v>
      </c>
      <c r="AI11">
        <v>438</v>
      </c>
      <c r="AJ11">
        <v>29</v>
      </c>
      <c r="AK11">
        <v>631</v>
      </c>
      <c r="AL11" t="s">
        <v>84</v>
      </c>
      <c r="AM11" t="s">
        <v>85</v>
      </c>
      <c r="AN11" t="s">
        <v>86</v>
      </c>
      <c r="AO11" t="s">
        <v>87</v>
      </c>
      <c r="AP11" t="s">
        <v>88</v>
      </c>
      <c r="AQ11" t="s">
        <v>74</v>
      </c>
      <c r="AR11" t="s">
        <v>89</v>
      </c>
      <c r="AS11" t="s">
        <v>90</v>
      </c>
      <c r="AT11" t="s">
        <v>256</v>
      </c>
      <c r="AU11">
        <v>2012</v>
      </c>
      <c r="AV11">
        <v>55</v>
      </c>
      <c r="AW11">
        <v>5</v>
      </c>
      <c r="AX11" t="s">
        <v>74</v>
      </c>
      <c r="AY11" t="s">
        <v>74</v>
      </c>
      <c r="AZ11" t="s">
        <v>74</v>
      </c>
      <c r="BA11" t="s">
        <v>74</v>
      </c>
      <c r="BB11">
        <v>1102</v>
      </c>
      <c r="BC11">
        <v>1119</v>
      </c>
      <c r="BD11" t="s">
        <v>74</v>
      </c>
      <c r="BE11" t="s">
        <v>257</v>
      </c>
      <c r="BF11" t="str">
        <f>HYPERLINK("http://dx.doi.org/10.5465/amj.2009.0470","http://dx.doi.org/10.5465/amj.2009.0470")</f>
        <v>http://dx.doi.org/10.5465/amj.2009.0470</v>
      </c>
      <c r="BG11" t="s">
        <v>74</v>
      </c>
      <c r="BH11" t="s">
        <v>74</v>
      </c>
      <c r="BI11">
        <v>18</v>
      </c>
      <c r="BJ11" t="s">
        <v>93</v>
      </c>
      <c r="BK11" t="s">
        <v>94</v>
      </c>
      <c r="BL11" t="s">
        <v>95</v>
      </c>
      <c r="BM11" t="s">
        <v>258</v>
      </c>
      <c r="BN11" t="s">
        <v>74</v>
      </c>
      <c r="BO11" t="s">
        <v>74</v>
      </c>
      <c r="BP11" t="s">
        <v>74</v>
      </c>
      <c r="BQ11" t="s">
        <v>74</v>
      </c>
      <c r="BR11" t="s">
        <v>97</v>
      </c>
      <c r="BS11" t="s">
        <v>259</v>
      </c>
      <c r="BT11" t="str">
        <f>HYPERLINK("https%3A%2F%2Fwww.webofscience.com%2Fwos%2Fwoscc%2Ffull-record%2FWOS:000310716300005","View Full Record in Web of Science")</f>
        <v>View Full Record in Web of Science</v>
      </c>
    </row>
    <row r="12" spans="1:72" x14ac:dyDescent="0.25">
      <c r="A12" t="s">
        <v>72</v>
      </c>
      <c r="B12" t="s">
        <v>260</v>
      </c>
      <c r="C12" t="s">
        <v>74</v>
      </c>
      <c r="D12" t="s">
        <v>74</v>
      </c>
      <c r="E12" t="s">
        <v>74</v>
      </c>
      <c r="F12" t="s">
        <v>261</v>
      </c>
      <c r="G12" t="s">
        <v>74</v>
      </c>
      <c r="H12" t="s">
        <v>74</v>
      </c>
      <c r="I12" t="s">
        <v>262</v>
      </c>
      <c r="J12" t="s">
        <v>263</v>
      </c>
      <c r="K12" t="s">
        <v>74</v>
      </c>
      <c r="L12" t="s">
        <v>74</v>
      </c>
      <c r="M12" t="s">
        <v>77</v>
      </c>
      <c r="N12" t="s">
        <v>78</v>
      </c>
      <c r="O12" t="s">
        <v>74</v>
      </c>
      <c r="P12" t="s">
        <v>74</v>
      </c>
      <c r="Q12" t="s">
        <v>74</v>
      </c>
      <c r="R12" t="s">
        <v>74</v>
      </c>
      <c r="S12" t="s">
        <v>74</v>
      </c>
      <c r="T12" t="s">
        <v>74</v>
      </c>
      <c r="U12" t="s">
        <v>264</v>
      </c>
      <c r="V12" t="s">
        <v>265</v>
      </c>
      <c r="W12" t="s">
        <v>266</v>
      </c>
      <c r="X12" t="s">
        <v>267</v>
      </c>
      <c r="Y12" t="s">
        <v>268</v>
      </c>
      <c r="Z12" t="s">
        <v>269</v>
      </c>
      <c r="AA12" t="s">
        <v>270</v>
      </c>
      <c r="AB12" t="s">
        <v>271</v>
      </c>
      <c r="AC12" t="s">
        <v>272</v>
      </c>
      <c r="AD12" t="s">
        <v>273</v>
      </c>
      <c r="AE12" t="s">
        <v>274</v>
      </c>
      <c r="AF12" t="s">
        <v>74</v>
      </c>
      <c r="AG12">
        <v>31</v>
      </c>
      <c r="AH12">
        <v>417</v>
      </c>
      <c r="AI12">
        <v>428</v>
      </c>
      <c r="AJ12">
        <v>0</v>
      </c>
      <c r="AK12">
        <v>52</v>
      </c>
      <c r="AL12" t="s">
        <v>275</v>
      </c>
      <c r="AM12" t="s">
        <v>195</v>
      </c>
      <c r="AN12" t="s">
        <v>276</v>
      </c>
      <c r="AO12" t="s">
        <v>277</v>
      </c>
      <c r="AP12" t="s">
        <v>278</v>
      </c>
      <c r="AQ12" t="s">
        <v>74</v>
      </c>
      <c r="AR12" t="s">
        <v>263</v>
      </c>
      <c r="AS12" t="s">
        <v>279</v>
      </c>
      <c r="AT12" t="s">
        <v>280</v>
      </c>
      <c r="AU12">
        <v>2008</v>
      </c>
      <c r="AV12">
        <v>322</v>
      </c>
      <c r="AW12">
        <v>5902</v>
      </c>
      <c r="AX12" t="s">
        <v>74</v>
      </c>
      <c r="AY12" t="s">
        <v>74</v>
      </c>
      <c r="AZ12" t="s">
        <v>74</v>
      </c>
      <c r="BA12" t="s">
        <v>74</v>
      </c>
      <c r="BB12">
        <v>733</v>
      </c>
      <c r="BC12">
        <v>735</v>
      </c>
      <c r="BD12" t="s">
        <v>74</v>
      </c>
      <c r="BE12" t="s">
        <v>281</v>
      </c>
      <c r="BF12" t="str">
        <f>HYPERLINK("http://dx.doi.org/10.1126/science.1162219","http://dx.doi.org/10.1126/science.1162219")</f>
        <v>http://dx.doi.org/10.1126/science.1162219</v>
      </c>
      <c r="BG12" t="s">
        <v>74</v>
      </c>
      <c r="BH12" t="s">
        <v>74</v>
      </c>
      <c r="BI12">
        <v>3</v>
      </c>
      <c r="BJ12" t="s">
        <v>282</v>
      </c>
      <c r="BK12" t="s">
        <v>283</v>
      </c>
      <c r="BL12" t="s">
        <v>284</v>
      </c>
      <c r="BM12" t="s">
        <v>285</v>
      </c>
      <c r="BN12">
        <v>18974351</v>
      </c>
      <c r="BO12" t="s">
        <v>286</v>
      </c>
      <c r="BP12" t="s">
        <v>74</v>
      </c>
      <c r="BQ12" t="s">
        <v>74</v>
      </c>
      <c r="BR12" t="s">
        <v>97</v>
      </c>
      <c r="BS12" t="s">
        <v>287</v>
      </c>
      <c r="BT12" t="str">
        <f>HYPERLINK("https%3A%2F%2Fwww.webofscience.com%2Fwos%2Fwoscc%2Ffull-record%2FWOS:000260605200046","View Full Record in Web of Science")</f>
        <v>View Full Record in Web of Science</v>
      </c>
    </row>
    <row r="13" spans="1:72" x14ac:dyDescent="0.25">
      <c r="A13" t="s">
        <v>72</v>
      </c>
      <c r="B13" t="s">
        <v>288</v>
      </c>
      <c r="C13" t="s">
        <v>74</v>
      </c>
      <c r="D13" t="s">
        <v>74</v>
      </c>
      <c r="E13" t="s">
        <v>74</v>
      </c>
      <c r="F13" t="s">
        <v>289</v>
      </c>
      <c r="G13" t="s">
        <v>74</v>
      </c>
      <c r="H13" t="s">
        <v>74</v>
      </c>
      <c r="I13" t="s">
        <v>290</v>
      </c>
      <c r="J13" t="s">
        <v>291</v>
      </c>
      <c r="K13" t="s">
        <v>74</v>
      </c>
      <c r="L13" t="s">
        <v>74</v>
      </c>
      <c r="M13" t="s">
        <v>77</v>
      </c>
      <c r="N13" t="s">
        <v>78</v>
      </c>
      <c r="O13" t="s">
        <v>74</v>
      </c>
      <c r="P13" t="s">
        <v>74</v>
      </c>
      <c r="Q13" t="s">
        <v>74</v>
      </c>
      <c r="R13" t="s">
        <v>74</v>
      </c>
      <c r="S13" t="s">
        <v>74</v>
      </c>
      <c r="T13" t="s">
        <v>292</v>
      </c>
      <c r="U13" t="s">
        <v>293</v>
      </c>
      <c r="V13" t="s">
        <v>294</v>
      </c>
      <c r="W13" t="s">
        <v>295</v>
      </c>
      <c r="X13" t="s">
        <v>296</v>
      </c>
      <c r="Y13" t="s">
        <v>297</v>
      </c>
      <c r="Z13" t="s">
        <v>298</v>
      </c>
      <c r="AA13" t="s">
        <v>299</v>
      </c>
      <c r="AB13" t="s">
        <v>300</v>
      </c>
      <c r="AC13" t="s">
        <v>301</v>
      </c>
      <c r="AD13" t="s">
        <v>302</v>
      </c>
      <c r="AE13" t="s">
        <v>303</v>
      </c>
      <c r="AF13" t="s">
        <v>74</v>
      </c>
      <c r="AG13">
        <v>106</v>
      </c>
      <c r="AH13">
        <v>369</v>
      </c>
      <c r="AI13">
        <v>372</v>
      </c>
      <c r="AJ13">
        <v>10</v>
      </c>
      <c r="AK13">
        <v>128</v>
      </c>
      <c r="AL13" t="s">
        <v>304</v>
      </c>
      <c r="AM13" t="s">
        <v>305</v>
      </c>
      <c r="AN13" t="s">
        <v>306</v>
      </c>
      <c r="AO13" t="s">
        <v>307</v>
      </c>
      <c r="AP13" t="s">
        <v>308</v>
      </c>
      <c r="AQ13" t="s">
        <v>74</v>
      </c>
      <c r="AR13" t="s">
        <v>309</v>
      </c>
      <c r="AS13" t="s">
        <v>310</v>
      </c>
      <c r="AT13" t="s">
        <v>74</v>
      </c>
      <c r="AU13">
        <v>2017</v>
      </c>
      <c r="AV13">
        <v>32</v>
      </c>
      <c r="AW13">
        <v>8</v>
      </c>
      <c r="AX13" t="s">
        <v>74</v>
      </c>
      <c r="AY13" t="s">
        <v>74</v>
      </c>
      <c r="AZ13" t="s">
        <v>74</v>
      </c>
      <c r="BA13" t="s">
        <v>74</v>
      </c>
      <c r="BB13">
        <v>942</v>
      </c>
      <c r="BC13">
        <v>975</v>
      </c>
      <c r="BD13" t="s">
        <v>74</v>
      </c>
      <c r="BE13" t="s">
        <v>311</v>
      </c>
      <c r="BF13" t="str">
        <f>HYPERLINK("http://dx.doi.org/10.1080/08870446.2017.1325486","http://dx.doi.org/10.1080/08870446.2017.1325486")</f>
        <v>http://dx.doi.org/10.1080/08870446.2017.1325486</v>
      </c>
      <c r="BG13" t="s">
        <v>74</v>
      </c>
      <c r="BH13" t="s">
        <v>74</v>
      </c>
      <c r="BI13">
        <v>34</v>
      </c>
      <c r="BJ13" t="s">
        <v>312</v>
      </c>
      <c r="BK13" t="s">
        <v>94</v>
      </c>
      <c r="BL13" t="s">
        <v>313</v>
      </c>
      <c r="BM13" t="s">
        <v>314</v>
      </c>
      <c r="BN13">
        <v>28554222</v>
      </c>
      <c r="BO13" t="s">
        <v>74</v>
      </c>
      <c r="BP13" t="s">
        <v>150</v>
      </c>
      <c r="BQ13" t="s">
        <v>151</v>
      </c>
      <c r="BR13" t="s">
        <v>97</v>
      </c>
      <c r="BS13" t="s">
        <v>315</v>
      </c>
      <c r="BT13" t="str">
        <f>HYPERLINK("https%3A%2F%2Fwww.webofscience.com%2Fwos%2Fwoscc%2Ffull-record%2FWOS:000403419600003","View Full Record in Web of Science")</f>
        <v>View Full Record in Web of Science</v>
      </c>
    </row>
    <row r="14" spans="1:72" x14ac:dyDescent="0.25">
      <c r="A14" t="s">
        <v>72</v>
      </c>
      <c r="B14" t="s">
        <v>316</v>
      </c>
      <c r="C14" t="s">
        <v>74</v>
      </c>
      <c r="D14" t="s">
        <v>74</v>
      </c>
      <c r="E14" t="s">
        <v>74</v>
      </c>
      <c r="F14" t="s">
        <v>316</v>
      </c>
      <c r="G14" t="s">
        <v>74</v>
      </c>
      <c r="H14" t="s">
        <v>74</v>
      </c>
      <c r="I14" t="s">
        <v>317</v>
      </c>
      <c r="J14" t="s">
        <v>318</v>
      </c>
      <c r="K14" t="s">
        <v>74</v>
      </c>
      <c r="L14" t="s">
        <v>74</v>
      </c>
      <c r="M14" t="s">
        <v>77</v>
      </c>
      <c r="N14" t="s">
        <v>319</v>
      </c>
      <c r="O14" t="s">
        <v>320</v>
      </c>
      <c r="P14">
        <v>2001</v>
      </c>
      <c r="Q14" t="s">
        <v>321</v>
      </c>
      <c r="R14" t="s">
        <v>322</v>
      </c>
      <c r="S14" t="s">
        <v>74</v>
      </c>
      <c r="T14" t="s">
        <v>323</v>
      </c>
      <c r="U14" t="s">
        <v>324</v>
      </c>
      <c r="V14" t="s">
        <v>325</v>
      </c>
      <c r="W14" t="s">
        <v>326</v>
      </c>
      <c r="X14" t="s">
        <v>74</v>
      </c>
      <c r="Y14" t="s">
        <v>327</v>
      </c>
      <c r="Z14" t="s">
        <v>328</v>
      </c>
      <c r="AA14" t="s">
        <v>74</v>
      </c>
      <c r="AB14" t="s">
        <v>74</v>
      </c>
      <c r="AC14" t="s">
        <v>74</v>
      </c>
      <c r="AD14" t="s">
        <v>74</v>
      </c>
      <c r="AE14" t="s">
        <v>74</v>
      </c>
      <c r="AF14" t="s">
        <v>74</v>
      </c>
      <c r="AG14">
        <v>51</v>
      </c>
      <c r="AH14">
        <v>360</v>
      </c>
      <c r="AI14">
        <v>368</v>
      </c>
      <c r="AJ14">
        <v>5</v>
      </c>
      <c r="AK14">
        <v>87</v>
      </c>
      <c r="AL14" t="s">
        <v>329</v>
      </c>
      <c r="AM14" t="s">
        <v>330</v>
      </c>
      <c r="AN14" t="s">
        <v>331</v>
      </c>
      <c r="AO14" t="s">
        <v>332</v>
      </c>
      <c r="AP14" t="s">
        <v>333</v>
      </c>
      <c r="AQ14" t="s">
        <v>74</v>
      </c>
      <c r="AR14" t="s">
        <v>334</v>
      </c>
      <c r="AS14" t="s">
        <v>335</v>
      </c>
      <c r="AT14" t="s">
        <v>91</v>
      </c>
      <c r="AU14">
        <v>2004</v>
      </c>
      <c r="AV14">
        <v>57</v>
      </c>
      <c r="AW14">
        <v>6</v>
      </c>
      <c r="AX14" t="s">
        <v>74</v>
      </c>
      <c r="AY14" t="s">
        <v>74</v>
      </c>
      <c r="AZ14" t="s">
        <v>74</v>
      </c>
      <c r="BA14" t="s">
        <v>74</v>
      </c>
      <c r="BB14">
        <v>671</v>
      </c>
      <c r="BC14">
        <v>677</v>
      </c>
      <c r="BD14" t="s">
        <v>74</v>
      </c>
      <c r="BE14" t="s">
        <v>336</v>
      </c>
      <c r="BF14" t="str">
        <f>HYPERLINK("http://dx.doi.org/10.1016/S0148-2963(02)00311-9","http://dx.doi.org/10.1016/S0148-2963(02)00311-9")</f>
        <v>http://dx.doi.org/10.1016/S0148-2963(02)00311-9</v>
      </c>
      <c r="BG14" t="s">
        <v>74</v>
      </c>
      <c r="BH14" t="s">
        <v>74</v>
      </c>
      <c r="BI14">
        <v>7</v>
      </c>
      <c r="BJ14" t="s">
        <v>337</v>
      </c>
      <c r="BK14" t="s">
        <v>338</v>
      </c>
      <c r="BL14" t="s">
        <v>95</v>
      </c>
      <c r="BM14" t="s">
        <v>339</v>
      </c>
      <c r="BN14" t="s">
        <v>74</v>
      </c>
      <c r="BO14" t="s">
        <v>74</v>
      </c>
      <c r="BP14" t="s">
        <v>74</v>
      </c>
      <c r="BQ14" t="s">
        <v>74</v>
      </c>
      <c r="BR14" t="s">
        <v>97</v>
      </c>
      <c r="BS14" t="s">
        <v>340</v>
      </c>
      <c r="BT14" t="str">
        <f>HYPERLINK("https%3A%2F%2Fwww.webofscience.com%2Fwos%2Fwoscc%2Ffull-record%2FWOS:000221064700014","View Full Record in Web of Science")</f>
        <v>View Full Record in Web of Science</v>
      </c>
    </row>
    <row r="15" spans="1:72" x14ac:dyDescent="0.25">
      <c r="A15" t="s">
        <v>72</v>
      </c>
      <c r="B15" t="s">
        <v>341</v>
      </c>
      <c r="C15" t="s">
        <v>74</v>
      </c>
      <c r="D15" t="s">
        <v>74</v>
      </c>
      <c r="E15" t="s">
        <v>74</v>
      </c>
      <c r="F15" t="s">
        <v>341</v>
      </c>
      <c r="G15" t="s">
        <v>74</v>
      </c>
      <c r="H15" t="s">
        <v>74</v>
      </c>
      <c r="I15" t="s">
        <v>342</v>
      </c>
      <c r="J15" t="s">
        <v>343</v>
      </c>
      <c r="K15" t="s">
        <v>74</v>
      </c>
      <c r="L15" t="s">
        <v>74</v>
      </c>
      <c r="M15" t="s">
        <v>77</v>
      </c>
      <c r="N15" t="s">
        <v>78</v>
      </c>
      <c r="O15" t="s">
        <v>74</v>
      </c>
      <c r="P15" t="s">
        <v>74</v>
      </c>
      <c r="Q15" t="s">
        <v>74</v>
      </c>
      <c r="R15" t="s">
        <v>74</v>
      </c>
      <c r="S15" t="s">
        <v>74</v>
      </c>
      <c r="T15" t="s">
        <v>74</v>
      </c>
      <c r="U15" t="s">
        <v>344</v>
      </c>
      <c r="V15" t="s">
        <v>345</v>
      </c>
      <c r="W15" t="s">
        <v>346</v>
      </c>
      <c r="X15" t="s">
        <v>104</v>
      </c>
      <c r="Y15" t="s">
        <v>347</v>
      </c>
      <c r="Z15" t="s">
        <v>348</v>
      </c>
      <c r="AA15" t="s">
        <v>74</v>
      </c>
      <c r="AB15" t="s">
        <v>349</v>
      </c>
      <c r="AC15" t="s">
        <v>74</v>
      </c>
      <c r="AD15" t="s">
        <v>74</v>
      </c>
      <c r="AE15" t="s">
        <v>74</v>
      </c>
      <c r="AF15" t="s">
        <v>74</v>
      </c>
      <c r="AG15">
        <v>80</v>
      </c>
      <c r="AH15">
        <v>349</v>
      </c>
      <c r="AI15">
        <v>351</v>
      </c>
      <c r="AJ15">
        <v>11</v>
      </c>
      <c r="AK15">
        <v>236</v>
      </c>
      <c r="AL15" t="s">
        <v>350</v>
      </c>
      <c r="AM15" t="s">
        <v>351</v>
      </c>
      <c r="AN15" t="s">
        <v>352</v>
      </c>
      <c r="AO15" t="s">
        <v>353</v>
      </c>
      <c r="AP15" t="s">
        <v>354</v>
      </c>
      <c r="AQ15" t="s">
        <v>74</v>
      </c>
      <c r="AR15" t="s">
        <v>355</v>
      </c>
      <c r="AS15" t="s">
        <v>356</v>
      </c>
      <c r="AT15" t="s">
        <v>74</v>
      </c>
      <c r="AU15">
        <v>2003</v>
      </c>
      <c r="AV15">
        <v>29</v>
      </c>
      <c r="AW15">
        <v>5</v>
      </c>
      <c r="AX15" t="s">
        <v>74</v>
      </c>
      <c r="AY15" t="s">
        <v>74</v>
      </c>
      <c r="AZ15" t="s">
        <v>74</v>
      </c>
      <c r="BA15" t="s">
        <v>74</v>
      </c>
      <c r="BB15">
        <v>729</v>
      </c>
      <c r="BC15">
        <v>751</v>
      </c>
      <c r="BD15" t="s">
        <v>74</v>
      </c>
      <c r="BE15" t="s">
        <v>357</v>
      </c>
      <c r="BF15" t="str">
        <f>HYPERLINK("http://dx.doi.org/10.1016/S0149-2063(03)00033-3","http://dx.doi.org/10.1016/S0149-2063(03)00033-3")</f>
        <v>http://dx.doi.org/10.1016/S0149-2063(03)00033-3</v>
      </c>
      <c r="BG15" t="s">
        <v>74</v>
      </c>
      <c r="BH15" t="s">
        <v>74</v>
      </c>
      <c r="BI15">
        <v>23</v>
      </c>
      <c r="BJ15" t="s">
        <v>226</v>
      </c>
      <c r="BK15" t="s">
        <v>94</v>
      </c>
      <c r="BL15" t="s">
        <v>227</v>
      </c>
      <c r="BM15" t="s">
        <v>358</v>
      </c>
      <c r="BN15" t="s">
        <v>74</v>
      </c>
      <c r="BO15" t="s">
        <v>74</v>
      </c>
      <c r="BP15" t="s">
        <v>74</v>
      </c>
      <c r="BQ15" t="s">
        <v>74</v>
      </c>
      <c r="BR15" t="s">
        <v>97</v>
      </c>
      <c r="BS15" t="s">
        <v>359</v>
      </c>
      <c r="BT15" t="str">
        <f>HYPERLINK("https%3A%2F%2Fwww.webofscience.com%2Fwos%2Fwoscc%2Ffull-record%2FWOS:000185259800006","View Full Record in Web of Science")</f>
        <v>View Full Record in Web of Science</v>
      </c>
    </row>
    <row r="16" spans="1:72" x14ac:dyDescent="0.25">
      <c r="A16" t="s">
        <v>72</v>
      </c>
      <c r="B16" t="s">
        <v>360</v>
      </c>
      <c r="C16" t="s">
        <v>74</v>
      </c>
      <c r="D16" t="s">
        <v>74</v>
      </c>
      <c r="E16" t="s">
        <v>74</v>
      </c>
      <c r="F16" t="s">
        <v>360</v>
      </c>
      <c r="G16" t="s">
        <v>74</v>
      </c>
      <c r="H16" t="s">
        <v>74</v>
      </c>
      <c r="I16" t="s">
        <v>361</v>
      </c>
      <c r="J16" t="s">
        <v>362</v>
      </c>
      <c r="K16" t="s">
        <v>74</v>
      </c>
      <c r="L16" t="s">
        <v>74</v>
      </c>
      <c r="M16" t="s">
        <v>77</v>
      </c>
      <c r="N16" t="s">
        <v>78</v>
      </c>
      <c r="O16" t="s">
        <v>74</v>
      </c>
      <c r="P16" t="s">
        <v>74</v>
      </c>
      <c r="Q16" t="s">
        <v>74</v>
      </c>
      <c r="R16" t="s">
        <v>74</v>
      </c>
      <c r="S16" t="s">
        <v>74</v>
      </c>
      <c r="T16" t="s">
        <v>74</v>
      </c>
      <c r="U16" t="s">
        <v>74</v>
      </c>
      <c r="V16" t="s">
        <v>363</v>
      </c>
      <c r="W16" t="s">
        <v>364</v>
      </c>
      <c r="X16" t="s">
        <v>365</v>
      </c>
      <c r="Y16" t="s">
        <v>366</v>
      </c>
      <c r="Z16" t="s">
        <v>74</v>
      </c>
      <c r="AA16" t="s">
        <v>367</v>
      </c>
      <c r="AB16" t="s">
        <v>74</v>
      </c>
      <c r="AC16" t="s">
        <v>74</v>
      </c>
      <c r="AD16" t="s">
        <v>74</v>
      </c>
      <c r="AE16" t="s">
        <v>74</v>
      </c>
      <c r="AF16" t="s">
        <v>74</v>
      </c>
      <c r="AG16">
        <v>58</v>
      </c>
      <c r="AH16">
        <v>343</v>
      </c>
      <c r="AI16">
        <v>347</v>
      </c>
      <c r="AJ16">
        <v>2</v>
      </c>
      <c r="AK16">
        <v>78</v>
      </c>
      <c r="AL16" t="s">
        <v>368</v>
      </c>
      <c r="AM16" t="s">
        <v>369</v>
      </c>
      <c r="AN16" t="s">
        <v>370</v>
      </c>
      <c r="AO16" t="s">
        <v>371</v>
      </c>
      <c r="AP16" t="s">
        <v>372</v>
      </c>
      <c r="AQ16" t="s">
        <v>74</v>
      </c>
      <c r="AR16" t="s">
        <v>373</v>
      </c>
      <c r="AS16" t="s">
        <v>374</v>
      </c>
      <c r="AT16" t="s">
        <v>375</v>
      </c>
      <c r="AU16">
        <v>1992</v>
      </c>
      <c r="AV16">
        <v>19</v>
      </c>
      <c r="AW16">
        <v>3</v>
      </c>
      <c r="AX16" t="s">
        <v>74</v>
      </c>
      <c r="AY16" t="s">
        <v>74</v>
      </c>
      <c r="AZ16" t="s">
        <v>74</v>
      </c>
      <c r="BA16" t="s">
        <v>74</v>
      </c>
      <c r="BB16">
        <v>434</v>
      </c>
      <c r="BC16">
        <v>448</v>
      </c>
      <c r="BD16" t="s">
        <v>74</v>
      </c>
      <c r="BE16" t="s">
        <v>376</v>
      </c>
      <c r="BF16" t="str">
        <f>HYPERLINK("http://dx.doi.org/10.1086/209313","http://dx.doi.org/10.1086/209313")</f>
        <v>http://dx.doi.org/10.1086/209313</v>
      </c>
      <c r="BG16" t="s">
        <v>74</v>
      </c>
      <c r="BH16" t="s">
        <v>74</v>
      </c>
      <c r="BI16">
        <v>15</v>
      </c>
      <c r="BJ16" t="s">
        <v>337</v>
      </c>
      <c r="BK16" t="s">
        <v>94</v>
      </c>
      <c r="BL16" t="s">
        <v>95</v>
      </c>
      <c r="BM16" t="s">
        <v>377</v>
      </c>
      <c r="BN16" t="s">
        <v>74</v>
      </c>
      <c r="BO16" t="s">
        <v>378</v>
      </c>
      <c r="BP16" t="s">
        <v>74</v>
      </c>
      <c r="BQ16" t="s">
        <v>74</v>
      </c>
      <c r="BR16" t="s">
        <v>97</v>
      </c>
      <c r="BS16" t="s">
        <v>379</v>
      </c>
      <c r="BT16" t="str">
        <f>HYPERLINK("https%3A%2F%2Fwww.webofscience.com%2Fwos%2Fwoscc%2Ffull-record%2FWOS:A1992KC51800010","View Full Record in Web of Science")</f>
        <v>View Full Record in Web of Science</v>
      </c>
    </row>
    <row r="17" spans="1:72" x14ac:dyDescent="0.25">
      <c r="A17" t="s">
        <v>72</v>
      </c>
      <c r="B17" t="s">
        <v>380</v>
      </c>
      <c r="C17" t="s">
        <v>74</v>
      </c>
      <c r="D17" t="s">
        <v>74</v>
      </c>
      <c r="E17" t="s">
        <v>74</v>
      </c>
      <c r="F17" t="s">
        <v>381</v>
      </c>
      <c r="G17" t="s">
        <v>74</v>
      </c>
      <c r="H17" t="s">
        <v>74</v>
      </c>
      <c r="I17" t="s">
        <v>382</v>
      </c>
      <c r="J17" t="s">
        <v>318</v>
      </c>
      <c r="K17" t="s">
        <v>74</v>
      </c>
      <c r="L17" t="s">
        <v>74</v>
      </c>
      <c r="M17" t="s">
        <v>77</v>
      </c>
      <c r="N17" t="s">
        <v>78</v>
      </c>
      <c r="O17" t="s">
        <v>74</v>
      </c>
      <c r="P17" t="s">
        <v>74</v>
      </c>
      <c r="Q17" t="s">
        <v>74</v>
      </c>
      <c r="R17" t="s">
        <v>74</v>
      </c>
      <c r="S17" t="s">
        <v>74</v>
      </c>
      <c r="T17" t="s">
        <v>383</v>
      </c>
      <c r="U17" t="s">
        <v>384</v>
      </c>
      <c r="V17" t="s">
        <v>385</v>
      </c>
      <c r="W17" t="s">
        <v>386</v>
      </c>
      <c r="X17" t="s">
        <v>387</v>
      </c>
      <c r="Y17" t="s">
        <v>388</v>
      </c>
      <c r="Z17" t="s">
        <v>389</v>
      </c>
      <c r="AA17" t="s">
        <v>390</v>
      </c>
      <c r="AB17" t="s">
        <v>391</v>
      </c>
      <c r="AC17" t="s">
        <v>74</v>
      </c>
      <c r="AD17" t="s">
        <v>74</v>
      </c>
      <c r="AE17" t="s">
        <v>74</v>
      </c>
      <c r="AF17" t="s">
        <v>74</v>
      </c>
      <c r="AG17">
        <v>75</v>
      </c>
      <c r="AH17">
        <v>340</v>
      </c>
      <c r="AI17">
        <v>356</v>
      </c>
      <c r="AJ17">
        <v>19</v>
      </c>
      <c r="AK17">
        <v>364</v>
      </c>
      <c r="AL17" t="s">
        <v>329</v>
      </c>
      <c r="AM17" t="s">
        <v>330</v>
      </c>
      <c r="AN17" t="s">
        <v>331</v>
      </c>
      <c r="AO17" t="s">
        <v>332</v>
      </c>
      <c r="AP17" t="s">
        <v>333</v>
      </c>
      <c r="AQ17" t="s">
        <v>74</v>
      </c>
      <c r="AR17" t="s">
        <v>334</v>
      </c>
      <c r="AS17" t="s">
        <v>335</v>
      </c>
      <c r="AT17" t="s">
        <v>392</v>
      </c>
      <c r="AU17">
        <v>2014</v>
      </c>
      <c r="AV17">
        <v>67</v>
      </c>
      <c r="AW17">
        <v>8</v>
      </c>
      <c r="AX17" t="s">
        <v>74</v>
      </c>
      <c r="AY17" t="s">
        <v>74</v>
      </c>
      <c r="AZ17" t="s">
        <v>74</v>
      </c>
      <c r="BA17" t="s">
        <v>74</v>
      </c>
      <c r="BB17">
        <v>1609</v>
      </c>
      <c r="BC17">
        <v>1621</v>
      </c>
      <c r="BD17" t="s">
        <v>74</v>
      </c>
      <c r="BE17" t="s">
        <v>393</v>
      </c>
      <c r="BF17" t="str">
        <f>HYPERLINK("http://dx.doi.org/10.1016/j.jbusres.2013.09.007","http://dx.doi.org/10.1016/j.jbusres.2013.09.007")</f>
        <v>http://dx.doi.org/10.1016/j.jbusres.2013.09.007</v>
      </c>
      <c r="BG17" t="s">
        <v>74</v>
      </c>
      <c r="BH17" t="s">
        <v>74</v>
      </c>
      <c r="BI17">
        <v>13</v>
      </c>
      <c r="BJ17" t="s">
        <v>337</v>
      </c>
      <c r="BK17" t="s">
        <v>94</v>
      </c>
      <c r="BL17" t="s">
        <v>95</v>
      </c>
      <c r="BM17" t="s">
        <v>394</v>
      </c>
      <c r="BN17" t="s">
        <v>74</v>
      </c>
      <c r="BO17" t="s">
        <v>74</v>
      </c>
      <c r="BP17" t="s">
        <v>74</v>
      </c>
      <c r="BQ17" t="s">
        <v>74</v>
      </c>
      <c r="BR17" t="s">
        <v>97</v>
      </c>
      <c r="BS17" t="s">
        <v>395</v>
      </c>
      <c r="BT17" t="str">
        <f>HYPERLINK("https%3A%2F%2Fwww.webofscience.com%2Fwos%2Fwoscc%2Ffull-record%2FWOS:000337856400006","View Full Record in Web of Science")</f>
        <v>View Full Record in Web of Science</v>
      </c>
    </row>
    <row r="18" spans="1:72" x14ac:dyDescent="0.25">
      <c r="A18" t="s">
        <v>72</v>
      </c>
      <c r="B18" t="s">
        <v>396</v>
      </c>
      <c r="C18" t="s">
        <v>74</v>
      </c>
      <c r="D18" t="s">
        <v>74</v>
      </c>
      <c r="E18" t="s">
        <v>74</v>
      </c>
      <c r="F18" t="s">
        <v>397</v>
      </c>
      <c r="G18" t="s">
        <v>74</v>
      </c>
      <c r="H18" t="s">
        <v>74</v>
      </c>
      <c r="I18" t="s">
        <v>398</v>
      </c>
      <c r="J18" t="s">
        <v>76</v>
      </c>
      <c r="K18" t="s">
        <v>74</v>
      </c>
      <c r="L18" t="s">
        <v>74</v>
      </c>
      <c r="M18" t="s">
        <v>77</v>
      </c>
      <c r="N18" t="s">
        <v>78</v>
      </c>
      <c r="O18" t="s">
        <v>74</v>
      </c>
      <c r="P18" t="s">
        <v>74</v>
      </c>
      <c r="Q18" t="s">
        <v>74</v>
      </c>
      <c r="R18" t="s">
        <v>74</v>
      </c>
      <c r="S18" t="s">
        <v>74</v>
      </c>
      <c r="T18" t="s">
        <v>74</v>
      </c>
      <c r="U18" t="s">
        <v>399</v>
      </c>
      <c r="V18" t="s">
        <v>400</v>
      </c>
      <c r="W18" t="s">
        <v>401</v>
      </c>
      <c r="X18" t="s">
        <v>402</v>
      </c>
      <c r="Y18" t="s">
        <v>403</v>
      </c>
      <c r="Z18" t="s">
        <v>404</v>
      </c>
      <c r="AA18" t="s">
        <v>74</v>
      </c>
      <c r="AB18" t="s">
        <v>74</v>
      </c>
      <c r="AC18" t="s">
        <v>74</v>
      </c>
      <c r="AD18" t="s">
        <v>74</v>
      </c>
      <c r="AE18" t="s">
        <v>74</v>
      </c>
      <c r="AF18" t="s">
        <v>74</v>
      </c>
      <c r="AG18">
        <v>58</v>
      </c>
      <c r="AH18">
        <v>317</v>
      </c>
      <c r="AI18">
        <v>350</v>
      </c>
      <c r="AJ18">
        <v>20</v>
      </c>
      <c r="AK18">
        <v>200</v>
      </c>
      <c r="AL18" t="s">
        <v>84</v>
      </c>
      <c r="AM18" t="s">
        <v>85</v>
      </c>
      <c r="AN18" t="s">
        <v>86</v>
      </c>
      <c r="AO18" t="s">
        <v>87</v>
      </c>
      <c r="AP18" t="s">
        <v>74</v>
      </c>
      <c r="AQ18" t="s">
        <v>74</v>
      </c>
      <c r="AR18" t="s">
        <v>89</v>
      </c>
      <c r="AS18" t="s">
        <v>90</v>
      </c>
      <c r="AT18" t="s">
        <v>405</v>
      </c>
      <c r="AU18">
        <v>2007</v>
      </c>
      <c r="AV18">
        <v>50</v>
      </c>
      <c r="AW18">
        <v>1</v>
      </c>
      <c r="AX18" t="s">
        <v>74</v>
      </c>
      <c r="AY18" t="s">
        <v>74</v>
      </c>
      <c r="AZ18" t="s">
        <v>74</v>
      </c>
      <c r="BA18" t="s">
        <v>74</v>
      </c>
      <c r="BB18">
        <v>226</v>
      </c>
      <c r="BC18">
        <v>238</v>
      </c>
      <c r="BD18" t="s">
        <v>74</v>
      </c>
      <c r="BE18" t="s">
        <v>406</v>
      </c>
      <c r="BF18" t="str">
        <f>HYPERLINK("http://dx.doi.org/10.2307/20159849","http://dx.doi.org/10.2307/20159849")</f>
        <v>http://dx.doi.org/10.2307/20159849</v>
      </c>
      <c r="BG18" t="s">
        <v>74</v>
      </c>
      <c r="BH18" t="s">
        <v>74</v>
      </c>
      <c r="BI18">
        <v>13</v>
      </c>
      <c r="BJ18" t="s">
        <v>93</v>
      </c>
      <c r="BK18" t="s">
        <v>94</v>
      </c>
      <c r="BL18" t="s">
        <v>95</v>
      </c>
      <c r="BM18" t="s">
        <v>407</v>
      </c>
      <c r="BN18" t="s">
        <v>74</v>
      </c>
      <c r="BO18" t="s">
        <v>408</v>
      </c>
      <c r="BP18" t="s">
        <v>74</v>
      </c>
      <c r="BQ18" t="s">
        <v>74</v>
      </c>
      <c r="BR18" t="s">
        <v>97</v>
      </c>
      <c r="BS18" t="s">
        <v>409</v>
      </c>
      <c r="BT18" t="str">
        <f>HYPERLINK("https%3A%2F%2Fwww.webofscience.com%2Fwos%2Fwoscc%2Ffull-record%2FWOS:000244976900014","View Full Record in Web of Science")</f>
        <v>View Full Record in Web of Science</v>
      </c>
    </row>
    <row r="19" spans="1:72" x14ac:dyDescent="0.25">
      <c r="A19" t="s">
        <v>72</v>
      </c>
      <c r="B19" t="s">
        <v>410</v>
      </c>
      <c r="C19" t="s">
        <v>74</v>
      </c>
      <c r="D19" t="s">
        <v>74</v>
      </c>
      <c r="E19" t="s">
        <v>74</v>
      </c>
      <c r="F19" t="s">
        <v>410</v>
      </c>
      <c r="G19" t="s">
        <v>74</v>
      </c>
      <c r="H19" t="s">
        <v>74</v>
      </c>
      <c r="I19" t="s">
        <v>411</v>
      </c>
      <c r="J19" t="s">
        <v>209</v>
      </c>
      <c r="K19" t="s">
        <v>74</v>
      </c>
      <c r="L19" t="s">
        <v>74</v>
      </c>
      <c r="M19" t="s">
        <v>77</v>
      </c>
      <c r="N19" t="s">
        <v>78</v>
      </c>
      <c r="O19" t="s">
        <v>74</v>
      </c>
      <c r="P19" t="s">
        <v>74</v>
      </c>
      <c r="Q19" t="s">
        <v>74</v>
      </c>
      <c r="R19" t="s">
        <v>74</v>
      </c>
      <c r="S19" t="s">
        <v>74</v>
      </c>
      <c r="T19" t="s">
        <v>74</v>
      </c>
      <c r="U19" t="s">
        <v>412</v>
      </c>
      <c r="V19" t="s">
        <v>413</v>
      </c>
      <c r="W19" t="s">
        <v>346</v>
      </c>
      <c r="X19" t="s">
        <v>104</v>
      </c>
      <c r="Y19" t="s">
        <v>414</v>
      </c>
      <c r="Z19" t="s">
        <v>106</v>
      </c>
      <c r="AA19" t="s">
        <v>74</v>
      </c>
      <c r="AB19" t="s">
        <v>74</v>
      </c>
      <c r="AC19" t="s">
        <v>74</v>
      </c>
      <c r="AD19" t="s">
        <v>74</v>
      </c>
      <c r="AE19" t="s">
        <v>74</v>
      </c>
      <c r="AF19" t="s">
        <v>74</v>
      </c>
      <c r="AG19">
        <v>68</v>
      </c>
      <c r="AH19">
        <v>280</v>
      </c>
      <c r="AI19">
        <v>285</v>
      </c>
      <c r="AJ19">
        <v>5</v>
      </c>
      <c r="AK19">
        <v>93</v>
      </c>
      <c r="AL19" t="s">
        <v>415</v>
      </c>
      <c r="AM19" t="s">
        <v>416</v>
      </c>
      <c r="AN19" t="s">
        <v>417</v>
      </c>
      <c r="AO19" t="s">
        <v>221</v>
      </c>
      <c r="AP19" t="s">
        <v>74</v>
      </c>
      <c r="AQ19" t="s">
        <v>74</v>
      </c>
      <c r="AR19" t="s">
        <v>223</v>
      </c>
      <c r="AS19" t="s">
        <v>224</v>
      </c>
      <c r="AT19" t="s">
        <v>200</v>
      </c>
      <c r="AU19">
        <v>2004</v>
      </c>
      <c r="AV19">
        <v>25</v>
      </c>
      <c r="AW19">
        <v>2</v>
      </c>
      <c r="AX19" t="s">
        <v>74</v>
      </c>
      <c r="AY19" t="s">
        <v>74</v>
      </c>
      <c r="AZ19" t="s">
        <v>74</v>
      </c>
      <c r="BA19" t="s">
        <v>74</v>
      </c>
      <c r="BB19">
        <v>201</v>
      </c>
      <c r="BC19">
        <v>215</v>
      </c>
      <c r="BD19" t="s">
        <v>74</v>
      </c>
      <c r="BE19" t="s">
        <v>418</v>
      </c>
      <c r="BF19" t="str">
        <f>HYPERLINK("http://dx.doi.org/10.1002/job.238","http://dx.doi.org/10.1002/job.238")</f>
        <v>http://dx.doi.org/10.1002/job.238</v>
      </c>
      <c r="BG19" t="s">
        <v>74</v>
      </c>
      <c r="BH19" t="s">
        <v>74</v>
      </c>
      <c r="BI19">
        <v>15</v>
      </c>
      <c r="BJ19" t="s">
        <v>226</v>
      </c>
      <c r="BK19" t="s">
        <v>94</v>
      </c>
      <c r="BL19" t="s">
        <v>227</v>
      </c>
      <c r="BM19" t="s">
        <v>419</v>
      </c>
      <c r="BN19" t="s">
        <v>74</v>
      </c>
      <c r="BO19" t="s">
        <v>74</v>
      </c>
      <c r="BP19" t="s">
        <v>74</v>
      </c>
      <c r="BQ19" t="s">
        <v>74</v>
      </c>
      <c r="BR19" t="s">
        <v>97</v>
      </c>
      <c r="BS19" t="s">
        <v>420</v>
      </c>
      <c r="BT19" t="str">
        <f>HYPERLINK("https%3A%2F%2Fwww.webofscience.com%2Fwos%2Fwoscc%2Ffull-record%2FWOS:000189076900004","View Full Record in Web of Science")</f>
        <v>View Full Record in Web of Science</v>
      </c>
    </row>
    <row r="20" spans="1:72" x14ac:dyDescent="0.25">
      <c r="A20" t="s">
        <v>72</v>
      </c>
      <c r="B20" t="s">
        <v>421</v>
      </c>
      <c r="C20" t="s">
        <v>74</v>
      </c>
      <c r="D20" t="s">
        <v>74</v>
      </c>
      <c r="E20" t="s">
        <v>74</v>
      </c>
      <c r="F20" t="s">
        <v>422</v>
      </c>
      <c r="G20" t="s">
        <v>74</v>
      </c>
      <c r="H20" t="s">
        <v>74</v>
      </c>
      <c r="I20" t="s">
        <v>423</v>
      </c>
      <c r="J20" t="s">
        <v>424</v>
      </c>
      <c r="K20" t="s">
        <v>74</v>
      </c>
      <c r="L20" t="s">
        <v>74</v>
      </c>
      <c r="M20" t="s">
        <v>77</v>
      </c>
      <c r="N20" t="s">
        <v>78</v>
      </c>
      <c r="O20" t="s">
        <v>74</v>
      </c>
      <c r="P20" t="s">
        <v>74</v>
      </c>
      <c r="Q20" t="s">
        <v>74</v>
      </c>
      <c r="R20" t="s">
        <v>74</v>
      </c>
      <c r="S20" t="s">
        <v>74</v>
      </c>
      <c r="T20" t="s">
        <v>425</v>
      </c>
      <c r="U20" t="s">
        <v>426</v>
      </c>
      <c r="V20" t="s">
        <v>427</v>
      </c>
      <c r="W20" t="s">
        <v>428</v>
      </c>
      <c r="X20" t="s">
        <v>429</v>
      </c>
      <c r="Y20" t="s">
        <v>430</v>
      </c>
      <c r="Z20" t="s">
        <v>431</v>
      </c>
      <c r="AA20" t="s">
        <v>432</v>
      </c>
      <c r="AB20" t="s">
        <v>433</v>
      </c>
      <c r="AC20" t="s">
        <v>74</v>
      </c>
      <c r="AD20" t="s">
        <v>74</v>
      </c>
      <c r="AE20" t="s">
        <v>74</v>
      </c>
      <c r="AF20" t="s">
        <v>74</v>
      </c>
      <c r="AG20">
        <v>84</v>
      </c>
      <c r="AH20">
        <v>272</v>
      </c>
      <c r="AI20">
        <v>278</v>
      </c>
      <c r="AJ20">
        <v>2</v>
      </c>
      <c r="AK20">
        <v>81</v>
      </c>
      <c r="AL20" t="s">
        <v>434</v>
      </c>
      <c r="AM20" t="s">
        <v>435</v>
      </c>
      <c r="AN20" t="s">
        <v>436</v>
      </c>
      <c r="AO20" t="s">
        <v>437</v>
      </c>
      <c r="AP20" t="s">
        <v>438</v>
      </c>
      <c r="AQ20" t="s">
        <v>74</v>
      </c>
      <c r="AR20" t="s">
        <v>439</v>
      </c>
      <c r="AS20" t="s">
        <v>440</v>
      </c>
      <c r="AT20" t="s">
        <v>405</v>
      </c>
      <c r="AU20">
        <v>2007</v>
      </c>
      <c r="AV20">
        <v>36</v>
      </c>
      <c r="AW20">
        <v>1</v>
      </c>
      <c r="AX20" t="s">
        <v>74</v>
      </c>
      <c r="AY20" t="s">
        <v>74</v>
      </c>
      <c r="AZ20" t="s">
        <v>74</v>
      </c>
      <c r="BA20" t="s">
        <v>74</v>
      </c>
      <c r="BB20">
        <v>88</v>
      </c>
      <c r="BC20">
        <v>106</v>
      </c>
      <c r="BD20" t="s">
        <v>74</v>
      </c>
      <c r="BE20" t="s">
        <v>441</v>
      </c>
      <c r="BF20" t="str">
        <f>HYPERLINK("http://dx.doi.org/10.1016/j.respol.2006.08.004","http://dx.doi.org/10.1016/j.respol.2006.08.004")</f>
        <v>http://dx.doi.org/10.1016/j.respol.2006.08.004</v>
      </c>
      <c r="BG20" t="s">
        <v>74</v>
      </c>
      <c r="BH20" t="s">
        <v>74</v>
      </c>
      <c r="BI20">
        <v>19</v>
      </c>
      <c r="BJ20" t="s">
        <v>442</v>
      </c>
      <c r="BK20" t="s">
        <v>94</v>
      </c>
      <c r="BL20" t="s">
        <v>95</v>
      </c>
      <c r="BM20" t="s">
        <v>443</v>
      </c>
      <c r="BN20" t="s">
        <v>74</v>
      </c>
      <c r="BO20" t="s">
        <v>74</v>
      </c>
      <c r="BP20" t="s">
        <v>74</v>
      </c>
      <c r="BQ20" t="s">
        <v>74</v>
      </c>
      <c r="BR20" t="s">
        <v>97</v>
      </c>
      <c r="BS20" t="s">
        <v>444</v>
      </c>
      <c r="BT20" t="str">
        <f>HYPERLINK("https%3A%2F%2Fwww.webofscience.com%2Fwos%2Fwoscc%2Ffull-record%2FWOS:000244495100006","View Full Record in Web of Science")</f>
        <v>View Full Record in Web of Science</v>
      </c>
    </row>
    <row r="21" spans="1:72" x14ac:dyDescent="0.25">
      <c r="A21" t="s">
        <v>72</v>
      </c>
      <c r="B21" t="s">
        <v>445</v>
      </c>
      <c r="C21" t="s">
        <v>74</v>
      </c>
      <c r="D21" t="s">
        <v>74</v>
      </c>
      <c r="E21" t="s">
        <v>74</v>
      </c>
      <c r="F21" t="s">
        <v>445</v>
      </c>
      <c r="G21" t="s">
        <v>74</v>
      </c>
      <c r="H21" t="s">
        <v>74</v>
      </c>
      <c r="I21" t="s">
        <v>446</v>
      </c>
      <c r="J21" t="s">
        <v>447</v>
      </c>
      <c r="K21" t="s">
        <v>74</v>
      </c>
      <c r="L21" t="s">
        <v>74</v>
      </c>
      <c r="M21" t="s">
        <v>77</v>
      </c>
      <c r="N21" t="s">
        <v>78</v>
      </c>
      <c r="O21" t="s">
        <v>74</v>
      </c>
      <c r="P21" t="s">
        <v>74</v>
      </c>
      <c r="Q21" t="s">
        <v>74</v>
      </c>
      <c r="R21" t="s">
        <v>74</v>
      </c>
      <c r="S21" t="s">
        <v>74</v>
      </c>
      <c r="T21" t="s">
        <v>74</v>
      </c>
      <c r="U21" t="s">
        <v>448</v>
      </c>
      <c r="V21" t="s">
        <v>449</v>
      </c>
      <c r="W21" t="s">
        <v>450</v>
      </c>
      <c r="X21" t="s">
        <v>451</v>
      </c>
      <c r="Y21" t="s">
        <v>452</v>
      </c>
      <c r="Z21" t="s">
        <v>74</v>
      </c>
      <c r="AA21" t="s">
        <v>74</v>
      </c>
      <c r="AB21" t="s">
        <v>74</v>
      </c>
      <c r="AC21" t="s">
        <v>74</v>
      </c>
      <c r="AD21" t="s">
        <v>74</v>
      </c>
      <c r="AE21" t="s">
        <v>74</v>
      </c>
      <c r="AF21" t="s">
        <v>74</v>
      </c>
      <c r="AG21">
        <v>67</v>
      </c>
      <c r="AH21">
        <v>272</v>
      </c>
      <c r="AI21">
        <v>278</v>
      </c>
      <c r="AJ21">
        <v>7</v>
      </c>
      <c r="AK21">
        <v>82</v>
      </c>
      <c r="AL21" t="s">
        <v>218</v>
      </c>
      <c r="AM21" t="s">
        <v>219</v>
      </c>
      <c r="AN21" t="s">
        <v>220</v>
      </c>
      <c r="AO21" t="s">
        <v>453</v>
      </c>
      <c r="AP21" t="s">
        <v>454</v>
      </c>
      <c r="AQ21" t="s">
        <v>74</v>
      </c>
      <c r="AR21" t="s">
        <v>455</v>
      </c>
      <c r="AS21" t="s">
        <v>456</v>
      </c>
      <c r="AT21" t="s">
        <v>457</v>
      </c>
      <c r="AU21">
        <v>1997</v>
      </c>
      <c r="AV21">
        <v>27</v>
      </c>
      <c r="AW21">
        <v>6</v>
      </c>
      <c r="AX21" t="s">
        <v>74</v>
      </c>
      <c r="AY21" t="s">
        <v>74</v>
      </c>
      <c r="AZ21" t="s">
        <v>74</v>
      </c>
      <c r="BA21" t="s">
        <v>74</v>
      </c>
      <c r="BB21">
        <v>477</v>
      </c>
      <c r="BC21">
        <v>499</v>
      </c>
      <c r="BD21" t="s">
        <v>74</v>
      </c>
      <c r="BE21" t="s">
        <v>458</v>
      </c>
      <c r="BF21" t="str">
        <f>HYPERLINK("http://dx.doi.org/10.1111/j.1559-1816.1997.tb00643.x","http://dx.doi.org/10.1111/j.1559-1816.1997.tb00643.x")</f>
        <v>http://dx.doi.org/10.1111/j.1559-1816.1997.tb00643.x</v>
      </c>
      <c r="BG21" t="s">
        <v>74</v>
      </c>
      <c r="BH21" t="s">
        <v>74</v>
      </c>
      <c r="BI21">
        <v>23</v>
      </c>
      <c r="BJ21" t="s">
        <v>459</v>
      </c>
      <c r="BK21" t="s">
        <v>94</v>
      </c>
      <c r="BL21" t="s">
        <v>460</v>
      </c>
      <c r="BM21" t="s">
        <v>461</v>
      </c>
      <c r="BN21" t="s">
        <v>74</v>
      </c>
      <c r="BO21" t="s">
        <v>74</v>
      </c>
      <c r="BP21" t="s">
        <v>74</v>
      </c>
      <c r="BQ21" t="s">
        <v>74</v>
      </c>
      <c r="BR21" t="s">
        <v>97</v>
      </c>
      <c r="BS21" t="s">
        <v>462</v>
      </c>
      <c r="BT21" t="str">
        <f>HYPERLINK("https%3A%2F%2Fwww.webofscience.com%2Fwos%2Fwoscc%2Ffull-record%2FWOS:A1997WW06600002","View Full Record in Web of Science")</f>
        <v>View Full Record in Web of Science</v>
      </c>
    </row>
    <row r="22" spans="1:72" x14ac:dyDescent="0.25">
      <c r="A22" t="s">
        <v>72</v>
      </c>
      <c r="B22" t="s">
        <v>463</v>
      </c>
      <c r="C22" t="s">
        <v>74</v>
      </c>
      <c r="D22" t="s">
        <v>74</v>
      </c>
      <c r="E22" t="s">
        <v>74</v>
      </c>
      <c r="F22" t="s">
        <v>464</v>
      </c>
      <c r="G22" t="s">
        <v>74</v>
      </c>
      <c r="H22" t="s">
        <v>74</v>
      </c>
      <c r="I22" t="s">
        <v>465</v>
      </c>
      <c r="J22" t="s">
        <v>466</v>
      </c>
      <c r="K22" t="s">
        <v>74</v>
      </c>
      <c r="L22" t="s">
        <v>74</v>
      </c>
      <c r="M22" t="s">
        <v>77</v>
      </c>
      <c r="N22" t="s">
        <v>78</v>
      </c>
      <c r="O22" t="s">
        <v>74</v>
      </c>
      <c r="P22" t="s">
        <v>74</v>
      </c>
      <c r="Q22" t="s">
        <v>74</v>
      </c>
      <c r="R22" t="s">
        <v>74</v>
      </c>
      <c r="S22" t="s">
        <v>74</v>
      </c>
      <c r="T22" t="s">
        <v>467</v>
      </c>
      <c r="U22" t="s">
        <v>468</v>
      </c>
      <c r="V22" t="s">
        <v>469</v>
      </c>
      <c r="W22" t="s">
        <v>470</v>
      </c>
      <c r="X22" t="s">
        <v>471</v>
      </c>
      <c r="Y22" t="s">
        <v>472</v>
      </c>
      <c r="Z22" t="s">
        <v>473</v>
      </c>
      <c r="AA22" t="s">
        <v>474</v>
      </c>
      <c r="AB22" t="s">
        <v>475</v>
      </c>
      <c r="AC22" t="s">
        <v>74</v>
      </c>
      <c r="AD22" t="s">
        <v>74</v>
      </c>
      <c r="AE22" t="s">
        <v>74</v>
      </c>
      <c r="AF22" t="s">
        <v>74</v>
      </c>
      <c r="AG22">
        <v>106</v>
      </c>
      <c r="AH22">
        <v>251</v>
      </c>
      <c r="AI22">
        <v>264</v>
      </c>
      <c r="AJ22">
        <v>21</v>
      </c>
      <c r="AK22">
        <v>219</v>
      </c>
      <c r="AL22" t="s">
        <v>218</v>
      </c>
      <c r="AM22" t="s">
        <v>219</v>
      </c>
      <c r="AN22" t="s">
        <v>220</v>
      </c>
      <c r="AO22" t="s">
        <v>476</v>
      </c>
      <c r="AP22" t="s">
        <v>477</v>
      </c>
      <c r="AQ22" t="s">
        <v>74</v>
      </c>
      <c r="AR22" t="s">
        <v>478</v>
      </c>
      <c r="AS22" t="s">
        <v>479</v>
      </c>
      <c r="AT22" t="s">
        <v>74</v>
      </c>
      <c r="AU22">
        <v>2009</v>
      </c>
      <c r="AV22">
        <v>43</v>
      </c>
      <c r="AW22">
        <v>3</v>
      </c>
      <c r="AX22" t="s">
        <v>74</v>
      </c>
      <c r="AY22" t="s">
        <v>74</v>
      </c>
      <c r="AZ22" t="s">
        <v>74</v>
      </c>
      <c r="BA22" t="s">
        <v>74</v>
      </c>
      <c r="BB22">
        <v>169</v>
      </c>
      <c r="BC22">
        <v>191</v>
      </c>
      <c r="BD22" t="s">
        <v>74</v>
      </c>
      <c r="BE22" t="s">
        <v>480</v>
      </c>
      <c r="BF22" t="str">
        <f>HYPERLINK("http://dx.doi.org/10.1002/j.2162-6057.2009.tb01313.x","http://dx.doi.org/10.1002/j.2162-6057.2009.tb01313.x")</f>
        <v>http://dx.doi.org/10.1002/j.2162-6057.2009.tb01313.x</v>
      </c>
      <c r="BG22" t="s">
        <v>74</v>
      </c>
      <c r="BH22" t="s">
        <v>74</v>
      </c>
      <c r="BI22">
        <v>23</v>
      </c>
      <c r="BJ22" t="s">
        <v>481</v>
      </c>
      <c r="BK22" t="s">
        <v>94</v>
      </c>
      <c r="BL22" t="s">
        <v>460</v>
      </c>
      <c r="BM22" t="s">
        <v>482</v>
      </c>
      <c r="BN22" t="s">
        <v>74</v>
      </c>
      <c r="BO22" t="s">
        <v>111</v>
      </c>
      <c r="BP22" t="s">
        <v>74</v>
      </c>
      <c r="BQ22" t="s">
        <v>74</v>
      </c>
      <c r="BR22" t="s">
        <v>97</v>
      </c>
      <c r="BS22" t="s">
        <v>483</v>
      </c>
      <c r="BT22" t="str">
        <f>HYPERLINK("https%3A%2F%2Fwww.webofscience.com%2Fwos%2Fwoscc%2Ffull-record%2FWOS:000278023500002","View Full Record in Web of Science")</f>
        <v>View Full Record in Web of Science</v>
      </c>
    </row>
    <row r="23" spans="1:72" x14ac:dyDescent="0.25">
      <c r="A23" t="s">
        <v>72</v>
      </c>
      <c r="B23" t="s">
        <v>410</v>
      </c>
      <c r="C23" t="s">
        <v>74</v>
      </c>
      <c r="D23" t="s">
        <v>74</v>
      </c>
      <c r="E23" t="s">
        <v>74</v>
      </c>
      <c r="F23" t="s">
        <v>410</v>
      </c>
      <c r="G23" t="s">
        <v>74</v>
      </c>
      <c r="H23" t="s">
        <v>74</v>
      </c>
      <c r="I23" t="s">
        <v>484</v>
      </c>
      <c r="J23" t="s">
        <v>485</v>
      </c>
      <c r="K23" t="s">
        <v>74</v>
      </c>
      <c r="L23" t="s">
        <v>74</v>
      </c>
      <c r="M23" t="s">
        <v>77</v>
      </c>
      <c r="N23" t="s">
        <v>78</v>
      </c>
      <c r="O23" t="s">
        <v>74</v>
      </c>
      <c r="P23" t="s">
        <v>74</v>
      </c>
      <c r="Q23" t="s">
        <v>74</v>
      </c>
      <c r="R23" t="s">
        <v>74</v>
      </c>
      <c r="S23" t="s">
        <v>74</v>
      </c>
      <c r="T23" t="s">
        <v>74</v>
      </c>
      <c r="U23" t="s">
        <v>486</v>
      </c>
      <c r="V23" t="s">
        <v>487</v>
      </c>
      <c r="W23" t="s">
        <v>488</v>
      </c>
      <c r="X23" t="s">
        <v>104</v>
      </c>
      <c r="Y23" t="s">
        <v>489</v>
      </c>
      <c r="Z23" t="s">
        <v>74</v>
      </c>
      <c r="AA23" t="s">
        <v>74</v>
      </c>
      <c r="AB23" t="s">
        <v>74</v>
      </c>
      <c r="AC23" t="s">
        <v>74</v>
      </c>
      <c r="AD23" t="s">
        <v>74</v>
      </c>
      <c r="AE23" t="s">
        <v>74</v>
      </c>
      <c r="AF23" t="s">
        <v>74</v>
      </c>
      <c r="AG23">
        <v>72</v>
      </c>
      <c r="AH23">
        <v>244</v>
      </c>
      <c r="AI23">
        <v>250</v>
      </c>
      <c r="AJ23">
        <v>6</v>
      </c>
      <c r="AK23">
        <v>117</v>
      </c>
      <c r="AL23" t="s">
        <v>490</v>
      </c>
      <c r="AM23" t="s">
        <v>491</v>
      </c>
      <c r="AN23" t="s">
        <v>492</v>
      </c>
      <c r="AO23" t="s">
        <v>493</v>
      </c>
      <c r="AP23" t="s">
        <v>74</v>
      </c>
      <c r="AQ23" t="s">
        <v>74</v>
      </c>
      <c r="AR23" t="s">
        <v>494</v>
      </c>
      <c r="AS23" t="s">
        <v>495</v>
      </c>
      <c r="AT23" t="s">
        <v>496</v>
      </c>
      <c r="AU23">
        <v>2003</v>
      </c>
      <c r="AV23">
        <v>76</v>
      </c>
      <c r="AW23" t="s">
        <v>74</v>
      </c>
      <c r="AX23">
        <v>3</v>
      </c>
      <c r="AY23" t="s">
        <v>74</v>
      </c>
      <c r="AZ23" t="s">
        <v>74</v>
      </c>
      <c r="BA23" t="s">
        <v>74</v>
      </c>
      <c r="BB23">
        <v>347</v>
      </c>
      <c r="BC23">
        <v>364</v>
      </c>
      <c r="BD23" t="s">
        <v>74</v>
      </c>
      <c r="BE23" t="s">
        <v>497</v>
      </c>
      <c r="BF23" t="str">
        <f>HYPERLINK("http://dx.doi.org/10.1348/096317903769647210","http://dx.doi.org/10.1348/096317903769647210")</f>
        <v>http://dx.doi.org/10.1348/096317903769647210</v>
      </c>
      <c r="BG23" t="s">
        <v>74</v>
      </c>
      <c r="BH23" t="s">
        <v>74</v>
      </c>
      <c r="BI23">
        <v>18</v>
      </c>
      <c r="BJ23" t="s">
        <v>202</v>
      </c>
      <c r="BK23" t="s">
        <v>94</v>
      </c>
      <c r="BL23" t="s">
        <v>203</v>
      </c>
      <c r="BM23" t="s">
        <v>498</v>
      </c>
      <c r="BN23" t="s">
        <v>74</v>
      </c>
      <c r="BO23" t="s">
        <v>74</v>
      </c>
      <c r="BP23" t="s">
        <v>74</v>
      </c>
      <c r="BQ23" t="s">
        <v>74</v>
      </c>
      <c r="BR23" t="s">
        <v>97</v>
      </c>
      <c r="BS23" t="s">
        <v>499</v>
      </c>
      <c r="BT23" t="str">
        <f>HYPERLINK("https%3A%2F%2Fwww.webofscience.com%2Fwos%2Fwoscc%2Ffull-record%2FWOS:000185691500004","View Full Record in Web of Science")</f>
        <v>View Full Record in Web of Science</v>
      </c>
    </row>
    <row r="24" spans="1:72" x14ac:dyDescent="0.25">
      <c r="A24" t="s">
        <v>72</v>
      </c>
      <c r="B24" t="s">
        <v>500</v>
      </c>
      <c r="C24" t="s">
        <v>74</v>
      </c>
      <c r="D24" t="s">
        <v>74</v>
      </c>
      <c r="E24" t="s">
        <v>74</v>
      </c>
      <c r="F24" t="s">
        <v>500</v>
      </c>
      <c r="G24" t="s">
        <v>74</v>
      </c>
      <c r="H24" t="s">
        <v>74</v>
      </c>
      <c r="I24" t="s">
        <v>501</v>
      </c>
      <c r="J24" t="s">
        <v>424</v>
      </c>
      <c r="K24" t="s">
        <v>74</v>
      </c>
      <c r="L24" t="s">
        <v>74</v>
      </c>
      <c r="M24" t="s">
        <v>77</v>
      </c>
      <c r="N24" t="s">
        <v>78</v>
      </c>
      <c r="O24" t="s">
        <v>74</v>
      </c>
      <c r="P24" t="s">
        <v>74</v>
      </c>
      <c r="Q24" t="s">
        <v>74</v>
      </c>
      <c r="R24" t="s">
        <v>74</v>
      </c>
      <c r="S24" t="s">
        <v>74</v>
      </c>
      <c r="T24" t="s">
        <v>502</v>
      </c>
      <c r="U24" t="s">
        <v>503</v>
      </c>
      <c r="V24" t="s">
        <v>504</v>
      </c>
      <c r="W24" t="s">
        <v>505</v>
      </c>
      <c r="X24" t="s">
        <v>506</v>
      </c>
      <c r="Y24" t="s">
        <v>507</v>
      </c>
      <c r="Z24" t="s">
        <v>508</v>
      </c>
      <c r="AA24" t="s">
        <v>509</v>
      </c>
      <c r="AB24" t="s">
        <v>510</v>
      </c>
      <c r="AC24" t="s">
        <v>74</v>
      </c>
      <c r="AD24" t="s">
        <v>74</v>
      </c>
      <c r="AE24" t="s">
        <v>74</v>
      </c>
      <c r="AF24" t="s">
        <v>74</v>
      </c>
      <c r="AG24">
        <v>89</v>
      </c>
      <c r="AH24">
        <v>243</v>
      </c>
      <c r="AI24">
        <v>254</v>
      </c>
      <c r="AJ24">
        <v>4</v>
      </c>
      <c r="AK24">
        <v>68</v>
      </c>
      <c r="AL24" t="s">
        <v>511</v>
      </c>
      <c r="AM24" t="s">
        <v>435</v>
      </c>
      <c r="AN24" t="s">
        <v>512</v>
      </c>
      <c r="AO24" t="s">
        <v>437</v>
      </c>
      <c r="AP24" t="s">
        <v>438</v>
      </c>
      <c r="AQ24" t="s">
        <v>74</v>
      </c>
      <c r="AR24" t="s">
        <v>439</v>
      </c>
      <c r="AS24" t="s">
        <v>440</v>
      </c>
      <c r="AT24" t="s">
        <v>165</v>
      </c>
      <c r="AU24">
        <v>2003</v>
      </c>
      <c r="AV24">
        <v>32</v>
      </c>
      <c r="AW24">
        <v>5</v>
      </c>
      <c r="AX24" t="s">
        <v>74</v>
      </c>
      <c r="AY24" t="s">
        <v>74</v>
      </c>
      <c r="AZ24" t="s">
        <v>74</v>
      </c>
      <c r="BA24" t="s">
        <v>74</v>
      </c>
      <c r="BB24">
        <v>715</v>
      </c>
      <c r="BC24">
        <v>736</v>
      </c>
      <c r="BD24" t="s">
        <v>513</v>
      </c>
      <c r="BE24" t="s">
        <v>514</v>
      </c>
      <c r="BF24" t="str">
        <f>HYPERLINK("http://dx.doi.org/10.1016/S0048-7333(02)00082-3","http://dx.doi.org/10.1016/S0048-7333(02)00082-3")</f>
        <v>http://dx.doi.org/10.1016/S0048-7333(02)00082-3</v>
      </c>
      <c r="BG24" t="s">
        <v>74</v>
      </c>
      <c r="BH24" t="s">
        <v>74</v>
      </c>
      <c r="BI24">
        <v>22</v>
      </c>
      <c r="BJ24" t="s">
        <v>442</v>
      </c>
      <c r="BK24" t="s">
        <v>94</v>
      </c>
      <c r="BL24" t="s">
        <v>95</v>
      </c>
      <c r="BM24" t="s">
        <v>515</v>
      </c>
      <c r="BN24" t="s">
        <v>74</v>
      </c>
      <c r="BO24" t="s">
        <v>74</v>
      </c>
      <c r="BP24" t="s">
        <v>74</v>
      </c>
      <c r="BQ24" t="s">
        <v>74</v>
      </c>
      <c r="BR24" t="s">
        <v>97</v>
      </c>
      <c r="BS24" t="s">
        <v>516</v>
      </c>
      <c r="BT24" t="str">
        <f>HYPERLINK("https%3A%2F%2Fwww.webofscience.com%2Fwos%2Fwoscc%2Ffull-record%2FWOS:000182558800002","View Full Record in Web of Science")</f>
        <v>View Full Record in Web of Science</v>
      </c>
    </row>
    <row r="25" spans="1:72" x14ac:dyDescent="0.25">
      <c r="A25" t="s">
        <v>72</v>
      </c>
      <c r="B25" t="s">
        <v>517</v>
      </c>
      <c r="C25" t="s">
        <v>74</v>
      </c>
      <c r="D25" t="s">
        <v>74</v>
      </c>
      <c r="E25" t="s">
        <v>74</v>
      </c>
      <c r="F25" t="s">
        <v>517</v>
      </c>
      <c r="G25" t="s">
        <v>74</v>
      </c>
      <c r="H25" t="s">
        <v>74</v>
      </c>
      <c r="I25" t="s">
        <v>518</v>
      </c>
      <c r="J25" t="s">
        <v>519</v>
      </c>
      <c r="K25" t="s">
        <v>74</v>
      </c>
      <c r="L25" t="s">
        <v>74</v>
      </c>
      <c r="M25" t="s">
        <v>77</v>
      </c>
      <c r="N25" t="s">
        <v>78</v>
      </c>
      <c r="O25" t="s">
        <v>74</v>
      </c>
      <c r="P25" t="s">
        <v>74</v>
      </c>
      <c r="Q25" t="s">
        <v>74</v>
      </c>
      <c r="R25" t="s">
        <v>74</v>
      </c>
      <c r="S25" t="s">
        <v>74</v>
      </c>
      <c r="T25" t="s">
        <v>74</v>
      </c>
      <c r="U25" t="s">
        <v>520</v>
      </c>
      <c r="V25" t="s">
        <v>521</v>
      </c>
      <c r="W25" t="s">
        <v>522</v>
      </c>
      <c r="X25" t="s">
        <v>523</v>
      </c>
      <c r="Y25" t="s">
        <v>524</v>
      </c>
      <c r="Z25" t="s">
        <v>525</v>
      </c>
      <c r="AA25" t="s">
        <v>526</v>
      </c>
      <c r="AB25" t="s">
        <v>527</v>
      </c>
      <c r="AC25" t="s">
        <v>74</v>
      </c>
      <c r="AD25" t="s">
        <v>74</v>
      </c>
      <c r="AE25" t="s">
        <v>74</v>
      </c>
      <c r="AF25" t="s">
        <v>74</v>
      </c>
      <c r="AG25">
        <v>82</v>
      </c>
      <c r="AH25">
        <v>238</v>
      </c>
      <c r="AI25">
        <v>253</v>
      </c>
      <c r="AJ25">
        <v>2</v>
      </c>
      <c r="AK25">
        <v>59</v>
      </c>
      <c r="AL25" t="s">
        <v>528</v>
      </c>
      <c r="AM25" t="s">
        <v>195</v>
      </c>
      <c r="AN25" t="s">
        <v>529</v>
      </c>
      <c r="AO25" t="s">
        <v>530</v>
      </c>
      <c r="AP25" t="s">
        <v>74</v>
      </c>
      <c r="AQ25" t="s">
        <v>74</v>
      </c>
      <c r="AR25" t="s">
        <v>531</v>
      </c>
      <c r="AS25" t="s">
        <v>532</v>
      </c>
      <c r="AT25" t="s">
        <v>165</v>
      </c>
      <c r="AU25">
        <v>2000</v>
      </c>
      <c r="AV25">
        <v>126</v>
      </c>
      <c r="AW25">
        <v>2</v>
      </c>
      <c r="AX25" t="s">
        <v>74</v>
      </c>
      <c r="AY25" t="s">
        <v>74</v>
      </c>
      <c r="AZ25" t="s">
        <v>74</v>
      </c>
      <c r="BA25" t="s">
        <v>74</v>
      </c>
      <c r="BB25">
        <v>241</v>
      </c>
      <c r="BC25">
        <v>260</v>
      </c>
      <c r="BD25" t="s">
        <v>74</v>
      </c>
      <c r="BE25" t="s">
        <v>74</v>
      </c>
      <c r="BF25" t="s">
        <v>74</v>
      </c>
      <c r="BG25" t="s">
        <v>74</v>
      </c>
      <c r="BH25" t="s">
        <v>74</v>
      </c>
      <c r="BI25">
        <v>20</v>
      </c>
      <c r="BJ25" t="s">
        <v>533</v>
      </c>
      <c r="BK25" t="s">
        <v>94</v>
      </c>
      <c r="BL25" t="s">
        <v>460</v>
      </c>
      <c r="BM25" t="s">
        <v>534</v>
      </c>
      <c r="BN25">
        <v>10846623</v>
      </c>
      <c r="BO25" t="s">
        <v>74</v>
      </c>
      <c r="BP25" t="s">
        <v>74</v>
      </c>
      <c r="BQ25" t="s">
        <v>74</v>
      </c>
      <c r="BR25" t="s">
        <v>97</v>
      </c>
      <c r="BS25" t="s">
        <v>535</v>
      </c>
      <c r="BT25" t="str">
        <f>HYPERLINK("https%3A%2F%2Fwww.webofscience.com%2Fwos%2Fwoscc%2Ffull-record%2FWOS:000087249100002","View Full Record in Web of Science")</f>
        <v>View Full Record in Web of Science</v>
      </c>
    </row>
    <row r="26" spans="1:72" x14ac:dyDescent="0.25">
      <c r="A26" t="s">
        <v>72</v>
      </c>
      <c r="B26" t="s">
        <v>536</v>
      </c>
      <c r="C26" t="s">
        <v>74</v>
      </c>
      <c r="D26" t="s">
        <v>74</v>
      </c>
      <c r="E26" t="s">
        <v>74</v>
      </c>
      <c r="F26" t="s">
        <v>536</v>
      </c>
      <c r="G26" t="s">
        <v>74</v>
      </c>
      <c r="H26" t="s">
        <v>74</v>
      </c>
      <c r="I26" t="s">
        <v>537</v>
      </c>
      <c r="J26" t="s">
        <v>538</v>
      </c>
      <c r="K26" t="s">
        <v>74</v>
      </c>
      <c r="L26" t="s">
        <v>74</v>
      </c>
      <c r="M26" t="s">
        <v>77</v>
      </c>
      <c r="N26" t="s">
        <v>78</v>
      </c>
      <c r="O26" t="s">
        <v>74</v>
      </c>
      <c r="P26" t="s">
        <v>74</v>
      </c>
      <c r="Q26" t="s">
        <v>74</v>
      </c>
      <c r="R26" t="s">
        <v>74</v>
      </c>
      <c r="S26" t="s">
        <v>74</v>
      </c>
      <c r="T26" t="s">
        <v>74</v>
      </c>
      <c r="U26" t="s">
        <v>74</v>
      </c>
      <c r="V26" t="s">
        <v>74</v>
      </c>
      <c r="W26" t="s">
        <v>74</v>
      </c>
      <c r="X26" t="s">
        <v>74</v>
      </c>
      <c r="Y26" t="s">
        <v>539</v>
      </c>
      <c r="Z26" t="s">
        <v>74</v>
      </c>
      <c r="AA26" t="s">
        <v>74</v>
      </c>
      <c r="AB26" t="s">
        <v>74</v>
      </c>
      <c r="AC26" t="s">
        <v>74</v>
      </c>
      <c r="AD26" t="s">
        <v>74</v>
      </c>
      <c r="AE26" t="s">
        <v>74</v>
      </c>
      <c r="AF26" t="s">
        <v>74</v>
      </c>
      <c r="AG26">
        <v>36</v>
      </c>
      <c r="AH26">
        <v>226</v>
      </c>
      <c r="AI26">
        <v>229</v>
      </c>
      <c r="AJ26">
        <v>2</v>
      </c>
      <c r="AK26">
        <v>51</v>
      </c>
      <c r="AL26" t="s">
        <v>540</v>
      </c>
      <c r="AM26" t="s">
        <v>541</v>
      </c>
      <c r="AN26" t="s">
        <v>542</v>
      </c>
      <c r="AO26" t="s">
        <v>543</v>
      </c>
      <c r="AP26" t="s">
        <v>74</v>
      </c>
      <c r="AQ26" t="s">
        <v>74</v>
      </c>
      <c r="AR26" t="s">
        <v>544</v>
      </c>
      <c r="AS26" t="s">
        <v>545</v>
      </c>
      <c r="AT26" t="s">
        <v>74</v>
      </c>
      <c r="AU26">
        <v>1985</v>
      </c>
      <c r="AV26">
        <v>308</v>
      </c>
      <c r="AW26">
        <v>1135</v>
      </c>
      <c r="AX26" t="s">
        <v>74</v>
      </c>
      <c r="AY26" t="s">
        <v>74</v>
      </c>
      <c r="AZ26" t="s">
        <v>74</v>
      </c>
      <c r="BA26" t="s">
        <v>74</v>
      </c>
      <c r="BB26">
        <v>203</v>
      </c>
      <c r="BC26">
        <v>214</v>
      </c>
      <c r="BD26" t="s">
        <v>74</v>
      </c>
      <c r="BE26" t="s">
        <v>546</v>
      </c>
      <c r="BF26" t="str">
        <f>HYPERLINK("http://dx.doi.org/10.1098/rstb.1985.0020","http://dx.doi.org/10.1098/rstb.1985.0020")</f>
        <v>http://dx.doi.org/10.1098/rstb.1985.0020</v>
      </c>
      <c r="BG26" t="s">
        <v>74</v>
      </c>
      <c r="BH26" t="s">
        <v>74</v>
      </c>
      <c r="BI26">
        <v>12</v>
      </c>
      <c r="BJ26" t="s">
        <v>547</v>
      </c>
      <c r="BK26" t="s">
        <v>147</v>
      </c>
      <c r="BL26" t="s">
        <v>548</v>
      </c>
      <c r="BM26" t="s">
        <v>549</v>
      </c>
      <c r="BN26" t="s">
        <v>74</v>
      </c>
      <c r="BO26" t="s">
        <v>74</v>
      </c>
      <c r="BP26" t="s">
        <v>74</v>
      </c>
      <c r="BQ26" t="s">
        <v>74</v>
      </c>
      <c r="BR26" t="s">
        <v>97</v>
      </c>
      <c r="BS26" t="s">
        <v>550</v>
      </c>
      <c r="BT26" t="str">
        <f>HYPERLINK("https%3A%2F%2Fwww.webofscience.com%2Fwos%2Fwoscc%2Ffull-record%2FWOS:A1985ACG3700015","View Full Record in Web of Science")</f>
        <v>View Full Record in Web of Science</v>
      </c>
    </row>
    <row r="27" spans="1:72" x14ac:dyDescent="0.25">
      <c r="A27" t="s">
        <v>72</v>
      </c>
      <c r="B27" t="s">
        <v>410</v>
      </c>
      <c r="C27" t="s">
        <v>74</v>
      </c>
      <c r="D27" t="s">
        <v>74</v>
      </c>
      <c r="E27" t="s">
        <v>74</v>
      </c>
      <c r="F27" t="s">
        <v>410</v>
      </c>
      <c r="G27" t="s">
        <v>74</v>
      </c>
      <c r="H27" t="s">
        <v>74</v>
      </c>
      <c r="I27" t="s">
        <v>551</v>
      </c>
      <c r="J27" t="s">
        <v>485</v>
      </c>
      <c r="K27" t="s">
        <v>74</v>
      </c>
      <c r="L27" t="s">
        <v>74</v>
      </c>
      <c r="M27" t="s">
        <v>77</v>
      </c>
      <c r="N27" t="s">
        <v>78</v>
      </c>
      <c r="O27" t="s">
        <v>74</v>
      </c>
      <c r="P27" t="s">
        <v>74</v>
      </c>
      <c r="Q27" t="s">
        <v>74</v>
      </c>
      <c r="R27" t="s">
        <v>74</v>
      </c>
      <c r="S27" t="s">
        <v>74</v>
      </c>
      <c r="T27" t="s">
        <v>74</v>
      </c>
      <c r="U27" t="s">
        <v>552</v>
      </c>
      <c r="V27" t="s">
        <v>553</v>
      </c>
      <c r="W27" t="s">
        <v>554</v>
      </c>
      <c r="X27" t="s">
        <v>104</v>
      </c>
      <c r="Y27" t="s">
        <v>555</v>
      </c>
      <c r="Z27" t="s">
        <v>556</v>
      </c>
      <c r="AA27" t="s">
        <v>74</v>
      </c>
      <c r="AB27" t="s">
        <v>74</v>
      </c>
      <c r="AC27" t="s">
        <v>74</v>
      </c>
      <c r="AD27" t="s">
        <v>74</v>
      </c>
      <c r="AE27" t="s">
        <v>74</v>
      </c>
      <c r="AF27" t="s">
        <v>74</v>
      </c>
      <c r="AG27">
        <v>15</v>
      </c>
      <c r="AH27">
        <v>225</v>
      </c>
      <c r="AI27">
        <v>234</v>
      </c>
      <c r="AJ27">
        <v>3</v>
      </c>
      <c r="AK27">
        <v>87</v>
      </c>
      <c r="AL27" t="s">
        <v>218</v>
      </c>
      <c r="AM27" t="s">
        <v>219</v>
      </c>
      <c r="AN27" t="s">
        <v>220</v>
      </c>
      <c r="AO27" t="s">
        <v>493</v>
      </c>
      <c r="AP27" t="s">
        <v>557</v>
      </c>
      <c r="AQ27" t="s">
        <v>74</v>
      </c>
      <c r="AR27" t="s">
        <v>494</v>
      </c>
      <c r="AS27" t="s">
        <v>495</v>
      </c>
      <c r="AT27" t="s">
        <v>375</v>
      </c>
      <c r="AU27">
        <v>2005</v>
      </c>
      <c r="AV27">
        <v>78</v>
      </c>
      <c r="AW27" t="s">
        <v>74</v>
      </c>
      <c r="AX27">
        <v>4</v>
      </c>
      <c r="AY27" t="s">
        <v>74</v>
      </c>
      <c r="AZ27" t="s">
        <v>74</v>
      </c>
      <c r="BA27" t="s">
        <v>74</v>
      </c>
      <c r="BB27">
        <v>573</v>
      </c>
      <c r="BC27">
        <v>579</v>
      </c>
      <c r="BD27" t="s">
        <v>74</v>
      </c>
      <c r="BE27" t="s">
        <v>558</v>
      </c>
      <c r="BF27" t="str">
        <f>HYPERLINK("http://dx.doi.org/10.1348/096317905X25823","http://dx.doi.org/10.1348/096317905X25823")</f>
        <v>http://dx.doi.org/10.1348/096317905X25823</v>
      </c>
      <c r="BG27" t="s">
        <v>74</v>
      </c>
      <c r="BH27" t="s">
        <v>74</v>
      </c>
      <c r="BI27">
        <v>7</v>
      </c>
      <c r="BJ27" t="s">
        <v>202</v>
      </c>
      <c r="BK27" t="s">
        <v>94</v>
      </c>
      <c r="BL27" t="s">
        <v>203</v>
      </c>
      <c r="BM27" t="s">
        <v>559</v>
      </c>
      <c r="BN27" t="s">
        <v>74</v>
      </c>
      <c r="BO27" t="s">
        <v>74</v>
      </c>
      <c r="BP27" t="s">
        <v>74</v>
      </c>
      <c r="BQ27" t="s">
        <v>74</v>
      </c>
      <c r="BR27" t="s">
        <v>97</v>
      </c>
      <c r="BS27" t="s">
        <v>560</v>
      </c>
      <c r="BT27" t="str">
        <f>HYPERLINK("https%3A%2F%2Fwww.webofscience.com%2Fwos%2Fwoscc%2Ffull-record%2FWOS:000233872200005","View Full Record in Web of Science")</f>
        <v>View Full Record in Web of Science</v>
      </c>
    </row>
    <row r="28" spans="1:72" x14ac:dyDescent="0.25">
      <c r="A28" t="s">
        <v>72</v>
      </c>
      <c r="B28" t="s">
        <v>561</v>
      </c>
      <c r="C28" t="s">
        <v>74</v>
      </c>
      <c r="D28" t="s">
        <v>74</v>
      </c>
      <c r="E28" t="s">
        <v>74</v>
      </c>
      <c r="F28" t="s">
        <v>562</v>
      </c>
      <c r="G28" t="s">
        <v>74</v>
      </c>
      <c r="H28" t="s">
        <v>74</v>
      </c>
      <c r="I28" t="s">
        <v>563</v>
      </c>
      <c r="J28" t="s">
        <v>564</v>
      </c>
      <c r="K28" t="s">
        <v>74</v>
      </c>
      <c r="L28" t="s">
        <v>74</v>
      </c>
      <c r="M28" t="s">
        <v>77</v>
      </c>
      <c r="N28" t="s">
        <v>78</v>
      </c>
      <c r="O28" t="s">
        <v>74</v>
      </c>
      <c r="P28" t="s">
        <v>74</v>
      </c>
      <c r="Q28" t="s">
        <v>74</v>
      </c>
      <c r="R28" t="s">
        <v>74</v>
      </c>
      <c r="S28" t="s">
        <v>74</v>
      </c>
      <c r="T28" t="s">
        <v>565</v>
      </c>
      <c r="U28" t="s">
        <v>566</v>
      </c>
      <c r="V28" t="s">
        <v>567</v>
      </c>
      <c r="W28" t="s">
        <v>568</v>
      </c>
      <c r="X28" t="s">
        <v>569</v>
      </c>
      <c r="Y28" t="s">
        <v>570</v>
      </c>
      <c r="Z28" t="s">
        <v>571</v>
      </c>
      <c r="AA28" t="s">
        <v>572</v>
      </c>
      <c r="AB28" t="s">
        <v>573</v>
      </c>
      <c r="AC28" t="s">
        <v>574</v>
      </c>
      <c r="AD28" t="s">
        <v>575</v>
      </c>
      <c r="AE28" t="s">
        <v>576</v>
      </c>
      <c r="AF28" t="s">
        <v>74</v>
      </c>
      <c r="AG28">
        <v>270</v>
      </c>
      <c r="AH28">
        <v>219</v>
      </c>
      <c r="AI28">
        <v>226</v>
      </c>
      <c r="AJ28">
        <v>96</v>
      </c>
      <c r="AK28">
        <v>529</v>
      </c>
      <c r="AL28" t="s">
        <v>577</v>
      </c>
      <c r="AM28" t="s">
        <v>578</v>
      </c>
      <c r="AN28" t="s">
        <v>579</v>
      </c>
      <c r="AO28" t="s">
        <v>580</v>
      </c>
      <c r="AP28" t="s">
        <v>581</v>
      </c>
      <c r="AQ28" t="s">
        <v>74</v>
      </c>
      <c r="AR28" t="s">
        <v>582</v>
      </c>
      <c r="AS28" t="s">
        <v>583</v>
      </c>
      <c r="AT28" t="s">
        <v>584</v>
      </c>
      <c r="AU28">
        <v>2016</v>
      </c>
      <c r="AV28">
        <v>137</v>
      </c>
      <c r="AW28" t="s">
        <v>74</v>
      </c>
      <c r="AX28" t="s">
        <v>74</v>
      </c>
      <c r="AY28" t="s">
        <v>74</v>
      </c>
      <c r="AZ28" t="s">
        <v>74</v>
      </c>
      <c r="BA28" t="s">
        <v>74</v>
      </c>
      <c r="BB28">
        <v>236</v>
      </c>
      <c r="BC28">
        <v>263</v>
      </c>
      <c r="BD28" t="s">
        <v>74</v>
      </c>
      <c r="BE28" t="s">
        <v>585</v>
      </c>
      <c r="BF28" t="str">
        <f>HYPERLINK("http://dx.doi.org/10.1016/j.obhdp.2016.08.001","http://dx.doi.org/10.1016/j.obhdp.2016.08.001")</f>
        <v>http://dx.doi.org/10.1016/j.obhdp.2016.08.001</v>
      </c>
      <c r="BG28" t="s">
        <v>74</v>
      </c>
      <c r="BH28" t="s">
        <v>74</v>
      </c>
      <c r="BI28">
        <v>28</v>
      </c>
      <c r="BJ28" t="s">
        <v>586</v>
      </c>
      <c r="BK28" t="s">
        <v>94</v>
      </c>
      <c r="BL28" t="s">
        <v>203</v>
      </c>
      <c r="BM28" t="s">
        <v>587</v>
      </c>
      <c r="BN28" t="s">
        <v>74</v>
      </c>
      <c r="BO28" t="s">
        <v>74</v>
      </c>
      <c r="BP28" t="s">
        <v>150</v>
      </c>
      <c r="BQ28" t="s">
        <v>151</v>
      </c>
      <c r="BR28" t="s">
        <v>97</v>
      </c>
      <c r="BS28" t="s">
        <v>588</v>
      </c>
      <c r="BT28" t="str">
        <f>HYPERLINK("https%3A%2F%2Fwww.webofscience.com%2Fwos%2Fwoscc%2Ffull-record%2FWOS:000389104100017","View Full Record in Web of Science")</f>
        <v>View Full Record in Web of Science</v>
      </c>
    </row>
    <row r="29" spans="1:72" x14ac:dyDescent="0.25">
      <c r="A29" t="s">
        <v>72</v>
      </c>
      <c r="B29" t="s">
        <v>589</v>
      </c>
      <c r="C29" t="s">
        <v>74</v>
      </c>
      <c r="D29" t="s">
        <v>74</v>
      </c>
      <c r="E29" t="s">
        <v>74</v>
      </c>
      <c r="F29" t="s">
        <v>590</v>
      </c>
      <c r="G29" t="s">
        <v>74</v>
      </c>
      <c r="H29" t="s">
        <v>74</v>
      </c>
      <c r="I29" t="s">
        <v>591</v>
      </c>
      <c r="J29" t="s">
        <v>592</v>
      </c>
      <c r="K29" t="s">
        <v>74</v>
      </c>
      <c r="L29" t="s">
        <v>74</v>
      </c>
      <c r="M29" t="s">
        <v>77</v>
      </c>
      <c r="N29" t="s">
        <v>78</v>
      </c>
      <c r="O29" t="s">
        <v>74</v>
      </c>
      <c r="P29" t="s">
        <v>74</v>
      </c>
      <c r="Q29" t="s">
        <v>74</v>
      </c>
      <c r="R29" t="s">
        <v>74</v>
      </c>
      <c r="S29" t="s">
        <v>74</v>
      </c>
      <c r="T29" t="s">
        <v>593</v>
      </c>
      <c r="U29" t="s">
        <v>594</v>
      </c>
      <c r="V29" t="s">
        <v>595</v>
      </c>
      <c r="W29" t="s">
        <v>596</v>
      </c>
      <c r="X29" t="s">
        <v>597</v>
      </c>
      <c r="Y29" t="s">
        <v>598</v>
      </c>
      <c r="Z29" t="s">
        <v>599</v>
      </c>
      <c r="AA29" t="s">
        <v>600</v>
      </c>
      <c r="AB29" t="s">
        <v>601</v>
      </c>
      <c r="AC29" t="s">
        <v>74</v>
      </c>
      <c r="AD29" t="s">
        <v>74</v>
      </c>
      <c r="AE29" t="s">
        <v>74</v>
      </c>
      <c r="AF29" t="s">
        <v>74</v>
      </c>
      <c r="AG29">
        <v>131</v>
      </c>
      <c r="AH29">
        <v>215</v>
      </c>
      <c r="AI29">
        <v>229</v>
      </c>
      <c r="AJ29">
        <v>4</v>
      </c>
      <c r="AK29">
        <v>214</v>
      </c>
      <c r="AL29" t="s">
        <v>602</v>
      </c>
      <c r="AM29" t="s">
        <v>160</v>
      </c>
      <c r="AN29" t="s">
        <v>603</v>
      </c>
      <c r="AO29" t="s">
        <v>604</v>
      </c>
      <c r="AP29" t="s">
        <v>605</v>
      </c>
      <c r="AQ29" t="s">
        <v>74</v>
      </c>
      <c r="AR29" t="s">
        <v>606</v>
      </c>
      <c r="AS29" t="s">
        <v>607</v>
      </c>
      <c r="AT29" t="s">
        <v>392</v>
      </c>
      <c r="AU29">
        <v>2012</v>
      </c>
      <c r="AV29">
        <v>33</v>
      </c>
      <c r="AW29">
        <v>4</v>
      </c>
      <c r="AX29" t="s">
        <v>74</v>
      </c>
      <c r="AY29" t="s">
        <v>74</v>
      </c>
      <c r="AZ29" t="s">
        <v>74</v>
      </c>
      <c r="BA29" t="s">
        <v>74</v>
      </c>
      <c r="BB29">
        <v>776</v>
      </c>
      <c r="BC29">
        <v>789</v>
      </c>
      <c r="BD29" t="s">
        <v>74</v>
      </c>
      <c r="BE29" t="s">
        <v>608</v>
      </c>
      <c r="BF29" t="str">
        <f>HYPERLINK("http://dx.doi.org/10.1016/j.tourman.2011.08.012","http://dx.doi.org/10.1016/j.tourman.2011.08.012")</f>
        <v>http://dx.doi.org/10.1016/j.tourman.2011.08.012</v>
      </c>
      <c r="BG29" t="s">
        <v>74</v>
      </c>
      <c r="BH29" t="s">
        <v>74</v>
      </c>
      <c r="BI29">
        <v>14</v>
      </c>
      <c r="BJ29" t="s">
        <v>609</v>
      </c>
      <c r="BK29" t="s">
        <v>94</v>
      </c>
      <c r="BL29" t="s">
        <v>610</v>
      </c>
      <c r="BM29" t="s">
        <v>611</v>
      </c>
      <c r="BN29" t="s">
        <v>74</v>
      </c>
      <c r="BO29" t="s">
        <v>74</v>
      </c>
      <c r="BP29" t="s">
        <v>74</v>
      </c>
      <c r="BQ29" t="s">
        <v>74</v>
      </c>
      <c r="BR29" t="s">
        <v>97</v>
      </c>
      <c r="BS29" t="s">
        <v>612</v>
      </c>
      <c r="BT29" t="str">
        <f>HYPERLINK("https%3A%2F%2Fwww.webofscience.com%2Fwos%2Fwoscc%2Ffull-record%2FWOS:000301309500005","View Full Record in Web of Science")</f>
        <v>View Full Record in Web of Science</v>
      </c>
    </row>
    <row r="30" spans="1:72" x14ac:dyDescent="0.25">
      <c r="A30" t="s">
        <v>72</v>
      </c>
      <c r="B30" t="s">
        <v>613</v>
      </c>
      <c r="C30" t="s">
        <v>74</v>
      </c>
      <c r="D30" t="s">
        <v>74</v>
      </c>
      <c r="E30" t="s">
        <v>74</v>
      </c>
      <c r="F30" t="s">
        <v>614</v>
      </c>
      <c r="G30" t="s">
        <v>74</v>
      </c>
      <c r="H30" t="s">
        <v>74</v>
      </c>
      <c r="I30" t="s">
        <v>615</v>
      </c>
      <c r="J30" t="s">
        <v>616</v>
      </c>
      <c r="K30" t="s">
        <v>74</v>
      </c>
      <c r="L30" t="s">
        <v>74</v>
      </c>
      <c r="M30" t="s">
        <v>77</v>
      </c>
      <c r="N30" t="s">
        <v>78</v>
      </c>
      <c r="O30" t="s">
        <v>74</v>
      </c>
      <c r="P30" t="s">
        <v>74</v>
      </c>
      <c r="Q30" t="s">
        <v>74</v>
      </c>
      <c r="R30" t="s">
        <v>74</v>
      </c>
      <c r="S30" t="s">
        <v>74</v>
      </c>
      <c r="T30" t="s">
        <v>617</v>
      </c>
      <c r="U30" t="s">
        <v>618</v>
      </c>
      <c r="V30" t="s">
        <v>619</v>
      </c>
      <c r="W30" t="s">
        <v>620</v>
      </c>
      <c r="X30" t="s">
        <v>621</v>
      </c>
      <c r="Y30" t="s">
        <v>622</v>
      </c>
      <c r="Z30" t="s">
        <v>623</v>
      </c>
      <c r="AA30" t="s">
        <v>74</v>
      </c>
      <c r="AB30" t="s">
        <v>624</v>
      </c>
      <c r="AC30" t="s">
        <v>74</v>
      </c>
      <c r="AD30" t="s">
        <v>74</v>
      </c>
      <c r="AE30" t="s">
        <v>74</v>
      </c>
      <c r="AF30" t="s">
        <v>74</v>
      </c>
      <c r="AG30">
        <v>96</v>
      </c>
      <c r="AH30">
        <v>185</v>
      </c>
      <c r="AI30">
        <v>188</v>
      </c>
      <c r="AJ30">
        <v>3</v>
      </c>
      <c r="AK30">
        <v>116</v>
      </c>
      <c r="AL30" t="s">
        <v>602</v>
      </c>
      <c r="AM30" t="s">
        <v>160</v>
      </c>
      <c r="AN30" t="s">
        <v>603</v>
      </c>
      <c r="AO30" t="s">
        <v>625</v>
      </c>
      <c r="AP30" t="s">
        <v>626</v>
      </c>
      <c r="AQ30" t="s">
        <v>74</v>
      </c>
      <c r="AR30" t="s">
        <v>627</v>
      </c>
      <c r="AS30" t="s">
        <v>628</v>
      </c>
      <c r="AT30" t="s">
        <v>496</v>
      </c>
      <c r="AU30">
        <v>2013</v>
      </c>
      <c r="AV30">
        <v>34</v>
      </c>
      <c r="AW30" t="s">
        <v>74</v>
      </c>
      <c r="AX30" t="s">
        <v>74</v>
      </c>
      <c r="AY30" t="s">
        <v>74</v>
      </c>
      <c r="AZ30" t="s">
        <v>74</v>
      </c>
      <c r="BA30" t="s">
        <v>74</v>
      </c>
      <c r="BB30">
        <v>324</v>
      </c>
      <c r="BC30">
        <v>337</v>
      </c>
      <c r="BD30" t="s">
        <v>74</v>
      </c>
      <c r="BE30" t="s">
        <v>629</v>
      </c>
      <c r="BF30" t="str">
        <f>HYPERLINK("http://dx.doi.org/10.1016/j.ijhm.2013.04.009","http://dx.doi.org/10.1016/j.ijhm.2013.04.009")</f>
        <v>http://dx.doi.org/10.1016/j.ijhm.2013.04.009</v>
      </c>
      <c r="BG30" t="s">
        <v>74</v>
      </c>
      <c r="BH30" t="s">
        <v>74</v>
      </c>
      <c r="BI30">
        <v>14</v>
      </c>
      <c r="BJ30" t="s">
        <v>630</v>
      </c>
      <c r="BK30" t="s">
        <v>94</v>
      </c>
      <c r="BL30" t="s">
        <v>631</v>
      </c>
      <c r="BM30" t="s">
        <v>632</v>
      </c>
      <c r="BN30" t="s">
        <v>74</v>
      </c>
      <c r="BO30" t="s">
        <v>74</v>
      </c>
      <c r="BP30" t="s">
        <v>74</v>
      </c>
      <c r="BQ30" t="s">
        <v>74</v>
      </c>
      <c r="BR30" t="s">
        <v>97</v>
      </c>
      <c r="BS30" t="s">
        <v>633</v>
      </c>
      <c r="BT30" t="str">
        <f>HYPERLINK("https%3A%2F%2Fwww.webofscience.com%2Fwos%2Fwoscc%2Ffull-record%2FWOS:000320568300036","View Full Record in Web of Science")</f>
        <v>View Full Record in Web of Science</v>
      </c>
    </row>
    <row r="31" spans="1:72" x14ac:dyDescent="0.25">
      <c r="A31" t="s">
        <v>72</v>
      </c>
      <c r="B31" t="s">
        <v>634</v>
      </c>
      <c r="C31" t="s">
        <v>74</v>
      </c>
      <c r="D31" t="s">
        <v>74</v>
      </c>
      <c r="E31" t="s">
        <v>74</v>
      </c>
      <c r="F31" t="s">
        <v>634</v>
      </c>
      <c r="G31" t="s">
        <v>74</v>
      </c>
      <c r="H31" t="s">
        <v>74</v>
      </c>
      <c r="I31" t="s">
        <v>635</v>
      </c>
      <c r="J31" t="s">
        <v>636</v>
      </c>
      <c r="K31" t="s">
        <v>74</v>
      </c>
      <c r="L31" t="s">
        <v>74</v>
      </c>
      <c r="M31" t="s">
        <v>77</v>
      </c>
      <c r="N31" t="s">
        <v>78</v>
      </c>
      <c r="O31" t="s">
        <v>74</v>
      </c>
      <c r="P31" t="s">
        <v>74</v>
      </c>
      <c r="Q31" t="s">
        <v>74</v>
      </c>
      <c r="R31" t="s">
        <v>74</v>
      </c>
      <c r="S31" t="s">
        <v>74</v>
      </c>
      <c r="T31" t="s">
        <v>74</v>
      </c>
      <c r="U31" t="s">
        <v>637</v>
      </c>
      <c r="V31" t="s">
        <v>638</v>
      </c>
      <c r="W31" t="s">
        <v>639</v>
      </c>
      <c r="X31" t="s">
        <v>640</v>
      </c>
      <c r="Y31" t="s">
        <v>641</v>
      </c>
      <c r="Z31" t="s">
        <v>74</v>
      </c>
      <c r="AA31" t="s">
        <v>74</v>
      </c>
      <c r="AB31" t="s">
        <v>642</v>
      </c>
      <c r="AC31" t="s">
        <v>74</v>
      </c>
      <c r="AD31" t="s">
        <v>74</v>
      </c>
      <c r="AE31" t="s">
        <v>74</v>
      </c>
      <c r="AF31" t="s">
        <v>74</v>
      </c>
      <c r="AG31">
        <v>44</v>
      </c>
      <c r="AH31">
        <v>181</v>
      </c>
      <c r="AI31">
        <v>213</v>
      </c>
      <c r="AJ31">
        <v>14</v>
      </c>
      <c r="AK31">
        <v>111</v>
      </c>
      <c r="AL31" t="s">
        <v>643</v>
      </c>
      <c r="AM31" t="s">
        <v>644</v>
      </c>
      <c r="AN31" t="s">
        <v>645</v>
      </c>
      <c r="AO31" t="s">
        <v>646</v>
      </c>
      <c r="AP31" t="s">
        <v>74</v>
      </c>
      <c r="AQ31" t="s">
        <v>74</v>
      </c>
      <c r="AR31" t="s">
        <v>647</v>
      </c>
      <c r="AS31" t="s">
        <v>648</v>
      </c>
      <c r="AT31" t="s">
        <v>256</v>
      </c>
      <c r="AU31">
        <v>2000</v>
      </c>
      <c r="AV31">
        <v>37</v>
      </c>
      <c r="AW31">
        <v>11</v>
      </c>
      <c r="AX31" t="s">
        <v>74</v>
      </c>
      <c r="AY31" t="s">
        <v>74</v>
      </c>
      <c r="AZ31" t="s">
        <v>74</v>
      </c>
      <c r="BA31" t="s">
        <v>74</v>
      </c>
      <c r="BB31">
        <v>1925</v>
      </c>
      <c r="BC31">
        <v>1945</v>
      </c>
      <c r="BD31" t="s">
        <v>74</v>
      </c>
      <c r="BE31" t="s">
        <v>649</v>
      </c>
      <c r="BF31" t="str">
        <f>HYPERLINK("http://dx.doi.org/10.1080/713707232","http://dx.doi.org/10.1080/713707232")</f>
        <v>http://dx.doi.org/10.1080/713707232</v>
      </c>
      <c r="BG31" t="s">
        <v>74</v>
      </c>
      <c r="BH31" t="s">
        <v>74</v>
      </c>
      <c r="BI31">
        <v>21</v>
      </c>
      <c r="BJ31" t="s">
        <v>650</v>
      </c>
      <c r="BK31" t="s">
        <v>94</v>
      </c>
      <c r="BL31" t="s">
        <v>651</v>
      </c>
      <c r="BM31" t="s">
        <v>652</v>
      </c>
      <c r="BN31" t="s">
        <v>74</v>
      </c>
      <c r="BO31" t="s">
        <v>74</v>
      </c>
      <c r="BP31" t="s">
        <v>74</v>
      </c>
      <c r="BQ31" t="s">
        <v>74</v>
      </c>
      <c r="BR31" t="s">
        <v>97</v>
      </c>
      <c r="BS31" t="s">
        <v>653</v>
      </c>
      <c r="BT31" t="str">
        <f>HYPERLINK("https%3A%2F%2Fwww.webofscience.com%2Fwos%2Fwoscc%2Ffull-record%2FWOS:000089946200002","View Full Record in Web of Science")</f>
        <v>View Full Record in Web of Science</v>
      </c>
    </row>
    <row r="32" spans="1:72" x14ac:dyDescent="0.25">
      <c r="A32" t="s">
        <v>72</v>
      </c>
      <c r="B32" t="s">
        <v>654</v>
      </c>
      <c r="C32" t="s">
        <v>74</v>
      </c>
      <c r="D32" t="s">
        <v>74</v>
      </c>
      <c r="E32" t="s">
        <v>74</v>
      </c>
      <c r="F32" t="s">
        <v>655</v>
      </c>
      <c r="G32" t="s">
        <v>74</v>
      </c>
      <c r="H32" t="s">
        <v>74</v>
      </c>
      <c r="I32" t="s">
        <v>656</v>
      </c>
      <c r="J32" t="s">
        <v>657</v>
      </c>
      <c r="K32" t="s">
        <v>74</v>
      </c>
      <c r="L32" t="s">
        <v>74</v>
      </c>
      <c r="M32" t="s">
        <v>77</v>
      </c>
      <c r="N32" t="s">
        <v>78</v>
      </c>
      <c r="O32" t="s">
        <v>74</v>
      </c>
      <c r="P32" t="s">
        <v>74</v>
      </c>
      <c r="Q32" t="s">
        <v>74</v>
      </c>
      <c r="R32" t="s">
        <v>74</v>
      </c>
      <c r="S32" t="s">
        <v>74</v>
      </c>
      <c r="T32" t="s">
        <v>658</v>
      </c>
      <c r="U32" t="s">
        <v>659</v>
      </c>
      <c r="V32" t="s">
        <v>660</v>
      </c>
      <c r="W32" t="s">
        <v>661</v>
      </c>
      <c r="X32" t="s">
        <v>662</v>
      </c>
      <c r="Y32" t="s">
        <v>663</v>
      </c>
      <c r="Z32" t="s">
        <v>664</v>
      </c>
      <c r="AA32" t="s">
        <v>474</v>
      </c>
      <c r="AB32" t="s">
        <v>475</v>
      </c>
      <c r="AC32" t="s">
        <v>74</v>
      </c>
      <c r="AD32" t="s">
        <v>74</v>
      </c>
      <c r="AE32" t="s">
        <v>74</v>
      </c>
      <c r="AF32" t="s">
        <v>74</v>
      </c>
      <c r="AG32">
        <v>60</v>
      </c>
      <c r="AH32">
        <v>179</v>
      </c>
      <c r="AI32">
        <v>187</v>
      </c>
      <c r="AJ32">
        <v>3</v>
      </c>
      <c r="AK32">
        <v>124</v>
      </c>
      <c r="AL32" t="s">
        <v>665</v>
      </c>
      <c r="AM32" t="s">
        <v>666</v>
      </c>
      <c r="AN32" t="s">
        <v>667</v>
      </c>
      <c r="AO32" t="s">
        <v>668</v>
      </c>
      <c r="AP32" t="s">
        <v>669</v>
      </c>
      <c r="AQ32" t="s">
        <v>74</v>
      </c>
      <c r="AR32" t="s">
        <v>670</v>
      </c>
      <c r="AS32" t="s">
        <v>671</v>
      </c>
      <c r="AT32" t="s">
        <v>74</v>
      </c>
      <c r="AU32">
        <v>2006</v>
      </c>
      <c r="AV32">
        <v>27</v>
      </c>
      <c r="AW32">
        <v>1</v>
      </c>
      <c r="AX32" t="s">
        <v>74</v>
      </c>
      <c r="AY32" t="s">
        <v>74</v>
      </c>
      <c r="AZ32" t="s">
        <v>74</v>
      </c>
      <c r="BA32" t="s">
        <v>74</v>
      </c>
      <c r="BB32">
        <v>75</v>
      </c>
      <c r="BC32">
        <v>90</v>
      </c>
      <c r="BD32" t="s">
        <v>74</v>
      </c>
      <c r="BE32" t="s">
        <v>672</v>
      </c>
      <c r="BF32" t="str">
        <f>HYPERLINK("http://dx.doi.org/10.1108/01437720610652853","http://dx.doi.org/10.1108/01437720610652853")</f>
        <v>http://dx.doi.org/10.1108/01437720610652853</v>
      </c>
      <c r="BG32" t="s">
        <v>74</v>
      </c>
      <c r="BH32" t="s">
        <v>74</v>
      </c>
      <c r="BI32">
        <v>16</v>
      </c>
      <c r="BJ32" t="s">
        <v>673</v>
      </c>
      <c r="BK32" t="s">
        <v>94</v>
      </c>
      <c r="BL32" t="s">
        <v>95</v>
      </c>
      <c r="BM32" t="s">
        <v>674</v>
      </c>
      <c r="BN32" t="s">
        <v>74</v>
      </c>
      <c r="BO32" t="s">
        <v>111</v>
      </c>
      <c r="BP32" t="s">
        <v>74</v>
      </c>
      <c r="BQ32" t="s">
        <v>74</v>
      </c>
      <c r="BR32" t="s">
        <v>97</v>
      </c>
      <c r="BS32" t="s">
        <v>675</v>
      </c>
      <c r="BT32" t="str">
        <f>HYPERLINK("https%3A%2F%2Fwww.webofscience.com%2Fwos%2Fwoscc%2Ffull-record%2FWOS:000238963200006","View Full Record in Web of Science")</f>
        <v>View Full Record in Web of Science</v>
      </c>
    </row>
    <row r="33" spans="1:72" x14ac:dyDescent="0.25">
      <c r="A33" t="s">
        <v>72</v>
      </c>
      <c r="B33" t="s">
        <v>676</v>
      </c>
      <c r="C33" t="s">
        <v>74</v>
      </c>
      <c r="D33" t="s">
        <v>74</v>
      </c>
      <c r="E33" t="s">
        <v>74</v>
      </c>
      <c r="F33" t="s">
        <v>677</v>
      </c>
      <c r="G33" t="s">
        <v>74</v>
      </c>
      <c r="H33" t="s">
        <v>74</v>
      </c>
      <c r="I33" t="s">
        <v>678</v>
      </c>
      <c r="J33" t="s">
        <v>679</v>
      </c>
      <c r="K33" t="s">
        <v>74</v>
      </c>
      <c r="L33" t="s">
        <v>74</v>
      </c>
      <c r="M33" t="s">
        <v>77</v>
      </c>
      <c r="N33" t="s">
        <v>78</v>
      </c>
      <c r="O33" t="s">
        <v>74</v>
      </c>
      <c r="P33" t="s">
        <v>74</v>
      </c>
      <c r="Q33" t="s">
        <v>74</v>
      </c>
      <c r="R33" t="s">
        <v>74</v>
      </c>
      <c r="S33" t="s">
        <v>74</v>
      </c>
      <c r="T33" t="s">
        <v>74</v>
      </c>
      <c r="U33" t="s">
        <v>680</v>
      </c>
      <c r="V33" t="s">
        <v>681</v>
      </c>
      <c r="W33" t="s">
        <v>682</v>
      </c>
      <c r="X33" t="s">
        <v>683</v>
      </c>
      <c r="Y33" t="s">
        <v>684</v>
      </c>
      <c r="Z33" t="s">
        <v>685</v>
      </c>
      <c r="AA33" t="s">
        <v>74</v>
      </c>
      <c r="AB33" t="s">
        <v>74</v>
      </c>
      <c r="AC33" t="s">
        <v>74</v>
      </c>
      <c r="AD33" t="s">
        <v>74</v>
      </c>
      <c r="AE33" t="s">
        <v>74</v>
      </c>
      <c r="AF33" t="s">
        <v>74</v>
      </c>
      <c r="AG33">
        <v>72</v>
      </c>
      <c r="AH33">
        <v>172</v>
      </c>
      <c r="AI33">
        <v>177</v>
      </c>
      <c r="AJ33">
        <v>8</v>
      </c>
      <c r="AK33">
        <v>158</v>
      </c>
      <c r="AL33" t="s">
        <v>686</v>
      </c>
      <c r="AM33" t="s">
        <v>139</v>
      </c>
      <c r="AN33" t="s">
        <v>687</v>
      </c>
      <c r="AO33" t="s">
        <v>688</v>
      </c>
      <c r="AP33" t="s">
        <v>74</v>
      </c>
      <c r="AQ33" t="s">
        <v>74</v>
      </c>
      <c r="AR33" t="s">
        <v>689</v>
      </c>
      <c r="AS33" t="s">
        <v>690</v>
      </c>
      <c r="AT33" t="s">
        <v>74</v>
      </c>
      <c r="AU33">
        <v>2012</v>
      </c>
      <c r="AV33">
        <v>25</v>
      </c>
      <c r="AW33">
        <v>1</v>
      </c>
      <c r="AX33" t="s">
        <v>74</v>
      </c>
      <c r="AY33" t="s">
        <v>74</v>
      </c>
      <c r="AZ33" t="s">
        <v>74</v>
      </c>
      <c r="BA33" t="s">
        <v>74</v>
      </c>
      <c r="BB33">
        <v>1</v>
      </c>
      <c r="BC33">
        <v>25</v>
      </c>
      <c r="BD33" t="s">
        <v>74</v>
      </c>
      <c r="BE33" t="s">
        <v>691</v>
      </c>
      <c r="BF33" t="str">
        <f>HYPERLINK("http://dx.doi.org/10.1080/08959285.2011.631648","http://dx.doi.org/10.1080/08959285.2011.631648")</f>
        <v>http://dx.doi.org/10.1080/08959285.2011.631648</v>
      </c>
      <c r="BG33" t="s">
        <v>74</v>
      </c>
      <c r="BH33" t="s">
        <v>74</v>
      </c>
      <c r="BI33">
        <v>25</v>
      </c>
      <c r="BJ33" t="s">
        <v>692</v>
      </c>
      <c r="BK33" t="s">
        <v>94</v>
      </c>
      <c r="BL33" t="s">
        <v>460</v>
      </c>
      <c r="BM33" t="s">
        <v>693</v>
      </c>
      <c r="BN33" t="s">
        <v>74</v>
      </c>
      <c r="BO33" t="s">
        <v>74</v>
      </c>
      <c r="BP33" t="s">
        <v>74</v>
      </c>
      <c r="BQ33" t="s">
        <v>74</v>
      </c>
      <c r="BR33" t="s">
        <v>97</v>
      </c>
      <c r="BS33" t="s">
        <v>694</v>
      </c>
      <c r="BT33" t="str">
        <f>HYPERLINK("https%3A%2F%2Fwww.webofscience.com%2Fwos%2Fwoscc%2Ffull-record%2FWOS:000301801800001","View Full Record in Web of Science")</f>
        <v>View Full Record in Web of Science</v>
      </c>
    </row>
    <row r="34" spans="1:72" x14ac:dyDescent="0.25">
      <c r="A34" t="s">
        <v>72</v>
      </c>
      <c r="B34" t="s">
        <v>695</v>
      </c>
      <c r="C34" t="s">
        <v>74</v>
      </c>
      <c r="D34" t="s">
        <v>74</v>
      </c>
      <c r="E34" t="s">
        <v>74</v>
      </c>
      <c r="F34" t="s">
        <v>695</v>
      </c>
      <c r="G34" t="s">
        <v>74</v>
      </c>
      <c r="H34" t="s">
        <v>74</v>
      </c>
      <c r="I34" t="s">
        <v>696</v>
      </c>
      <c r="J34" t="s">
        <v>697</v>
      </c>
      <c r="K34" t="s">
        <v>74</v>
      </c>
      <c r="L34" t="s">
        <v>74</v>
      </c>
      <c r="M34" t="s">
        <v>77</v>
      </c>
      <c r="N34" t="s">
        <v>78</v>
      </c>
      <c r="O34" t="s">
        <v>74</v>
      </c>
      <c r="P34" t="s">
        <v>74</v>
      </c>
      <c r="Q34" t="s">
        <v>74</v>
      </c>
      <c r="R34" t="s">
        <v>74</v>
      </c>
      <c r="S34" t="s">
        <v>74</v>
      </c>
      <c r="T34" t="s">
        <v>698</v>
      </c>
      <c r="U34" t="s">
        <v>699</v>
      </c>
      <c r="V34" t="s">
        <v>700</v>
      </c>
      <c r="W34" t="s">
        <v>701</v>
      </c>
      <c r="X34" t="s">
        <v>702</v>
      </c>
      <c r="Y34" t="s">
        <v>703</v>
      </c>
      <c r="Z34" t="s">
        <v>704</v>
      </c>
      <c r="AA34" t="s">
        <v>705</v>
      </c>
      <c r="AB34" t="s">
        <v>706</v>
      </c>
      <c r="AC34" t="s">
        <v>74</v>
      </c>
      <c r="AD34" t="s">
        <v>74</v>
      </c>
      <c r="AE34" t="s">
        <v>74</v>
      </c>
      <c r="AF34" t="s">
        <v>74</v>
      </c>
      <c r="AG34">
        <v>68</v>
      </c>
      <c r="AH34">
        <v>170</v>
      </c>
      <c r="AI34">
        <v>172</v>
      </c>
      <c r="AJ34">
        <v>1</v>
      </c>
      <c r="AK34">
        <v>65</v>
      </c>
      <c r="AL34" t="s">
        <v>707</v>
      </c>
      <c r="AM34" t="s">
        <v>541</v>
      </c>
      <c r="AN34" t="s">
        <v>708</v>
      </c>
      <c r="AO34" t="s">
        <v>709</v>
      </c>
      <c r="AP34" t="s">
        <v>710</v>
      </c>
      <c r="AQ34" t="s">
        <v>74</v>
      </c>
      <c r="AR34" t="s">
        <v>711</v>
      </c>
      <c r="AS34" t="s">
        <v>712</v>
      </c>
      <c r="AT34" t="s">
        <v>713</v>
      </c>
      <c r="AU34">
        <v>2005</v>
      </c>
      <c r="AV34">
        <v>272</v>
      </c>
      <c r="AW34">
        <v>1571</v>
      </c>
      <c r="AX34" t="s">
        <v>74</v>
      </c>
      <c r="AY34" t="s">
        <v>74</v>
      </c>
      <c r="AZ34" t="s">
        <v>74</v>
      </c>
      <c r="BA34" t="s">
        <v>74</v>
      </c>
      <c r="BB34">
        <v>1433</v>
      </c>
      <c r="BC34">
        <v>1441</v>
      </c>
      <c r="BD34" t="s">
        <v>74</v>
      </c>
      <c r="BE34" t="s">
        <v>714</v>
      </c>
      <c r="BF34" t="str">
        <f>HYPERLINK("http://dx.doi.org/10.1098/rspb.2005.3099","http://dx.doi.org/10.1098/rspb.2005.3099")</f>
        <v>http://dx.doi.org/10.1098/rspb.2005.3099</v>
      </c>
      <c r="BG34" t="s">
        <v>74</v>
      </c>
      <c r="BH34" t="s">
        <v>74</v>
      </c>
      <c r="BI34">
        <v>9</v>
      </c>
      <c r="BJ34" t="s">
        <v>715</v>
      </c>
      <c r="BK34" t="s">
        <v>283</v>
      </c>
      <c r="BL34" t="s">
        <v>716</v>
      </c>
      <c r="BM34" t="s">
        <v>717</v>
      </c>
      <c r="BN34">
        <v>16011917</v>
      </c>
      <c r="BO34" t="s">
        <v>718</v>
      </c>
      <c r="BP34" t="s">
        <v>74</v>
      </c>
      <c r="BQ34" t="s">
        <v>74</v>
      </c>
      <c r="BR34" t="s">
        <v>97</v>
      </c>
      <c r="BS34" t="s">
        <v>719</v>
      </c>
      <c r="BT34" t="str">
        <f>HYPERLINK("https%3A%2F%2Fwww.webofscience.com%2Fwos%2Fwoscc%2Ffull-record%2FWOS:000231268700003","View Full Record in Web of Science")</f>
        <v>View Full Record in Web of Science</v>
      </c>
    </row>
    <row r="35" spans="1:72" x14ac:dyDescent="0.25">
      <c r="A35" t="s">
        <v>72</v>
      </c>
      <c r="B35" t="s">
        <v>720</v>
      </c>
      <c r="C35" t="s">
        <v>74</v>
      </c>
      <c r="D35" t="s">
        <v>74</v>
      </c>
      <c r="E35" t="s">
        <v>74</v>
      </c>
      <c r="F35" t="s">
        <v>720</v>
      </c>
      <c r="G35" t="s">
        <v>74</v>
      </c>
      <c r="H35" t="s">
        <v>74</v>
      </c>
      <c r="I35" t="s">
        <v>721</v>
      </c>
      <c r="J35" t="s">
        <v>722</v>
      </c>
      <c r="K35" t="s">
        <v>74</v>
      </c>
      <c r="L35" t="s">
        <v>74</v>
      </c>
      <c r="M35" t="s">
        <v>77</v>
      </c>
      <c r="N35" t="s">
        <v>78</v>
      </c>
      <c r="O35" t="s">
        <v>74</v>
      </c>
      <c r="P35" t="s">
        <v>74</v>
      </c>
      <c r="Q35" t="s">
        <v>74</v>
      </c>
      <c r="R35" t="s">
        <v>74</v>
      </c>
      <c r="S35" t="s">
        <v>74</v>
      </c>
      <c r="T35" t="s">
        <v>723</v>
      </c>
      <c r="U35" t="s">
        <v>724</v>
      </c>
      <c r="V35" t="s">
        <v>725</v>
      </c>
      <c r="W35" t="s">
        <v>726</v>
      </c>
      <c r="X35" t="s">
        <v>727</v>
      </c>
      <c r="Y35" t="s">
        <v>728</v>
      </c>
      <c r="Z35" t="s">
        <v>729</v>
      </c>
      <c r="AA35" t="s">
        <v>74</v>
      </c>
      <c r="AB35" t="s">
        <v>74</v>
      </c>
      <c r="AC35" t="s">
        <v>74</v>
      </c>
      <c r="AD35" t="s">
        <v>74</v>
      </c>
      <c r="AE35" t="s">
        <v>74</v>
      </c>
      <c r="AF35" t="s">
        <v>74</v>
      </c>
      <c r="AG35">
        <v>51</v>
      </c>
      <c r="AH35">
        <v>164</v>
      </c>
      <c r="AI35">
        <v>170</v>
      </c>
      <c r="AJ35">
        <v>0</v>
      </c>
      <c r="AK35">
        <v>91</v>
      </c>
      <c r="AL35" t="s">
        <v>329</v>
      </c>
      <c r="AM35" t="s">
        <v>330</v>
      </c>
      <c r="AN35" t="s">
        <v>730</v>
      </c>
      <c r="AO35" t="s">
        <v>731</v>
      </c>
      <c r="AP35" t="s">
        <v>74</v>
      </c>
      <c r="AQ35" t="s">
        <v>74</v>
      </c>
      <c r="AR35" t="s">
        <v>732</v>
      </c>
      <c r="AS35" t="s">
        <v>733</v>
      </c>
      <c r="AT35" t="s">
        <v>405</v>
      </c>
      <c r="AU35">
        <v>2004</v>
      </c>
      <c r="AV35">
        <v>15</v>
      </c>
      <c r="AW35">
        <v>1</v>
      </c>
      <c r="AX35" t="s">
        <v>74</v>
      </c>
      <c r="AY35" t="s">
        <v>74</v>
      </c>
      <c r="AZ35" t="s">
        <v>74</v>
      </c>
      <c r="BA35" t="s">
        <v>74</v>
      </c>
      <c r="BB35">
        <v>79</v>
      </c>
      <c r="BC35">
        <v>102</v>
      </c>
      <c r="BD35" t="s">
        <v>74</v>
      </c>
      <c r="BE35" t="s">
        <v>734</v>
      </c>
      <c r="BF35" t="str">
        <f>HYPERLINK("http://dx.doi.org/10.1016/j.leaqua.2003.12.006","http://dx.doi.org/10.1016/j.leaqua.2003.12.006")</f>
        <v>http://dx.doi.org/10.1016/j.leaqua.2003.12.006</v>
      </c>
      <c r="BG35" t="s">
        <v>74</v>
      </c>
      <c r="BH35" t="s">
        <v>74</v>
      </c>
      <c r="BI35">
        <v>24</v>
      </c>
      <c r="BJ35" t="s">
        <v>202</v>
      </c>
      <c r="BK35" t="s">
        <v>94</v>
      </c>
      <c r="BL35" t="s">
        <v>203</v>
      </c>
      <c r="BM35" t="s">
        <v>735</v>
      </c>
      <c r="BN35" t="s">
        <v>74</v>
      </c>
      <c r="BO35" t="s">
        <v>74</v>
      </c>
      <c r="BP35" t="s">
        <v>74</v>
      </c>
      <c r="BQ35" t="s">
        <v>74</v>
      </c>
      <c r="BR35" t="s">
        <v>97</v>
      </c>
      <c r="BS35" t="s">
        <v>736</v>
      </c>
      <c r="BT35" t="str">
        <f>HYPERLINK("https%3A%2F%2Fwww.webofscience.com%2Fwos%2Fwoscc%2Ffull-record%2FWOS:000220505100005","View Full Record in Web of Science")</f>
        <v>View Full Record in Web of Science</v>
      </c>
    </row>
    <row r="36" spans="1:72" x14ac:dyDescent="0.25">
      <c r="A36" t="s">
        <v>72</v>
      </c>
      <c r="B36" t="s">
        <v>737</v>
      </c>
      <c r="C36" t="s">
        <v>74</v>
      </c>
      <c r="D36" t="s">
        <v>74</v>
      </c>
      <c r="E36" t="s">
        <v>74</v>
      </c>
      <c r="F36" t="s">
        <v>738</v>
      </c>
      <c r="G36" t="s">
        <v>74</v>
      </c>
      <c r="H36" t="s">
        <v>74</v>
      </c>
      <c r="I36" t="s">
        <v>739</v>
      </c>
      <c r="J36" t="s">
        <v>740</v>
      </c>
      <c r="K36" t="s">
        <v>74</v>
      </c>
      <c r="L36" t="s">
        <v>74</v>
      </c>
      <c r="M36" t="s">
        <v>77</v>
      </c>
      <c r="N36" t="s">
        <v>78</v>
      </c>
      <c r="O36" t="s">
        <v>74</v>
      </c>
      <c r="P36" t="s">
        <v>74</v>
      </c>
      <c r="Q36" t="s">
        <v>74</v>
      </c>
      <c r="R36" t="s">
        <v>74</v>
      </c>
      <c r="S36" t="s">
        <v>74</v>
      </c>
      <c r="T36" t="s">
        <v>741</v>
      </c>
      <c r="U36" t="s">
        <v>742</v>
      </c>
      <c r="V36" t="s">
        <v>743</v>
      </c>
      <c r="W36" t="s">
        <v>744</v>
      </c>
      <c r="X36" t="s">
        <v>745</v>
      </c>
      <c r="Y36" t="s">
        <v>746</v>
      </c>
      <c r="Z36" t="s">
        <v>747</v>
      </c>
      <c r="AA36" t="s">
        <v>74</v>
      </c>
      <c r="AB36" t="s">
        <v>74</v>
      </c>
      <c r="AC36" t="s">
        <v>74</v>
      </c>
      <c r="AD36" t="s">
        <v>74</v>
      </c>
      <c r="AE36" t="s">
        <v>74</v>
      </c>
      <c r="AF36" t="s">
        <v>74</v>
      </c>
      <c r="AG36">
        <v>69</v>
      </c>
      <c r="AH36">
        <v>163</v>
      </c>
      <c r="AI36">
        <v>167</v>
      </c>
      <c r="AJ36">
        <v>0</v>
      </c>
      <c r="AK36">
        <v>48</v>
      </c>
      <c r="AL36" t="s">
        <v>665</v>
      </c>
      <c r="AM36" t="s">
        <v>666</v>
      </c>
      <c r="AN36" t="s">
        <v>667</v>
      </c>
      <c r="AO36" t="s">
        <v>748</v>
      </c>
      <c r="AP36" t="s">
        <v>749</v>
      </c>
      <c r="AQ36" t="s">
        <v>74</v>
      </c>
      <c r="AR36" t="s">
        <v>750</v>
      </c>
      <c r="AS36" t="s">
        <v>751</v>
      </c>
      <c r="AT36" t="s">
        <v>74</v>
      </c>
      <c r="AU36">
        <v>2011</v>
      </c>
      <c r="AV36">
        <v>21</v>
      </c>
      <c r="AW36">
        <v>1</v>
      </c>
      <c r="AX36" t="s">
        <v>74</v>
      </c>
      <c r="AY36" t="s">
        <v>74</v>
      </c>
      <c r="AZ36" t="s">
        <v>74</v>
      </c>
      <c r="BA36" t="s">
        <v>74</v>
      </c>
      <c r="BB36">
        <v>88</v>
      </c>
      <c r="BC36">
        <v>107</v>
      </c>
      <c r="BD36" t="s">
        <v>74</v>
      </c>
      <c r="BE36" t="s">
        <v>752</v>
      </c>
      <c r="BF36" t="str">
        <f>HYPERLINK("http://dx.doi.org/10.1108/09604521111100261","http://dx.doi.org/10.1108/09604521111100261")</f>
        <v>http://dx.doi.org/10.1108/09604521111100261</v>
      </c>
      <c r="BG36" t="s">
        <v>74</v>
      </c>
      <c r="BH36" t="s">
        <v>74</v>
      </c>
      <c r="BI36">
        <v>20</v>
      </c>
      <c r="BJ36" t="s">
        <v>442</v>
      </c>
      <c r="BK36" t="s">
        <v>94</v>
      </c>
      <c r="BL36" t="s">
        <v>95</v>
      </c>
      <c r="BM36" t="s">
        <v>753</v>
      </c>
      <c r="BN36" t="s">
        <v>74</v>
      </c>
      <c r="BO36" t="s">
        <v>74</v>
      </c>
      <c r="BP36" t="s">
        <v>74</v>
      </c>
      <c r="BQ36" t="s">
        <v>74</v>
      </c>
      <c r="BR36" t="s">
        <v>97</v>
      </c>
      <c r="BS36" t="s">
        <v>754</v>
      </c>
      <c r="BT36" t="str">
        <f>HYPERLINK("https%3A%2F%2Fwww.webofscience.com%2Fwos%2Fwoscc%2Ffull-record%2FWOS:000288729100005","View Full Record in Web of Science")</f>
        <v>View Full Record in Web of Science</v>
      </c>
    </row>
    <row r="37" spans="1:72" x14ac:dyDescent="0.25">
      <c r="A37" t="s">
        <v>72</v>
      </c>
      <c r="B37" t="s">
        <v>755</v>
      </c>
      <c r="C37" t="s">
        <v>74</v>
      </c>
      <c r="D37" t="s">
        <v>74</v>
      </c>
      <c r="E37" t="s">
        <v>74</v>
      </c>
      <c r="F37" t="s">
        <v>756</v>
      </c>
      <c r="G37" t="s">
        <v>74</v>
      </c>
      <c r="H37" t="s">
        <v>74</v>
      </c>
      <c r="I37" t="s">
        <v>757</v>
      </c>
      <c r="J37" t="s">
        <v>758</v>
      </c>
      <c r="K37" t="s">
        <v>74</v>
      </c>
      <c r="L37" t="s">
        <v>74</v>
      </c>
      <c r="M37" t="s">
        <v>77</v>
      </c>
      <c r="N37" t="s">
        <v>78</v>
      </c>
      <c r="O37" t="s">
        <v>74</v>
      </c>
      <c r="P37" t="s">
        <v>74</v>
      </c>
      <c r="Q37" t="s">
        <v>74</v>
      </c>
      <c r="R37" t="s">
        <v>74</v>
      </c>
      <c r="S37" t="s">
        <v>74</v>
      </c>
      <c r="T37" t="s">
        <v>759</v>
      </c>
      <c r="U37" t="s">
        <v>760</v>
      </c>
      <c r="V37" t="s">
        <v>761</v>
      </c>
      <c r="W37" t="s">
        <v>762</v>
      </c>
      <c r="X37" t="s">
        <v>763</v>
      </c>
      <c r="Y37" t="s">
        <v>764</v>
      </c>
      <c r="Z37" t="s">
        <v>765</v>
      </c>
      <c r="AA37" t="s">
        <v>74</v>
      </c>
      <c r="AB37" t="s">
        <v>74</v>
      </c>
      <c r="AC37" t="s">
        <v>74</v>
      </c>
      <c r="AD37" t="s">
        <v>74</v>
      </c>
      <c r="AE37" t="s">
        <v>74</v>
      </c>
      <c r="AF37" t="s">
        <v>74</v>
      </c>
      <c r="AG37">
        <v>102</v>
      </c>
      <c r="AH37">
        <v>158</v>
      </c>
      <c r="AI37">
        <v>169</v>
      </c>
      <c r="AJ37">
        <v>24</v>
      </c>
      <c r="AK37">
        <v>281</v>
      </c>
      <c r="AL37" t="s">
        <v>766</v>
      </c>
      <c r="AM37" t="s">
        <v>330</v>
      </c>
      <c r="AN37" t="s">
        <v>767</v>
      </c>
      <c r="AO37" t="s">
        <v>768</v>
      </c>
      <c r="AP37" t="s">
        <v>769</v>
      </c>
      <c r="AQ37" t="s">
        <v>74</v>
      </c>
      <c r="AR37" t="s">
        <v>770</v>
      </c>
      <c r="AS37" t="s">
        <v>771</v>
      </c>
      <c r="AT37" t="s">
        <v>91</v>
      </c>
      <c r="AU37">
        <v>2013</v>
      </c>
      <c r="AV37">
        <v>28</v>
      </c>
      <c r="AW37">
        <v>2</v>
      </c>
      <c r="AX37" t="s">
        <v>74</v>
      </c>
      <c r="AY37" t="s">
        <v>74</v>
      </c>
      <c r="AZ37" t="s">
        <v>74</v>
      </c>
      <c r="BA37" t="s">
        <v>74</v>
      </c>
      <c r="BB37">
        <v>159</v>
      </c>
      <c r="BC37">
        <v>174</v>
      </c>
      <c r="BD37" t="s">
        <v>74</v>
      </c>
      <c r="BE37" t="s">
        <v>772</v>
      </c>
      <c r="BF37" t="str">
        <f>HYPERLINK("http://dx.doi.org/10.1007/s10869-012-9273-6","http://dx.doi.org/10.1007/s10869-012-9273-6")</f>
        <v>http://dx.doi.org/10.1007/s10869-012-9273-6</v>
      </c>
      <c r="BG37" t="s">
        <v>74</v>
      </c>
      <c r="BH37" t="s">
        <v>74</v>
      </c>
      <c r="BI37">
        <v>16</v>
      </c>
      <c r="BJ37" t="s">
        <v>773</v>
      </c>
      <c r="BK37" t="s">
        <v>94</v>
      </c>
      <c r="BL37" t="s">
        <v>227</v>
      </c>
      <c r="BM37" t="s">
        <v>774</v>
      </c>
      <c r="BN37" t="s">
        <v>74</v>
      </c>
      <c r="BO37" t="s">
        <v>111</v>
      </c>
      <c r="BP37" t="s">
        <v>74</v>
      </c>
      <c r="BQ37" t="s">
        <v>74</v>
      </c>
      <c r="BR37" t="s">
        <v>97</v>
      </c>
      <c r="BS37" t="s">
        <v>775</v>
      </c>
      <c r="BT37" t="str">
        <f>HYPERLINK("https%3A%2F%2Fwww.webofscience.com%2Fwos%2Fwoscc%2Ffull-record%2FWOS:000319002500003","View Full Record in Web of Science")</f>
        <v>View Full Record in Web of Science</v>
      </c>
    </row>
    <row r="38" spans="1:72" x14ac:dyDescent="0.25">
      <c r="A38" t="s">
        <v>72</v>
      </c>
      <c r="B38" t="s">
        <v>776</v>
      </c>
      <c r="C38" t="s">
        <v>74</v>
      </c>
      <c r="D38" t="s">
        <v>74</v>
      </c>
      <c r="E38" t="s">
        <v>74</v>
      </c>
      <c r="F38" t="s">
        <v>777</v>
      </c>
      <c r="G38" t="s">
        <v>74</v>
      </c>
      <c r="H38" t="s">
        <v>74</v>
      </c>
      <c r="I38" t="s">
        <v>778</v>
      </c>
      <c r="J38" t="s">
        <v>779</v>
      </c>
      <c r="K38" t="s">
        <v>74</v>
      </c>
      <c r="L38" t="s">
        <v>74</v>
      </c>
      <c r="M38" t="s">
        <v>77</v>
      </c>
      <c r="N38" t="s">
        <v>78</v>
      </c>
      <c r="O38" t="s">
        <v>74</v>
      </c>
      <c r="P38" t="s">
        <v>74</v>
      </c>
      <c r="Q38" t="s">
        <v>74</v>
      </c>
      <c r="R38" t="s">
        <v>74</v>
      </c>
      <c r="S38" t="s">
        <v>74</v>
      </c>
      <c r="T38" t="s">
        <v>74</v>
      </c>
      <c r="U38" t="s">
        <v>780</v>
      </c>
      <c r="V38" t="s">
        <v>781</v>
      </c>
      <c r="W38" t="s">
        <v>782</v>
      </c>
      <c r="X38" t="s">
        <v>783</v>
      </c>
      <c r="Y38" t="s">
        <v>784</v>
      </c>
      <c r="Z38" t="s">
        <v>785</v>
      </c>
      <c r="AA38" t="s">
        <v>74</v>
      </c>
      <c r="AB38" t="s">
        <v>74</v>
      </c>
      <c r="AC38" t="s">
        <v>74</v>
      </c>
      <c r="AD38" t="s">
        <v>74</v>
      </c>
      <c r="AE38" t="s">
        <v>74</v>
      </c>
      <c r="AF38" t="s">
        <v>74</v>
      </c>
      <c r="AG38">
        <v>81</v>
      </c>
      <c r="AH38">
        <v>157</v>
      </c>
      <c r="AI38">
        <v>168</v>
      </c>
      <c r="AJ38">
        <v>5</v>
      </c>
      <c r="AK38">
        <v>101</v>
      </c>
      <c r="AL38" t="s">
        <v>786</v>
      </c>
      <c r="AM38" t="s">
        <v>787</v>
      </c>
      <c r="AN38" t="s">
        <v>788</v>
      </c>
      <c r="AO38" t="s">
        <v>789</v>
      </c>
      <c r="AP38" t="s">
        <v>74</v>
      </c>
      <c r="AQ38" t="s">
        <v>74</v>
      </c>
      <c r="AR38" t="s">
        <v>790</v>
      </c>
      <c r="AS38" t="s">
        <v>791</v>
      </c>
      <c r="AT38" t="s">
        <v>792</v>
      </c>
      <c r="AU38">
        <v>2008</v>
      </c>
      <c r="AV38">
        <v>25</v>
      </c>
      <c r="AW38">
        <v>4</v>
      </c>
      <c r="AX38" t="s">
        <v>74</v>
      </c>
      <c r="AY38" t="s">
        <v>74</v>
      </c>
      <c r="AZ38" t="s">
        <v>74</v>
      </c>
      <c r="BA38" t="s">
        <v>74</v>
      </c>
      <c r="BB38">
        <v>331</v>
      </c>
      <c r="BC38">
        <v>346</v>
      </c>
      <c r="BD38" t="s">
        <v>74</v>
      </c>
      <c r="BE38" t="s">
        <v>793</v>
      </c>
      <c r="BF38" t="str">
        <f>HYPERLINK("http://dx.doi.org/10.1111/j.1540-5885.2008.00305.x","http://dx.doi.org/10.1111/j.1540-5885.2008.00305.x")</f>
        <v>http://dx.doi.org/10.1111/j.1540-5885.2008.00305.x</v>
      </c>
      <c r="BG38" t="s">
        <v>74</v>
      </c>
      <c r="BH38" t="s">
        <v>74</v>
      </c>
      <c r="BI38">
        <v>16</v>
      </c>
      <c r="BJ38" t="s">
        <v>794</v>
      </c>
      <c r="BK38" t="s">
        <v>147</v>
      </c>
      <c r="BL38" t="s">
        <v>795</v>
      </c>
      <c r="BM38" t="s">
        <v>796</v>
      </c>
      <c r="BN38" t="s">
        <v>74</v>
      </c>
      <c r="BO38" t="s">
        <v>74</v>
      </c>
      <c r="BP38" t="s">
        <v>74</v>
      </c>
      <c r="BQ38" t="s">
        <v>74</v>
      </c>
      <c r="BR38" t="s">
        <v>97</v>
      </c>
      <c r="BS38" t="s">
        <v>797</v>
      </c>
      <c r="BT38" t="str">
        <f>HYPERLINK("https%3A%2F%2Fwww.webofscience.com%2Fwos%2Fwoscc%2Ffull-record%2FWOS:000256101400002","View Full Record in Web of Science")</f>
        <v>View Full Record in Web of Science</v>
      </c>
    </row>
    <row r="39" spans="1:72" x14ac:dyDescent="0.25">
      <c r="A39" t="s">
        <v>72</v>
      </c>
      <c r="B39" t="s">
        <v>798</v>
      </c>
      <c r="C39" t="s">
        <v>74</v>
      </c>
      <c r="D39" t="s">
        <v>74</v>
      </c>
      <c r="E39" t="s">
        <v>74</v>
      </c>
      <c r="F39" t="s">
        <v>799</v>
      </c>
      <c r="G39" t="s">
        <v>74</v>
      </c>
      <c r="H39" t="s">
        <v>74</v>
      </c>
      <c r="I39" t="s">
        <v>800</v>
      </c>
      <c r="J39" t="s">
        <v>801</v>
      </c>
      <c r="K39" t="s">
        <v>74</v>
      </c>
      <c r="L39" t="s">
        <v>74</v>
      </c>
      <c r="M39" t="s">
        <v>77</v>
      </c>
      <c r="N39" t="s">
        <v>78</v>
      </c>
      <c r="O39" t="s">
        <v>74</v>
      </c>
      <c r="P39" t="s">
        <v>74</v>
      </c>
      <c r="Q39" t="s">
        <v>74</v>
      </c>
      <c r="R39" t="s">
        <v>74</v>
      </c>
      <c r="S39" t="s">
        <v>74</v>
      </c>
      <c r="T39" t="s">
        <v>802</v>
      </c>
      <c r="U39" t="s">
        <v>803</v>
      </c>
      <c r="V39" t="s">
        <v>804</v>
      </c>
      <c r="W39" t="s">
        <v>805</v>
      </c>
      <c r="X39" t="s">
        <v>806</v>
      </c>
      <c r="Y39" t="s">
        <v>807</v>
      </c>
      <c r="Z39" t="s">
        <v>808</v>
      </c>
      <c r="AA39" t="s">
        <v>74</v>
      </c>
      <c r="AB39" t="s">
        <v>809</v>
      </c>
      <c r="AC39" t="s">
        <v>74</v>
      </c>
      <c r="AD39" t="s">
        <v>74</v>
      </c>
      <c r="AE39" t="s">
        <v>74</v>
      </c>
      <c r="AF39" t="s">
        <v>74</v>
      </c>
      <c r="AG39">
        <v>77</v>
      </c>
      <c r="AH39">
        <v>156</v>
      </c>
      <c r="AI39">
        <v>160</v>
      </c>
      <c r="AJ39">
        <v>10</v>
      </c>
      <c r="AK39">
        <v>98</v>
      </c>
      <c r="AL39" t="s">
        <v>350</v>
      </c>
      <c r="AM39" t="s">
        <v>351</v>
      </c>
      <c r="AN39" t="s">
        <v>352</v>
      </c>
      <c r="AO39" t="s">
        <v>810</v>
      </c>
      <c r="AP39" t="s">
        <v>811</v>
      </c>
      <c r="AQ39" t="s">
        <v>74</v>
      </c>
      <c r="AR39" t="s">
        <v>812</v>
      </c>
      <c r="AS39" t="s">
        <v>813</v>
      </c>
      <c r="AT39" t="s">
        <v>496</v>
      </c>
      <c r="AU39">
        <v>2015</v>
      </c>
      <c r="AV39">
        <v>85</v>
      </c>
      <c r="AW39">
        <v>3</v>
      </c>
      <c r="AX39" t="s">
        <v>74</v>
      </c>
      <c r="AY39" t="s">
        <v>74</v>
      </c>
      <c r="AZ39" t="s">
        <v>74</v>
      </c>
      <c r="BA39" t="s">
        <v>74</v>
      </c>
      <c r="BB39">
        <v>430</v>
      </c>
      <c r="BC39">
        <v>471</v>
      </c>
      <c r="BD39" t="s">
        <v>74</v>
      </c>
      <c r="BE39" t="s">
        <v>814</v>
      </c>
      <c r="BF39" t="str">
        <f>HYPERLINK("http://dx.doi.org/10.3102/0034654314557949","http://dx.doi.org/10.3102/0034654314557949")</f>
        <v>http://dx.doi.org/10.3102/0034654314557949</v>
      </c>
      <c r="BG39" t="s">
        <v>74</v>
      </c>
      <c r="BH39" t="s">
        <v>74</v>
      </c>
      <c r="BI39">
        <v>42</v>
      </c>
      <c r="BJ39" t="s">
        <v>815</v>
      </c>
      <c r="BK39" t="s">
        <v>94</v>
      </c>
      <c r="BL39" t="s">
        <v>815</v>
      </c>
      <c r="BM39" t="s">
        <v>816</v>
      </c>
      <c r="BN39" t="s">
        <v>74</v>
      </c>
      <c r="BO39" t="s">
        <v>74</v>
      </c>
      <c r="BP39" t="s">
        <v>74</v>
      </c>
      <c r="BQ39" t="s">
        <v>74</v>
      </c>
      <c r="BR39" t="s">
        <v>97</v>
      </c>
      <c r="BS39" t="s">
        <v>817</v>
      </c>
      <c r="BT39" t="str">
        <f>HYPERLINK("https%3A%2F%2Fwww.webofscience.com%2Fwos%2Fwoscc%2Ffull-record%2FWOS:000359147500004","View Full Record in Web of Science")</f>
        <v>View Full Record in Web of Science</v>
      </c>
    </row>
    <row r="40" spans="1:72" x14ac:dyDescent="0.25">
      <c r="A40" t="s">
        <v>72</v>
      </c>
      <c r="B40" t="s">
        <v>818</v>
      </c>
      <c r="C40" t="s">
        <v>74</v>
      </c>
      <c r="D40" t="s">
        <v>74</v>
      </c>
      <c r="E40" t="s">
        <v>74</v>
      </c>
      <c r="F40" t="s">
        <v>819</v>
      </c>
      <c r="G40" t="s">
        <v>74</v>
      </c>
      <c r="H40" t="s">
        <v>74</v>
      </c>
      <c r="I40" t="s">
        <v>820</v>
      </c>
      <c r="J40" t="s">
        <v>318</v>
      </c>
      <c r="K40" t="s">
        <v>74</v>
      </c>
      <c r="L40" t="s">
        <v>74</v>
      </c>
      <c r="M40" t="s">
        <v>77</v>
      </c>
      <c r="N40" t="s">
        <v>78</v>
      </c>
      <c r="O40" t="s">
        <v>74</v>
      </c>
      <c r="P40" t="s">
        <v>74</v>
      </c>
      <c r="Q40" t="s">
        <v>74</v>
      </c>
      <c r="R40" t="s">
        <v>74</v>
      </c>
      <c r="S40" t="s">
        <v>74</v>
      </c>
      <c r="T40" t="s">
        <v>821</v>
      </c>
      <c r="U40" t="s">
        <v>822</v>
      </c>
      <c r="V40" t="s">
        <v>823</v>
      </c>
      <c r="W40" t="s">
        <v>824</v>
      </c>
      <c r="X40" t="s">
        <v>825</v>
      </c>
      <c r="Y40" t="s">
        <v>826</v>
      </c>
      <c r="Z40" t="s">
        <v>827</v>
      </c>
      <c r="AA40" t="s">
        <v>828</v>
      </c>
      <c r="AB40" t="s">
        <v>829</v>
      </c>
      <c r="AC40" t="s">
        <v>74</v>
      </c>
      <c r="AD40" t="s">
        <v>74</v>
      </c>
      <c r="AE40" t="s">
        <v>74</v>
      </c>
      <c r="AF40" t="s">
        <v>74</v>
      </c>
      <c r="AG40">
        <v>66</v>
      </c>
      <c r="AH40">
        <v>154</v>
      </c>
      <c r="AI40">
        <v>158</v>
      </c>
      <c r="AJ40">
        <v>24</v>
      </c>
      <c r="AK40">
        <v>212</v>
      </c>
      <c r="AL40" t="s">
        <v>329</v>
      </c>
      <c r="AM40" t="s">
        <v>330</v>
      </c>
      <c r="AN40" t="s">
        <v>331</v>
      </c>
      <c r="AO40" t="s">
        <v>332</v>
      </c>
      <c r="AP40" t="s">
        <v>333</v>
      </c>
      <c r="AQ40" t="s">
        <v>74</v>
      </c>
      <c r="AR40" t="s">
        <v>334</v>
      </c>
      <c r="AS40" t="s">
        <v>335</v>
      </c>
      <c r="AT40" t="s">
        <v>392</v>
      </c>
      <c r="AU40">
        <v>2018</v>
      </c>
      <c r="AV40">
        <v>89</v>
      </c>
      <c r="AW40" t="s">
        <v>74</v>
      </c>
      <c r="AX40" t="s">
        <v>74</v>
      </c>
      <c r="AY40" t="s">
        <v>74</v>
      </c>
      <c r="AZ40" t="s">
        <v>74</v>
      </c>
      <c r="BA40" t="s">
        <v>74</v>
      </c>
      <c r="BB40">
        <v>1</v>
      </c>
      <c r="BC40">
        <v>9</v>
      </c>
      <c r="BD40" t="s">
        <v>74</v>
      </c>
      <c r="BE40" t="s">
        <v>830</v>
      </c>
      <c r="BF40" t="str">
        <f>HYPERLINK("http://dx.doi.org/10.1016/j.jbusres.2018.04.001","http://dx.doi.org/10.1016/j.jbusres.2018.04.001")</f>
        <v>http://dx.doi.org/10.1016/j.jbusres.2018.04.001</v>
      </c>
      <c r="BG40" t="s">
        <v>74</v>
      </c>
      <c r="BH40" t="s">
        <v>74</v>
      </c>
      <c r="BI40">
        <v>9</v>
      </c>
      <c r="BJ40" t="s">
        <v>337</v>
      </c>
      <c r="BK40" t="s">
        <v>94</v>
      </c>
      <c r="BL40" t="s">
        <v>95</v>
      </c>
      <c r="BM40" t="s">
        <v>831</v>
      </c>
      <c r="BN40" t="s">
        <v>74</v>
      </c>
      <c r="BO40" t="s">
        <v>378</v>
      </c>
      <c r="BP40" t="s">
        <v>74</v>
      </c>
      <c r="BQ40" t="s">
        <v>74</v>
      </c>
      <c r="BR40" t="s">
        <v>97</v>
      </c>
      <c r="BS40" t="s">
        <v>832</v>
      </c>
      <c r="BT40" t="str">
        <f>HYPERLINK("https%3A%2F%2Fwww.webofscience.com%2Fwos%2Fwoscc%2Ffull-record%2FWOS:000438002000001","View Full Record in Web of Science")</f>
        <v>View Full Record in Web of Science</v>
      </c>
    </row>
    <row r="41" spans="1:72" x14ac:dyDescent="0.25">
      <c r="A41" t="s">
        <v>72</v>
      </c>
      <c r="B41" t="s">
        <v>833</v>
      </c>
      <c r="C41" t="s">
        <v>74</v>
      </c>
      <c r="D41" t="s">
        <v>74</v>
      </c>
      <c r="E41" t="s">
        <v>74</v>
      </c>
      <c r="F41" t="s">
        <v>834</v>
      </c>
      <c r="G41" t="s">
        <v>74</v>
      </c>
      <c r="H41" t="s">
        <v>74</v>
      </c>
      <c r="I41" t="s">
        <v>835</v>
      </c>
      <c r="J41" t="s">
        <v>424</v>
      </c>
      <c r="K41" t="s">
        <v>74</v>
      </c>
      <c r="L41" t="s">
        <v>74</v>
      </c>
      <c r="M41" t="s">
        <v>77</v>
      </c>
      <c r="N41" t="s">
        <v>78</v>
      </c>
      <c r="O41" t="s">
        <v>74</v>
      </c>
      <c r="P41" t="s">
        <v>74</v>
      </c>
      <c r="Q41" t="s">
        <v>74</v>
      </c>
      <c r="R41" t="s">
        <v>74</v>
      </c>
      <c r="S41" t="s">
        <v>74</v>
      </c>
      <c r="T41" t="s">
        <v>836</v>
      </c>
      <c r="U41" t="s">
        <v>837</v>
      </c>
      <c r="V41" t="s">
        <v>838</v>
      </c>
      <c r="W41" t="s">
        <v>839</v>
      </c>
      <c r="X41" t="s">
        <v>840</v>
      </c>
      <c r="Y41" t="s">
        <v>841</v>
      </c>
      <c r="Z41" t="s">
        <v>842</v>
      </c>
      <c r="AA41" t="s">
        <v>843</v>
      </c>
      <c r="AB41" t="s">
        <v>844</v>
      </c>
      <c r="AC41" t="s">
        <v>74</v>
      </c>
      <c r="AD41" t="s">
        <v>74</v>
      </c>
      <c r="AE41" t="s">
        <v>74</v>
      </c>
      <c r="AF41" t="s">
        <v>74</v>
      </c>
      <c r="AG41">
        <v>76</v>
      </c>
      <c r="AH41">
        <v>150</v>
      </c>
      <c r="AI41">
        <v>165</v>
      </c>
      <c r="AJ41">
        <v>24</v>
      </c>
      <c r="AK41">
        <v>212</v>
      </c>
      <c r="AL41" t="s">
        <v>434</v>
      </c>
      <c r="AM41" t="s">
        <v>435</v>
      </c>
      <c r="AN41" t="s">
        <v>436</v>
      </c>
      <c r="AO41" t="s">
        <v>437</v>
      </c>
      <c r="AP41" t="s">
        <v>438</v>
      </c>
      <c r="AQ41" t="s">
        <v>74</v>
      </c>
      <c r="AR41" t="s">
        <v>439</v>
      </c>
      <c r="AS41" t="s">
        <v>440</v>
      </c>
      <c r="AT41" t="s">
        <v>122</v>
      </c>
      <c r="AU41">
        <v>2015</v>
      </c>
      <c r="AV41">
        <v>44</v>
      </c>
      <c r="AW41">
        <v>3</v>
      </c>
      <c r="AX41" t="s">
        <v>74</v>
      </c>
      <c r="AY41" t="s">
        <v>74</v>
      </c>
      <c r="AZ41" t="s">
        <v>74</v>
      </c>
      <c r="BA41" t="s">
        <v>74</v>
      </c>
      <c r="BB41">
        <v>726</v>
      </c>
      <c r="BC41">
        <v>747</v>
      </c>
      <c r="BD41" t="s">
        <v>74</v>
      </c>
      <c r="BE41" t="s">
        <v>845</v>
      </c>
      <c r="BF41" t="str">
        <f>HYPERLINK("http://dx.doi.org/10.1016/j.respol.2014.10.009","http://dx.doi.org/10.1016/j.respol.2014.10.009")</f>
        <v>http://dx.doi.org/10.1016/j.respol.2014.10.009</v>
      </c>
      <c r="BG41" t="s">
        <v>74</v>
      </c>
      <c r="BH41" t="s">
        <v>74</v>
      </c>
      <c r="BI41">
        <v>22</v>
      </c>
      <c r="BJ41" t="s">
        <v>442</v>
      </c>
      <c r="BK41" t="s">
        <v>94</v>
      </c>
      <c r="BL41" t="s">
        <v>95</v>
      </c>
      <c r="BM41" t="s">
        <v>846</v>
      </c>
      <c r="BN41" t="s">
        <v>74</v>
      </c>
      <c r="BO41" t="s">
        <v>111</v>
      </c>
      <c r="BP41" t="s">
        <v>150</v>
      </c>
      <c r="BQ41" t="s">
        <v>151</v>
      </c>
      <c r="BR41" t="s">
        <v>97</v>
      </c>
      <c r="BS41" t="s">
        <v>847</v>
      </c>
      <c r="BT41" t="str">
        <f>HYPERLINK("https%3A%2F%2Fwww.webofscience.com%2Fwos%2Fwoscc%2Ffull-record%2FWOS:000350837800013","View Full Record in Web of Science")</f>
        <v>View Full Record in Web of Science</v>
      </c>
    </row>
    <row r="42" spans="1:72" x14ac:dyDescent="0.25">
      <c r="A42" t="s">
        <v>72</v>
      </c>
      <c r="B42" t="s">
        <v>848</v>
      </c>
      <c r="C42" t="s">
        <v>74</v>
      </c>
      <c r="D42" t="s">
        <v>74</v>
      </c>
      <c r="E42" t="s">
        <v>74</v>
      </c>
      <c r="F42" t="s">
        <v>849</v>
      </c>
      <c r="G42" t="s">
        <v>74</v>
      </c>
      <c r="H42" t="s">
        <v>74</v>
      </c>
      <c r="I42" t="s">
        <v>850</v>
      </c>
      <c r="J42" t="s">
        <v>318</v>
      </c>
      <c r="K42" t="s">
        <v>74</v>
      </c>
      <c r="L42" t="s">
        <v>74</v>
      </c>
      <c r="M42" t="s">
        <v>77</v>
      </c>
      <c r="N42" t="s">
        <v>78</v>
      </c>
      <c r="O42" t="s">
        <v>74</v>
      </c>
      <c r="P42" t="s">
        <v>74</v>
      </c>
      <c r="Q42" t="s">
        <v>74</v>
      </c>
      <c r="R42" t="s">
        <v>74</v>
      </c>
      <c r="S42" t="s">
        <v>74</v>
      </c>
      <c r="T42" t="s">
        <v>851</v>
      </c>
      <c r="U42" t="s">
        <v>852</v>
      </c>
      <c r="V42" t="s">
        <v>853</v>
      </c>
      <c r="W42" t="s">
        <v>854</v>
      </c>
      <c r="X42" t="s">
        <v>855</v>
      </c>
      <c r="Y42" t="s">
        <v>856</v>
      </c>
      <c r="Z42" t="s">
        <v>857</v>
      </c>
      <c r="AA42" t="s">
        <v>858</v>
      </c>
      <c r="AB42" t="s">
        <v>859</v>
      </c>
      <c r="AC42" t="s">
        <v>74</v>
      </c>
      <c r="AD42" t="s">
        <v>74</v>
      </c>
      <c r="AE42" t="s">
        <v>74</v>
      </c>
      <c r="AF42" t="s">
        <v>74</v>
      </c>
      <c r="AG42">
        <v>133</v>
      </c>
      <c r="AH42">
        <v>145</v>
      </c>
      <c r="AI42">
        <v>147</v>
      </c>
      <c r="AJ42">
        <v>7</v>
      </c>
      <c r="AK42">
        <v>72</v>
      </c>
      <c r="AL42" t="s">
        <v>329</v>
      </c>
      <c r="AM42" t="s">
        <v>330</v>
      </c>
      <c r="AN42" t="s">
        <v>331</v>
      </c>
      <c r="AO42" t="s">
        <v>332</v>
      </c>
      <c r="AP42" t="s">
        <v>333</v>
      </c>
      <c r="AQ42" t="s">
        <v>74</v>
      </c>
      <c r="AR42" t="s">
        <v>334</v>
      </c>
      <c r="AS42" t="s">
        <v>335</v>
      </c>
      <c r="AT42" t="s">
        <v>91</v>
      </c>
      <c r="AU42">
        <v>2011</v>
      </c>
      <c r="AV42">
        <v>64</v>
      </c>
      <c r="AW42">
        <v>6</v>
      </c>
      <c r="AX42" t="s">
        <v>74</v>
      </c>
      <c r="AY42" t="s">
        <v>74</v>
      </c>
      <c r="AZ42" t="s">
        <v>860</v>
      </c>
      <c r="BA42" t="s">
        <v>74</v>
      </c>
      <c r="BB42">
        <v>601</v>
      </c>
      <c r="BC42">
        <v>609</v>
      </c>
      <c r="BD42" t="s">
        <v>74</v>
      </c>
      <c r="BE42" t="s">
        <v>861</v>
      </c>
      <c r="BF42" t="str">
        <f>HYPERLINK("http://dx.doi.org/10.1016/j.jbusres.2010.05.002","http://dx.doi.org/10.1016/j.jbusres.2010.05.002")</f>
        <v>http://dx.doi.org/10.1016/j.jbusres.2010.05.002</v>
      </c>
      <c r="BG42" t="s">
        <v>74</v>
      </c>
      <c r="BH42" t="s">
        <v>74</v>
      </c>
      <c r="BI42">
        <v>9</v>
      </c>
      <c r="BJ42" t="s">
        <v>337</v>
      </c>
      <c r="BK42" t="s">
        <v>94</v>
      </c>
      <c r="BL42" t="s">
        <v>95</v>
      </c>
      <c r="BM42" t="s">
        <v>862</v>
      </c>
      <c r="BN42" t="s">
        <v>74</v>
      </c>
      <c r="BO42" t="s">
        <v>74</v>
      </c>
      <c r="BP42" t="s">
        <v>74</v>
      </c>
      <c r="BQ42" t="s">
        <v>74</v>
      </c>
      <c r="BR42" t="s">
        <v>97</v>
      </c>
      <c r="BS42" t="s">
        <v>863</v>
      </c>
      <c r="BT42" t="str">
        <f>HYPERLINK("https%3A%2F%2Fwww.webofscience.com%2Fwos%2Fwoscc%2Ffull-record%2FWOS:000289399000010","View Full Record in Web of Science")</f>
        <v>View Full Record in Web of Science</v>
      </c>
    </row>
    <row r="43" spans="1:72" x14ac:dyDescent="0.25">
      <c r="A43" t="s">
        <v>72</v>
      </c>
      <c r="B43" t="s">
        <v>864</v>
      </c>
      <c r="C43" t="s">
        <v>74</v>
      </c>
      <c r="D43" t="s">
        <v>74</v>
      </c>
      <c r="E43" t="s">
        <v>74</v>
      </c>
      <c r="F43" t="s">
        <v>865</v>
      </c>
      <c r="G43" t="s">
        <v>74</v>
      </c>
      <c r="H43" t="s">
        <v>74</v>
      </c>
      <c r="I43" t="s">
        <v>866</v>
      </c>
      <c r="J43" t="s">
        <v>722</v>
      </c>
      <c r="K43" t="s">
        <v>74</v>
      </c>
      <c r="L43" t="s">
        <v>74</v>
      </c>
      <c r="M43" t="s">
        <v>77</v>
      </c>
      <c r="N43" t="s">
        <v>78</v>
      </c>
      <c r="O43" t="s">
        <v>74</v>
      </c>
      <c r="P43" t="s">
        <v>74</v>
      </c>
      <c r="Q43" t="s">
        <v>74</v>
      </c>
      <c r="R43" t="s">
        <v>74</v>
      </c>
      <c r="S43" t="s">
        <v>74</v>
      </c>
      <c r="T43" t="s">
        <v>867</v>
      </c>
      <c r="U43" t="s">
        <v>868</v>
      </c>
      <c r="V43" t="s">
        <v>869</v>
      </c>
      <c r="W43" t="s">
        <v>870</v>
      </c>
      <c r="X43" t="s">
        <v>871</v>
      </c>
      <c r="Y43" t="s">
        <v>872</v>
      </c>
      <c r="Z43" t="s">
        <v>873</v>
      </c>
      <c r="AA43" t="s">
        <v>874</v>
      </c>
      <c r="AB43" t="s">
        <v>74</v>
      </c>
      <c r="AC43" t="s">
        <v>74</v>
      </c>
      <c r="AD43" t="s">
        <v>74</v>
      </c>
      <c r="AE43" t="s">
        <v>74</v>
      </c>
      <c r="AF43" t="s">
        <v>74</v>
      </c>
      <c r="AG43">
        <v>530</v>
      </c>
      <c r="AH43">
        <v>143</v>
      </c>
      <c r="AI43">
        <v>145</v>
      </c>
      <c r="AJ43">
        <v>19</v>
      </c>
      <c r="AK43">
        <v>298</v>
      </c>
      <c r="AL43" t="s">
        <v>329</v>
      </c>
      <c r="AM43" t="s">
        <v>330</v>
      </c>
      <c r="AN43" t="s">
        <v>331</v>
      </c>
      <c r="AO43" t="s">
        <v>731</v>
      </c>
      <c r="AP43" t="s">
        <v>875</v>
      </c>
      <c r="AQ43" t="s">
        <v>74</v>
      </c>
      <c r="AR43" t="s">
        <v>732</v>
      </c>
      <c r="AS43" t="s">
        <v>733</v>
      </c>
      <c r="AT43" t="s">
        <v>91</v>
      </c>
      <c r="AU43">
        <v>2017</v>
      </c>
      <c r="AV43">
        <v>28</v>
      </c>
      <c r="AW43">
        <v>3</v>
      </c>
      <c r="AX43" t="s">
        <v>74</v>
      </c>
      <c r="AY43" t="s">
        <v>74</v>
      </c>
      <c r="AZ43" t="s">
        <v>74</v>
      </c>
      <c r="BA43" t="s">
        <v>74</v>
      </c>
      <c r="BB43">
        <v>385</v>
      </c>
      <c r="BC43">
        <v>417</v>
      </c>
      <c r="BD43" t="s">
        <v>74</v>
      </c>
      <c r="BE43" t="s">
        <v>876</v>
      </c>
      <c r="BF43" t="str">
        <f>HYPERLINK("http://dx.doi.org/10.1016/j.leaqua.2016.11.008","http://dx.doi.org/10.1016/j.leaqua.2016.11.008")</f>
        <v>http://dx.doi.org/10.1016/j.leaqua.2016.11.008</v>
      </c>
      <c r="BG43" t="s">
        <v>74</v>
      </c>
      <c r="BH43" t="s">
        <v>74</v>
      </c>
      <c r="BI43">
        <v>33</v>
      </c>
      <c r="BJ43" t="s">
        <v>202</v>
      </c>
      <c r="BK43" t="s">
        <v>94</v>
      </c>
      <c r="BL43" t="s">
        <v>203</v>
      </c>
      <c r="BM43" t="s">
        <v>877</v>
      </c>
      <c r="BN43" t="s">
        <v>74</v>
      </c>
      <c r="BO43" t="s">
        <v>74</v>
      </c>
      <c r="BP43" t="s">
        <v>74</v>
      </c>
      <c r="BQ43" t="s">
        <v>74</v>
      </c>
      <c r="BR43" t="s">
        <v>97</v>
      </c>
      <c r="BS43" t="s">
        <v>878</v>
      </c>
      <c r="BT43" t="str">
        <f>HYPERLINK("https%3A%2F%2Fwww.webofscience.com%2Fwos%2Fwoscc%2Ffull-record%2FWOS:000403628000003","View Full Record in Web of Science")</f>
        <v>View Full Record in Web of Science</v>
      </c>
    </row>
    <row r="44" spans="1:72" x14ac:dyDescent="0.25">
      <c r="A44" t="s">
        <v>72</v>
      </c>
      <c r="B44" t="s">
        <v>879</v>
      </c>
      <c r="C44" t="s">
        <v>74</v>
      </c>
      <c r="D44" t="s">
        <v>74</v>
      </c>
      <c r="E44" t="s">
        <v>74</v>
      </c>
      <c r="F44" t="s">
        <v>880</v>
      </c>
      <c r="G44" t="s">
        <v>74</v>
      </c>
      <c r="H44" t="s">
        <v>74</v>
      </c>
      <c r="I44" t="s">
        <v>881</v>
      </c>
      <c r="J44" t="s">
        <v>209</v>
      </c>
      <c r="K44" t="s">
        <v>74</v>
      </c>
      <c r="L44" t="s">
        <v>74</v>
      </c>
      <c r="M44" t="s">
        <v>77</v>
      </c>
      <c r="N44" t="s">
        <v>78</v>
      </c>
      <c r="O44" t="s">
        <v>74</v>
      </c>
      <c r="P44" t="s">
        <v>74</v>
      </c>
      <c r="Q44" t="s">
        <v>74</v>
      </c>
      <c r="R44" t="s">
        <v>74</v>
      </c>
      <c r="S44" t="s">
        <v>74</v>
      </c>
      <c r="T44" t="s">
        <v>882</v>
      </c>
      <c r="U44" t="s">
        <v>883</v>
      </c>
      <c r="V44" t="s">
        <v>884</v>
      </c>
      <c r="W44" t="s">
        <v>885</v>
      </c>
      <c r="X44" t="s">
        <v>886</v>
      </c>
      <c r="Y44" t="s">
        <v>887</v>
      </c>
      <c r="Z44" t="s">
        <v>888</v>
      </c>
      <c r="AA44" t="s">
        <v>74</v>
      </c>
      <c r="AB44" t="s">
        <v>889</v>
      </c>
      <c r="AC44" t="s">
        <v>890</v>
      </c>
      <c r="AD44" t="s">
        <v>891</v>
      </c>
      <c r="AE44" t="s">
        <v>74</v>
      </c>
      <c r="AF44" t="s">
        <v>74</v>
      </c>
      <c r="AG44">
        <v>54</v>
      </c>
      <c r="AH44">
        <v>143</v>
      </c>
      <c r="AI44">
        <v>156</v>
      </c>
      <c r="AJ44">
        <v>20</v>
      </c>
      <c r="AK44">
        <v>253</v>
      </c>
      <c r="AL44" t="s">
        <v>786</v>
      </c>
      <c r="AM44" t="s">
        <v>219</v>
      </c>
      <c r="AN44" t="s">
        <v>220</v>
      </c>
      <c r="AO44" t="s">
        <v>221</v>
      </c>
      <c r="AP44" t="s">
        <v>222</v>
      </c>
      <c r="AQ44" t="s">
        <v>74</v>
      </c>
      <c r="AR44" t="s">
        <v>223</v>
      </c>
      <c r="AS44" t="s">
        <v>224</v>
      </c>
      <c r="AT44" t="s">
        <v>892</v>
      </c>
      <c r="AU44">
        <v>2015</v>
      </c>
      <c r="AV44">
        <v>36</v>
      </c>
      <c r="AW44">
        <v>1</v>
      </c>
      <c r="AX44" t="s">
        <v>74</v>
      </c>
      <c r="AY44" t="s">
        <v>74</v>
      </c>
      <c r="AZ44" t="s">
        <v>74</v>
      </c>
      <c r="BA44" t="s">
        <v>74</v>
      </c>
      <c r="BB44">
        <v>59</v>
      </c>
      <c r="BC44">
        <v>74</v>
      </c>
      <c r="BD44" t="s">
        <v>74</v>
      </c>
      <c r="BE44" t="s">
        <v>893</v>
      </c>
      <c r="BF44" t="str">
        <f>HYPERLINK("http://dx.doi.org/10.1002/job.1943","http://dx.doi.org/10.1002/job.1943")</f>
        <v>http://dx.doi.org/10.1002/job.1943</v>
      </c>
      <c r="BG44" t="s">
        <v>74</v>
      </c>
      <c r="BH44" t="s">
        <v>74</v>
      </c>
      <c r="BI44">
        <v>16</v>
      </c>
      <c r="BJ44" t="s">
        <v>226</v>
      </c>
      <c r="BK44" t="s">
        <v>94</v>
      </c>
      <c r="BL44" t="s">
        <v>227</v>
      </c>
      <c r="BM44" t="s">
        <v>894</v>
      </c>
      <c r="BN44" t="s">
        <v>74</v>
      </c>
      <c r="BO44" t="s">
        <v>74</v>
      </c>
      <c r="BP44" t="s">
        <v>74</v>
      </c>
      <c r="BQ44" t="s">
        <v>74</v>
      </c>
      <c r="BR44" t="s">
        <v>97</v>
      </c>
      <c r="BS44" t="s">
        <v>895</v>
      </c>
      <c r="BT44" t="str">
        <f>HYPERLINK("https%3A%2F%2Fwww.webofscience.com%2Fwos%2Fwoscc%2Ffull-record%2FWOS:000348840600005","View Full Record in Web of Science")</f>
        <v>View Full Record in Web of Science</v>
      </c>
    </row>
    <row r="45" spans="1:72" x14ac:dyDescent="0.25">
      <c r="A45" t="s">
        <v>72</v>
      </c>
      <c r="B45" t="s">
        <v>896</v>
      </c>
      <c r="C45" t="s">
        <v>74</v>
      </c>
      <c r="D45" t="s">
        <v>74</v>
      </c>
      <c r="E45" t="s">
        <v>74</v>
      </c>
      <c r="F45" t="s">
        <v>897</v>
      </c>
      <c r="G45" t="s">
        <v>74</v>
      </c>
      <c r="H45" t="s">
        <v>74</v>
      </c>
      <c r="I45" t="s">
        <v>898</v>
      </c>
      <c r="J45" t="s">
        <v>899</v>
      </c>
      <c r="K45" t="s">
        <v>74</v>
      </c>
      <c r="L45" t="s">
        <v>74</v>
      </c>
      <c r="M45" t="s">
        <v>77</v>
      </c>
      <c r="N45" t="s">
        <v>78</v>
      </c>
      <c r="O45" t="s">
        <v>74</v>
      </c>
      <c r="P45" t="s">
        <v>74</v>
      </c>
      <c r="Q45" t="s">
        <v>74</v>
      </c>
      <c r="R45" t="s">
        <v>74</v>
      </c>
      <c r="S45" t="s">
        <v>74</v>
      </c>
      <c r="T45" t="s">
        <v>74</v>
      </c>
      <c r="U45" t="s">
        <v>900</v>
      </c>
      <c r="V45" t="s">
        <v>901</v>
      </c>
      <c r="W45" t="s">
        <v>902</v>
      </c>
      <c r="X45" t="s">
        <v>903</v>
      </c>
      <c r="Y45" t="s">
        <v>904</v>
      </c>
      <c r="Z45" t="s">
        <v>905</v>
      </c>
      <c r="AA45" t="s">
        <v>906</v>
      </c>
      <c r="AB45" t="s">
        <v>907</v>
      </c>
      <c r="AC45" t="s">
        <v>74</v>
      </c>
      <c r="AD45" t="s">
        <v>74</v>
      </c>
      <c r="AE45" t="s">
        <v>74</v>
      </c>
      <c r="AF45" t="s">
        <v>74</v>
      </c>
      <c r="AG45">
        <v>97</v>
      </c>
      <c r="AH45">
        <v>142</v>
      </c>
      <c r="AI45">
        <v>147</v>
      </c>
      <c r="AJ45">
        <v>1</v>
      </c>
      <c r="AK45">
        <v>32</v>
      </c>
      <c r="AL45" t="s">
        <v>577</v>
      </c>
      <c r="AM45" t="s">
        <v>578</v>
      </c>
      <c r="AN45" t="s">
        <v>579</v>
      </c>
      <c r="AO45" t="s">
        <v>908</v>
      </c>
      <c r="AP45" t="s">
        <v>909</v>
      </c>
      <c r="AQ45" t="s">
        <v>74</v>
      </c>
      <c r="AR45" t="s">
        <v>910</v>
      </c>
      <c r="AS45" t="s">
        <v>911</v>
      </c>
      <c r="AT45" t="s">
        <v>91</v>
      </c>
      <c r="AU45">
        <v>2007</v>
      </c>
      <c r="AV45">
        <v>27</v>
      </c>
      <c r="AW45">
        <v>2</v>
      </c>
      <c r="AX45" t="s">
        <v>74</v>
      </c>
      <c r="AY45" t="s">
        <v>74</v>
      </c>
      <c r="AZ45" t="s">
        <v>74</v>
      </c>
      <c r="BA45" t="s">
        <v>74</v>
      </c>
      <c r="BB45">
        <v>261</v>
      </c>
      <c r="BC45">
        <v>276</v>
      </c>
      <c r="BD45" t="s">
        <v>74</v>
      </c>
      <c r="BE45" t="s">
        <v>912</v>
      </c>
      <c r="BF45" t="str">
        <f>HYPERLINK("http://dx.doi.org/10.1016/j.dr.2006.09.001","http://dx.doi.org/10.1016/j.dr.2006.09.001")</f>
        <v>http://dx.doi.org/10.1016/j.dr.2006.09.001</v>
      </c>
      <c r="BG45" t="s">
        <v>74</v>
      </c>
      <c r="BH45" t="s">
        <v>74</v>
      </c>
      <c r="BI45">
        <v>16</v>
      </c>
      <c r="BJ45" t="s">
        <v>913</v>
      </c>
      <c r="BK45" t="s">
        <v>94</v>
      </c>
      <c r="BL45" t="s">
        <v>460</v>
      </c>
      <c r="BM45" t="s">
        <v>914</v>
      </c>
      <c r="BN45" t="s">
        <v>74</v>
      </c>
      <c r="BO45" t="s">
        <v>74</v>
      </c>
      <c r="BP45" t="s">
        <v>74</v>
      </c>
      <c r="BQ45" t="s">
        <v>74</v>
      </c>
      <c r="BR45" t="s">
        <v>97</v>
      </c>
      <c r="BS45" t="s">
        <v>915</v>
      </c>
      <c r="BT45" t="str">
        <f>HYPERLINK("https%3A%2F%2Fwww.webofscience.com%2Fwos%2Fwoscc%2Ffull-record%2FWOS:000247963300004","View Full Record in Web of Science")</f>
        <v>View Full Record in Web of Science</v>
      </c>
    </row>
    <row r="46" spans="1:72" x14ac:dyDescent="0.25">
      <c r="A46" t="s">
        <v>72</v>
      </c>
      <c r="B46" t="s">
        <v>916</v>
      </c>
      <c r="C46" t="s">
        <v>74</v>
      </c>
      <c r="D46" t="s">
        <v>74</v>
      </c>
      <c r="E46" t="s">
        <v>74</v>
      </c>
      <c r="F46" t="s">
        <v>917</v>
      </c>
      <c r="G46" t="s">
        <v>74</v>
      </c>
      <c r="H46" t="s">
        <v>74</v>
      </c>
      <c r="I46" t="s">
        <v>918</v>
      </c>
      <c r="J46" t="s">
        <v>592</v>
      </c>
      <c r="K46" t="s">
        <v>74</v>
      </c>
      <c r="L46" t="s">
        <v>74</v>
      </c>
      <c r="M46" t="s">
        <v>77</v>
      </c>
      <c r="N46" t="s">
        <v>78</v>
      </c>
      <c r="O46" t="s">
        <v>74</v>
      </c>
      <c r="P46" t="s">
        <v>74</v>
      </c>
      <c r="Q46" t="s">
        <v>74</v>
      </c>
      <c r="R46" t="s">
        <v>74</v>
      </c>
      <c r="S46" t="s">
        <v>74</v>
      </c>
      <c r="T46" t="s">
        <v>919</v>
      </c>
      <c r="U46" t="s">
        <v>920</v>
      </c>
      <c r="V46" t="s">
        <v>921</v>
      </c>
      <c r="W46" t="s">
        <v>922</v>
      </c>
      <c r="X46" t="s">
        <v>923</v>
      </c>
      <c r="Y46" t="s">
        <v>924</v>
      </c>
      <c r="Z46" t="s">
        <v>925</v>
      </c>
      <c r="AA46" t="s">
        <v>74</v>
      </c>
      <c r="AB46" t="s">
        <v>74</v>
      </c>
      <c r="AC46" t="s">
        <v>74</v>
      </c>
      <c r="AD46" t="s">
        <v>74</v>
      </c>
      <c r="AE46" t="s">
        <v>74</v>
      </c>
      <c r="AF46" t="s">
        <v>74</v>
      </c>
      <c r="AG46">
        <v>92</v>
      </c>
      <c r="AH46">
        <v>141</v>
      </c>
      <c r="AI46">
        <v>146</v>
      </c>
      <c r="AJ46">
        <v>18</v>
      </c>
      <c r="AK46">
        <v>265</v>
      </c>
      <c r="AL46" t="s">
        <v>602</v>
      </c>
      <c r="AM46" t="s">
        <v>160</v>
      </c>
      <c r="AN46" t="s">
        <v>603</v>
      </c>
      <c r="AO46" t="s">
        <v>604</v>
      </c>
      <c r="AP46" t="s">
        <v>605</v>
      </c>
      <c r="AQ46" t="s">
        <v>74</v>
      </c>
      <c r="AR46" t="s">
        <v>606</v>
      </c>
      <c r="AS46" t="s">
        <v>607</v>
      </c>
      <c r="AT46" t="s">
        <v>375</v>
      </c>
      <c r="AU46">
        <v>2016</v>
      </c>
      <c r="AV46">
        <v>57</v>
      </c>
      <c r="AW46" t="s">
        <v>74</v>
      </c>
      <c r="AX46" t="s">
        <v>74</v>
      </c>
      <c r="AY46" t="s">
        <v>74</v>
      </c>
      <c r="AZ46" t="s">
        <v>74</v>
      </c>
      <c r="BA46" t="s">
        <v>74</v>
      </c>
      <c r="BB46">
        <v>139</v>
      </c>
      <c r="BC46">
        <v>148</v>
      </c>
      <c r="BD46" t="s">
        <v>74</v>
      </c>
      <c r="BE46" t="s">
        <v>926</v>
      </c>
      <c r="BF46" t="str">
        <f>HYPERLINK("http://dx.doi.org/10.1016/j.tourman.2016.05.011","http://dx.doi.org/10.1016/j.tourman.2016.05.011")</f>
        <v>http://dx.doi.org/10.1016/j.tourman.2016.05.011</v>
      </c>
      <c r="BG46" t="s">
        <v>74</v>
      </c>
      <c r="BH46" t="s">
        <v>74</v>
      </c>
      <c r="BI46">
        <v>10</v>
      </c>
      <c r="BJ46" t="s">
        <v>609</v>
      </c>
      <c r="BK46" t="s">
        <v>94</v>
      </c>
      <c r="BL46" t="s">
        <v>610</v>
      </c>
      <c r="BM46" t="s">
        <v>927</v>
      </c>
      <c r="BN46" t="s">
        <v>74</v>
      </c>
      <c r="BO46" t="s">
        <v>74</v>
      </c>
      <c r="BP46" t="s">
        <v>150</v>
      </c>
      <c r="BQ46" t="s">
        <v>151</v>
      </c>
      <c r="BR46" t="s">
        <v>97</v>
      </c>
      <c r="BS46" t="s">
        <v>928</v>
      </c>
      <c r="BT46" t="str">
        <f>HYPERLINK("https%3A%2F%2Fwww.webofscience.com%2Fwos%2Fwoscc%2Ffull-record%2FWOS:000381532100017","View Full Record in Web of Science")</f>
        <v>View Full Record in Web of Science</v>
      </c>
    </row>
    <row r="47" spans="1:72" x14ac:dyDescent="0.25">
      <c r="A47" t="s">
        <v>72</v>
      </c>
      <c r="B47" t="s">
        <v>929</v>
      </c>
      <c r="C47" t="s">
        <v>74</v>
      </c>
      <c r="D47" t="s">
        <v>74</v>
      </c>
      <c r="E47" t="s">
        <v>74</v>
      </c>
      <c r="F47" t="s">
        <v>930</v>
      </c>
      <c r="G47" t="s">
        <v>74</v>
      </c>
      <c r="H47" t="s">
        <v>74</v>
      </c>
      <c r="I47" t="s">
        <v>931</v>
      </c>
      <c r="J47" t="s">
        <v>186</v>
      </c>
      <c r="K47" t="s">
        <v>74</v>
      </c>
      <c r="L47" t="s">
        <v>74</v>
      </c>
      <c r="M47" t="s">
        <v>77</v>
      </c>
      <c r="N47" t="s">
        <v>78</v>
      </c>
      <c r="O47" t="s">
        <v>74</v>
      </c>
      <c r="P47" t="s">
        <v>74</v>
      </c>
      <c r="Q47" t="s">
        <v>74</v>
      </c>
      <c r="R47" t="s">
        <v>74</v>
      </c>
      <c r="S47" t="s">
        <v>74</v>
      </c>
      <c r="T47" t="s">
        <v>932</v>
      </c>
      <c r="U47" t="s">
        <v>933</v>
      </c>
      <c r="V47" t="s">
        <v>934</v>
      </c>
      <c r="W47" t="s">
        <v>935</v>
      </c>
      <c r="X47" t="s">
        <v>936</v>
      </c>
      <c r="Y47" t="s">
        <v>872</v>
      </c>
      <c r="Z47" t="s">
        <v>873</v>
      </c>
      <c r="AA47" t="s">
        <v>937</v>
      </c>
      <c r="AB47" t="s">
        <v>938</v>
      </c>
      <c r="AC47" t="s">
        <v>74</v>
      </c>
      <c r="AD47" t="s">
        <v>74</v>
      </c>
      <c r="AE47" t="s">
        <v>74</v>
      </c>
      <c r="AF47" t="s">
        <v>74</v>
      </c>
      <c r="AG47">
        <v>137</v>
      </c>
      <c r="AH47">
        <v>139</v>
      </c>
      <c r="AI47">
        <v>150</v>
      </c>
      <c r="AJ47">
        <v>36</v>
      </c>
      <c r="AK47">
        <v>301</v>
      </c>
      <c r="AL47" t="s">
        <v>194</v>
      </c>
      <c r="AM47" t="s">
        <v>195</v>
      </c>
      <c r="AN47" t="s">
        <v>196</v>
      </c>
      <c r="AO47" t="s">
        <v>197</v>
      </c>
      <c r="AP47" t="s">
        <v>939</v>
      </c>
      <c r="AQ47" t="s">
        <v>74</v>
      </c>
      <c r="AR47" t="s">
        <v>198</v>
      </c>
      <c r="AS47" t="s">
        <v>199</v>
      </c>
      <c r="AT47" t="s">
        <v>892</v>
      </c>
      <c r="AU47">
        <v>2016</v>
      </c>
      <c r="AV47">
        <v>101</v>
      </c>
      <c r="AW47">
        <v>1</v>
      </c>
      <c r="AX47" t="s">
        <v>74</v>
      </c>
      <c r="AY47" t="s">
        <v>74</v>
      </c>
      <c r="AZ47" t="s">
        <v>74</v>
      </c>
      <c r="BA47" t="s">
        <v>74</v>
      </c>
      <c r="BB47">
        <v>14</v>
      </c>
      <c r="BC47">
        <v>34</v>
      </c>
      <c r="BD47" t="s">
        <v>74</v>
      </c>
      <c r="BE47" t="s">
        <v>940</v>
      </c>
      <c r="BF47" t="str">
        <f>HYPERLINK("http://dx.doi.org/10.1037/apl0000029","http://dx.doi.org/10.1037/apl0000029")</f>
        <v>http://dx.doi.org/10.1037/apl0000029</v>
      </c>
      <c r="BG47" t="s">
        <v>74</v>
      </c>
      <c r="BH47" t="s">
        <v>74</v>
      </c>
      <c r="BI47">
        <v>21</v>
      </c>
      <c r="BJ47" t="s">
        <v>202</v>
      </c>
      <c r="BK47" t="s">
        <v>94</v>
      </c>
      <c r="BL47" t="s">
        <v>203</v>
      </c>
      <c r="BM47" t="s">
        <v>941</v>
      </c>
      <c r="BN47">
        <v>26052714</v>
      </c>
      <c r="BO47" t="s">
        <v>74</v>
      </c>
      <c r="BP47" t="s">
        <v>74</v>
      </c>
      <c r="BQ47" t="s">
        <v>74</v>
      </c>
      <c r="BR47" t="s">
        <v>97</v>
      </c>
      <c r="BS47" t="s">
        <v>942</v>
      </c>
      <c r="BT47" t="str">
        <f>HYPERLINK("https%3A%2F%2Fwww.webofscience.com%2Fwos%2Fwoscc%2Ffull-record%2FWOS:000370170400002","View Full Record in Web of Science")</f>
        <v>View Full Record in Web of Science</v>
      </c>
    </row>
    <row r="48" spans="1:72" x14ac:dyDescent="0.25">
      <c r="A48" t="s">
        <v>72</v>
      </c>
      <c r="B48" t="s">
        <v>943</v>
      </c>
      <c r="C48" t="s">
        <v>74</v>
      </c>
      <c r="D48" t="s">
        <v>74</v>
      </c>
      <c r="E48" t="s">
        <v>74</v>
      </c>
      <c r="F48" t="s">
        <v>944</v>
      </c>
      <c r="G48" t="s">
        <v>74</v>
      </c>
      <c r="H48" t="s">
        <v>74</v>
      </c>
      <c r="I48" t="s">
        <v>945</v>
      </c>
      <c r="J48" t="s">
        <v>946</v>
      </c>
      <c r="K48" t="s">
        <v>74</v>
      </c>
      <c r="L48" t="s">
        <v>74</v>
      </c>
      <c r="M48" t="s">
        <v>77</v>
      </c>
      <c r="N48" t="s">
        <v>78</v>
      </c>
      <c r="O48" t="s">
        <v>74</v>
      </c>
      <c r="P48" t="s">
        <v>74</v>
      </c>
      <c r="Q48" t="s">
        <v>74</v>
      </c>
      <c r="R48" t="s">
        <v>74</v>
      </c>
      <c r="S48" t="s">
        <v>74</v>
      </c>
      <c r="T48" t="s">
        <v>947</v>
      </c>
      <c r="U48" t="s">
        <v>948</v>
      </c>
      <c r="V48" t="s">
        <v>949</v>
      </c>
      <c r="W48" t="s">
        <v>950</v>
      </c>
      <c r="X48" t="s">
        <v>951</v>
      </c>
      <c r="Y48" t="s">
        <v>952</v>
      </c>
      <c r="Z48" t="s">
        <v>953</v>
      </c>
      <c r="AA48" t="s">
        <v>74</v>
      </c>
      <c r="AB48" t="s">
        <v>74</v>
      </c>
      <c r="AC48" t="s">
        <v>74</v>
      </c>
      <c r="AD48" t="s">
        <v>74</v>
      </c>
      <c r="AE48" t="s">
        <v>74</v>
      </c>
      <c r="AF48" t="s">
        <v>74</v>
      </c>
      <c r="AG48">
        <v>144</v>
      </c>
      <c r="AH48">
        <v>139</v>
      </c>
      <c r="AI48">
        <v>142</v>
      </c>
      <c r="AJ48">
        <v>7</v>
      </c>
      <c r="AK48">
        <v>169</v>
      </c>
      <c r="AL48" t="s">
        <v>954</v>
      </c>
      <c r="AM48" t="s">
        <v>955</v>
      </c>
      <c r="AN48" t="s">
        <v>956</v>
      </c>
      <c r="AO48" t="s">
        <v>957</v>
      </c>
      <c r="AP48" t="s">
        <v>74</v>
      </c>
      <c r="AQ48" t="s">
        <v>74</v>
      </c>
      <c r="AR48" t="s">
        <v>958</v>
      </c>
      <c r="AS48" t="s">
        <v>959</v>
      </c>
      <c r="AT48" t="s">
        <v>91</v>
      </c>
      <c r="AU48">
        <v>2012</v>
      </c>
      <c r="AV48">
        <v>36</v>
      </c>
      <c r="AW48">
        <v>2</v>
      </c>
      <c r="AX48" t="s">
        <v>74</v>
      </c>
      <c r="AY48" t="s">
        <v>74</v>
      </c>
      <c r="AZ48" t="s">
        <v>74</v>
      </c>
      <c r="BA48" t="s">
        <v>74</v>
      </c>
      <c r="BB48">
        <v>453</v>
      </c>
      <c r="BC48">
        <v>478</v>
      </c>
      <c r="BD48" t="s">
        <v>74</v>
      </c>
      <c r="BE48" t="s">
        <v>74</v>
      </c>
      <c r="BF48" t="s">
        <v>74</v>
      </c>
      <c r="BG48" t="s">
        <v>74</v>
      </c>
      <c r="BH48" t="s">
        <v>74</v>
      </c>
      <c r="BI48">
        <v>26</v>
      </c>
      <c r="BJ48" t="s">
        <v>960</v>
      </c>
      <c r="BK48" t="s">
        <v>147</v>
      </c>
      <c r="BL48" t="s">
        <v>961</v>
      </c>
      <c r="BM48" t="s">
        <v>962</v>
      </c>
      <c r="BN48" t="s">
        <v>74</v>
      </c>
      <c r="BO48" t="s">
        <v>74</v>
      </c>
      <c r="BP48" t="s">
        <v>74</v>
      </c>
      <c r="BQ48" t="s">
        <v>74</v>
      </c>
      <c r="BR48" t="s">
        <v>97</v>
      </c>
      <c r="BS48" t="s">
        <v>963</v>
      </c>
      <c r="BT48" t="str">
        <f>HYPERLINK("https%3A%2F%2Fwww.webofscience.com%2Fwos%2Fwoscc%2Ffull-record%2FWOS:000304296400007","View Full Record in Web of Science")</f>
        <v>View Full Record in Web of Science</v>
      </c>
    </row>
    <row r="49" spans="1:72" x14ac:dyDescent="0.25">
      <c r="A49" t="s">
        <v>72</v>
      </c>
      <c r="B49" t="s">
        <v>964</v>
      </c>
      <c r="C49" t="s">
        <v>74</v>
      </c>
      <c r="D49" t="s">
        <v>74</v>
      </c>
      <c r="E49" t="s">
        <v>74</v>
      </c>
      <c r="F49" t="s">
        <v>965</v>
      </c>
      <c r="G49" t="s">
        <v>74</v>
      </c>
      <c r="H49" t="s">
        <v>74</v>
      </c>
      <c r="I49" t="s">
        <v>966</v>
      </c>
      <c r="J49" t="s">
        <v>967</v>
      </c>
      <c r="K49" t="s">
        <v>74</v>
      </c>
      <c r="L49" t="s">
        <v>74</v>
      </c>
      <c r="M49" t="s">
        <v>77</v>
      </c>
      <c r="N49" t="s">
        <v>78</v>
      </c>
      <c r="O49" t="s">
        <v>74</v>
      </c>
      <c r="P49" t="s">
        <v>74</v>
      </c>
      <c r="Q49" t="s">
        <v>74</v>
      </c>
      <c r="R49" t="s">
        <v>74</v>
      </c>
      <c r="S49" t="s">
        <v>74</v>
      </c>
      <c r="T49" t="s">
        <v>968</v>
      </c>
      <c r="U49" t="s">
        <v>969</v>
      </c>
      <c r="V49" t="s">
        <v>970</v>
      </c>
      <c r="W49" t="s">
        <v>971</v>
      </c>
      <c r="X49" t="s">
        <v>972</v>
      </c>
      <c r="Y49" t="s">
        <v>973</v>
      </c>
      <c r="Z49" t="s">
        <v>974</v>
      </c>
      <c r="AA49" t="s">
        <v>74</v>
      </c>
      <c r="AB49" t="s">
        <v>74</v>
      </c>
      <c r="AC49" t="s">
        <v>74</v>
      </c>
      <c r="AD49" t="s">
        <v>74</v>
      </c>
      <c r="AE49" t="s">
        <v>74</v>
      </c>
      <c r="AF49" t="s">
        <v>74</v>
      </c>
      <c r="AG49">
        <v>40</v>
      </c>
      <c r="AH49">
        <v>139</v>
      </c>
      <c r="AI49">
        <v>155</v>
      </c>
      <c r="AJ49">
        <v>4</v>
      </c>
      <c r="AK49">
        <v>62</v>
      </c>
      <c r="AL49" t="s">
        <v>218</v>
      </c>
      <c r="AM49" t="s">
        <v>219</v>
      </c>
      <c r="AN49" t="s">
        <v>220</v>
      </c>
      <c r="AO49" t="s">
        <v>975</v>
      </c>
      <c r="AP49" t="s">
        <v>976</v>
      </c>
      <c r="AQ49" t="s">
        <v>74</v>
      </c>
      <c r="AR49" t="s">
        <v>977</v>
      </c>
      <c r="AS49" t="s">
        <v>978</v>
      </c>
      <c r="AT49" t="s">
        <v>405</v>
      </c>
      <c r="AU49">
        <v>2009</v>
      </c>
      <c r="AV49">
        <v>65</v>
      </c>
      <c r="AW49">
        <v>2</v>
      </c>
      <c r="AX49" t="s">
        <v>74</v>
      </c>
      <c r="AY49" t="s">
        <v>74</v>
      </c>
      <c r="AZ49" t="s">
        <v>74</v>
      </c>
      <c r="BA49" t="s">
        <v>74</v>
      </c>
      <c r="BB49">
        <v>359</v>
      </c>
      <c r="BC49">
        <v>370</v>
      </c>
      <c r="BD49" t="s">
        <v>74</v>
      </c>
      <c r="BE49" t="s">
        <v>979</v>
      </c>
      <c r="BF49" t="str">
        <f>HYPERLINK("http://dx.doi.org/10.1111/j.1365-2648.2008.04876.x","http://dx.doi.org/10.1111/j.1365-2648.2008.04876.x")</f>
        <v>http://dx.doi.org/10.1111/j.1365-2648.2008.04876.x</v>
      </c>
      <c r="BG49" t="s">
        <v>74</v>
      </c>
      <c r="BH49" t="s">
        <v>74</v>
      </c>
      <c r="BI49">
        <v>12</v>
      </c>
      <c r="BJ49" t="s">
        <v>980</v>
      </c>
      <c r="BK49" t="s">
        <v>147</v>
      </c>
      <c r="BL49" t="s">
        <v>980</v>
      </c>
      <c r="BM49" t="s">
        <v>981</v>
      </c>
      <c r="BN49">
        <v>19191936</v>
      </c>
      <c r="BO49" t="s">
        <v>74</v>
      </c>
      <c r="BP49" t="s">
        <v>74</v>
      </c>
      <c r="BQ49" t="s">
        <v>74</v>
      </c>
      <c r="BR49" t="s">
        <v>97</v>
      </c>
      <c r="BS49" t="s">
        <v>982</v>
      </c>
      <c r="BT49" t="str">
        <f>HYPERLINK("https%3A%2F%2Fwww.webofscience.com%2Fwos%2Fwoscc%2Ffull-record%2FWOS:000262511300012","View Full Record in Web of Science")</f>
        <v>View Full Record in Web of Science</v>
      </c>
    </row>
    <row r="50" spans="1:72" x14ac:dyDescent="0.25">
      <c r="A50" t="s">
        <v>72</v>
      </c>
      <c r="B50" t="s">
        <v>983</v>
      </c>
      <c r="C50" t="s">
        <v>74</v>
      </c>
      <c r="D50" t="s">
        <v>74</v>
      </c>
      <c r="E50" t="s">
        <v>74</v>
      </c>
      <c r="F50" t="s">
        <v>983</v>
      </c>
      <c r="G50" t="s">
        <v>74</v>
      </c>
      <c r="H50" t="s">
        <v>74</v>
      </c>
      <c r="I50" t="s">
        <v>984</v>
      </c>
      <c r="J50" t="s">
        <v>946</v>
      </c>
      <c r="K50" t="s">
        <v>74</v>
      </c>
      <c r="L50" t="s">
        <v>74</v>
      </c>
      <c r="M50" t="s">
        <v>77</v>
      </c>
      <c r="N50" t="s">
        <v>78</v>
      </c>
      <c r="O50" t="s">
        <v>74</v>
      </c>
      <c r="P50" t="s">
        <v>74</v>
      </c>
      <c r="Q50" t="s">
        <v>74</v>
      </c>
      <c r="R50" t="s">
        <v>74</v>
      </c>
      <c r="S50" t="s">
        <v>74</v>
      </c>
      <c r="T50" t="s">
        <v>985</v>
      </c>
      <c r="U50" t="s">
        <v>986</v>
      </c>
      <c r="V50" t="s">
        <v>987</v>
      </c>
      <c r="W50" t="s">
        <v>988</v>
      </c>
      <c r="X50" t="s">
        <v>989</v>
      </c>
      <c r="Y50" t="s">
        <v>990</v>
      </c>
      <c r="Z50" t="s">
        <v>74</v>
      </c>
      <c r="AA50" t="s">
        <v>74</v>
      </c>
      <c r="AB50" t="s">
        <v>74</v>
      </c>
      <c r="AC50" t="s">
        <v>74</v>
      </c>
      <c r="AD50" t="s">
        <v>74</v>
      </c>
      <c r="AE50" t="s">
        <v>74</v>
      </c>
      <c r="AF50" t="s">
        <v>74</v>
      </c>
      <c r="AG50">
        <v>55</v>
      </c>
      <c r="AH50">
        <v>136</v>
      </c>
      <c r="AI50">
        <v>136</v>
      </c>
      <c r="AJ50">
        <v>7</v>
      </c>
      <c r="AK50">
        <v>78</v>
      </c>
      <c r="AL50" t="s">
        <v>954</v>
      </c>
      <c r="AM50" t="s">
        <v>955</v>
      </c>
      <c r="AN50" t="s">
        <v>956</v>
      </c>
      <c r="AO50" t="s">
        <v>957</v>
      </c>
      <c r="AP50" t="s">
        <v>74</v>
      </c>
      <c r="AQ50" t="s">
        <v>74</v>
      </c>
      <c r="AR50" t="s">
        <v>958</v>
      </c>
      <c r="AS50" t="s">
        <v>959</v>
      </c>
      <c r="AT50" t="s">
        <v>375</v>
      </c>
      <c r="AU50">
        <v>2001</v>
      </c>
      <c r="AV50">
        <v>25</v>
      </c>
      <c r="AW50">
        <v>4</v>
      </c>
      <c r="AX50" t="s">
        <v>74</v>
      </c>
      <c r="AY50" t="s">
        <v>74</v>
      </c>
      <c r="AZ50" t="s">
        <v>74</v>
      </c>
      <c r="BA50" t="s">
        <v>74</v>
      </c>
      <c r="BB50">
        <v>427</v>
      </c>
      <c r="BC50">
        <v>455</v>
      </c>
      <c r="BD50" t="s">
        <v>74</v>
      </c>
      <c r="BE50" t="s">
        <v>991</v>
      </c>
      <c r="BF50" t="str">
        <f>HYPERLINK("http://dx.doi.org/10.2307/3250990","http://dx.doi.org/10.2307/3250990")</f>
        <v>http://dx.doi.org/10.2307/3250990</v>
      </c>
      <c r="BG50" t="s">
        <v>74</v>
      </c>
      <c r="BH50" t="s">
        <v>74</v>
      </c>
      <c r="BI50">
        <v>29</v>
      </c>
      <c r="BJ50" t="s">
        <v>960</v>
      </c>
      <c r="BK50" t="s">
        <v>147</v>
      </c>
      <c r="BL50" t="s">
        <v>961</v>
      </c>
      <c r="BM50" t="s">
        <v>992</v>
      </c>
      <c r="BN50" t="s">
        <v>74</v>
      </c>
      <c r="BO50" t="s">
        <v>74</v>
      </c>
      <c r="BP50" t="s">
        <v>74</v>
      </c>
      <c r="BQ50" t="s">
        <v>74</v>
      </c>
      <c r="BR50" t="s">
        <v>97</v>
      </c>
      <c r="BS50" t="s">
        <v>993</v>
      </c>
      <c r="BT50" t="str">
        <f>HYPERLINK("https%3A%2F%2Fwww.webofscience.com%2Fwos%2Fwoscc%2Ffull-record%2FWOS:000173923500003","View Full Record in Web of Science")</f>
        <v>View Full Record in Web of Science</v>
      </c>
    </row>
    <row r="51" spans="1:72" x14ac:dyDescent="0.25">
      <c r="A51" t="s">
        <v>72</v>
      </c>
      <c r="B51" t="s">
        <v>994</v>
      </c>
      <c r="C51" t="s">
        <v>74</v>
      </c>
      <c r="D51" t="s">
        <v>74</v>
      </c>
      <c r="E51" t="s">
        <v>74</v>
      </c>
      <c r="F51" t="s">
        <v>995</v>
      </c>
      <c r="G51" t="s">
        <v>74</v>
      </c>
      <c r="H51" t="s">
        <v>74</v>
      </c>
      <c r="I51" t="s">
        <v>996</v>
      </c>
      <c r="J51" t="s">
        <v>997</v>
      </c>
      <c r="K51" t="s">
        <v>74</v>
      </c>
      <c r="L51" t="s">
        <v>74</v>
      </c>
      <c r="M51" t="s">
        <v>77</v>
      </c>
      <c r="N51" t="s">
        <v>78</v>
      </c>
      <c r="O51" t="s">
        <v>74</v>
      </c>
      <c r="P51" t="s">
        <v>74</v>
      </c>
      <c r="Q51" t="s">
        <v>74</v>
      </c>
      <c r="R51" t="s">
        <v>74</v>
      </c>
      <c r="S51" t="s">
        <v>74</v>
      </c>
      <c r="T51" t="s">
        <v>74</v>
      </c>
      <c r="U51" t="s">
        <v>998</v>
      </c>
      <c r="V51" t="s">
        <v>999</v>
      </c>
      <c r="W51" t="s">
        <v>1000</v>
      </c>
      <c r="X51" t="s">
        <v>1001</v>
      </c>
      <c r="Y51" t="s">
        <v>1002</v>
      </c>
      <c r="Z51" t="s">
        <v>1003</v>
      </c>
      <c r="AA51" t="s">
        <v>1004</v>
      </c>
      <c r="AB51" t="s">
        <v>1005</v>
      </c>
      <c r="AC51" t="s">
        <v>74</v>
      </c>
      <c r="AD51" t="s">
        <v>74</v>
      </c>
      <c r="AE51" t="s">
        <v>74</v>
      </c>
      <c r="AF51" t="s">
        <v>74</v>
      </c>
      <c r="AG51">
        <v>130</v>
      </c>
      <c r="AH51">
        <v>130</v>
      </c>
      <c r="AI51">
        <v>132</v>
      </c>
      <c r="AJ51">
        <v>6</v>
      </c>
      <c r="AK51">
        <v>195</v>
      </c>
      <c r="AL51" t="s">
        <v>1006</v>
      </c>
      <c r="AM51" t="s">
        <v>160</v>
      </c>
      <c r="AN51" t="s">
        <v>1007</v>
      </c>
      <c r="AO51" t="s">
        <v>1008</v>
      </c>
      <c r="AP51" t="s">
        <v>1009</v>
      </c>
      <c r="AQ51" t="s">
        <v>74</v>
      </c>
      <c r="AR51" t="s">
        <v>1010</v>
      </c>
      <c r="AS51" t="s">
        <v>1011</v>
      </c>
      <c r="AT51" t="s">
        <v>892</v>
      </c>
      <c r="AU51">
        <v>2013</v>
      </c>
      <c r="AV51">
        <v>23</v>
      </c>
      <c r="AW51">
        <v>1</v>
      </c>
      <c r="AX51" t="s">
        <v>74</v>
      </c>
      <c r="AY51" t="s">
        <v>74</v>
      </c>
      <c r="AZ51" t="s">
        <v>74</v>
      </c>
      <c r="BA51" t="s">
        <v>74</v>
      </c>
      <c r="BB51">
        <v>155</v>
      </c>
      <c r="BC51">
        <v>187</v>
      </c>
      <c r="BD51" t="s">
        <v>74</v>
      </c>
      <c r="BE51" t="s">
        <v>1012</v>
      </c>
      <c r="BF51" t="str">
        <f>HYPERLINK("http://dx.doi.org/10.1093/jopart/mus008","http://dx.doi.org/10.1093/jopart/mus008")</f>
        <v>http://dx.doi.org/10.1093/jopart/mus008</v>
      </c>
      <c r="BG51" t="s">
        <v>74</v>
      </c>
      <c r="BH51" t="s">
        <v>74</v>
      </c>
      <c r="BI51">
        <v>33</v>
      </c>
      <c r="BJ51" t="s">
        <v>1013</v>
      </c>
      <c r="BK51" t="s">
        <v>94</v>
      </c>
      <c r="BL51" t="s">
        <v>1014</v>
      </c>
      <c r="BM51" t="s">
        <v>1015</v>
      </c>
      <c r="BN51" t="s">
        <v>74</v>
      </c>
      <c r="BO51" t="s">
        <v>229</v>
      </c>
      <c r="BP51" t="s">
        <v>74</v>
      </c>
      <c r="BQ51" t="s">
        <v>74</v>
      </c>
      <c r="BR51" t="s">
        <v>97</v>
      </c>
      <c r="BS51" t="s">
        <v>1016</v>
      </c>
      <c r="BT51" t="str">
        <f>HYPERLINK("https%3A%2F%2Fwww.webofscience.com%2Fwos%2Fwoscc%2Ffull-record%2FWOS:000312646400007","View Full Record in Web of Science")</f>
        <v>View Full Record in Web of Science</v>
      </c>
    </row>
    <row r="52" spans="1:72" x14ac:dyDescent="0.25">
      <c r="A52" t="s">
        <v>72</v>
      </c>
      <c r="B52" t="s">
        <v>1017</v>
      </c>
      <c r="C52" t="s">
        <v>74</v>
      </c>
      <c r="D52" t="s">
        <v>74</v>
      </c>
      <c r="E52" t="s">
        <v>74</v>
      </c>
      <c r="F52" t="s">
        <v>1017</v>
      </c>
      <c r="G52" t="s">
        <v>74</v>
      </c>
      <c r="H52" t="s">
        <v>74</v>
      </c>
      <c r="I52" t="s">
        <v>1018</v>
      </c>
      <c r="J52" t="s">
        <v>362</v>
      </c>
      <c r="K52" t="s">
        <v>74</v>
      </c>
      <c r="L52" t="s">
        <v>74</v>
      </c>
      <c r="M52" t="s">
        <v>77</v>
      </c>
      <c r="N52" t="s">
        <v>78</v>
      </c>
      <c r="O52" t="s">
        <v>74</v>
      </c>
      <c r="P52" t="s">
        <v>74</v>
      </c>
      <c r="Q52" t="s">
        <v>74</v>
      </c>
      <c r="R52" t="s">
        <v>74</v>
      </c>
      <c r="S52" t="s">
        <v>74</v>
      </c>
      <c r="T52" t="s">
        <v>74</v>
      </c>
      <c r="U52" t="s">
        <v>1019</v>
      </c>
      <c r="V52" t="s">
        <v>1020</v>
      </c>
      <c r="W52" t="s">
        <v>1021</v>
      </c>
      <c r="X52" t="s">
        <v>1022</v>
      </c>
      <c r="Y52" t="s">
        <v>1023</v>
      </c>
      <c r="Z52" t="s">
        <v>1024</v>
      </c>
      <c r="AA52" t="s">
        <v>1025</v>
      </c>
      <c r="AB52" t="s">
        <v>1026</v>
      </c>
      <c r="AC52" t="s">
        <v>74</v>
      </c>
      <c r="AD52" t="s">
        <v>74</v>
      </c>
      <c r="AE52" t="s">
        <v>74</v>
      </c>
      <c r="AF52" t="s">
        <v>74</v>
      </c>
      <c r="AG52">
        <v>44</v>
      </c>
      <c r="AH52">
        <v>130</v>
      </c>
      <c r="AI52">
        <v>132</v>
      </c>
      <c r="AJ52">
        <v>2</v>
      </c>
      <c r="AK52">
        <v>49</v>
      </c>
      <c r="AL52" t="s">
        <v>368</v>
      </c>
      <c r="AM52" t="s">
        <v>369</v>
      </c>
      <c r="AN52" t="s">
        <v>370</v>
      </c>
      <c r="AO52" t="s">
        <v>371</v>
      </c>
      <c r="AP52" t="s">
        <v>372</v>
      </c>
      <c r="AQ52" t="s">
        <v>74</v>
      </c>
      <c r="AR52" t="s">
        <v>373</v>
      </c>
      <c r="AS52" t="s">
        <v>374</v>
      </c>
      <c r="AT52" t="s">
        <v>91</v>
      </c>
      <c r="AU52">
        <v>2004</v>
      </c>
      <c r="AV52">
        <v>31</v>
      </c>
      <c r="AW52">
        <v>1</v>
      </c>
      <c r="AX52" t="s">
        <v>74</v>
      </c>
      <c r="AY52" t="s">
        <v>74</v>
      </c>
      <c r="AZ52" t="s">
        <v>74</v>
      </c>
      <c r="BA52" t="s">
        <v>74</v>
      </c>
      <c r="BB52">
        <v>78</v>
      </c>
      <c r="BC52">
        <v>86</v>
      </c>
      <c r="BD52" t="s">
        <v>74</v>
      </c>
      <c r="BE52" t="s">
        <v>1027</v>
      </c>
      <c r="BF52" t="str">
        <f>HYPERLINK("http://dx.doi.org/10.1086/383425","http://dx.doi.org/10.1086/383425")</f>
        <v>http://dx.doi.org/10.1086/383425</v>
      </c>
      <c r="BG52" t="s">
        <v>74</v>
      </c>
      <c r="BH52" t="s">
        <v>74</v>
      </c>
      <c r="BI52">
        <v>9</v>
      </c>
      <c r="BJ52" t="s">
        <v>337</v>
      </c>
      <c r="BK52" t="s">
        <v>94</v>
      </c>
      <c r="BL52" t="s">
        <v>95</v>
      </c>
      <c r="BM52" t="s">
        <v>1028</v>
      </c>
      <c r="BN52" t="s">
        <v>74</v>
      </c>
      <c r="BO52" t="s">
        <v>718</v>
      </c>
      <c r="BP52" t="s">
        <v>74</v>
      </c>
      <c r="BQ52" t="s">
        <v>74</v>
      </c>
      <c r="BR52" t="s">
        <v>97</v>
      </c>
      <c r="BS52" t="s">
        <v>1029</v>
      </c>
      <c r="BT52" t="str">
        <f>HYPERLINK("https%3A%2F%2Fwww.webofscience.com%2Fwos%2Fwoscc%2Ffull-record%2FWOS:000222514000007","View Full Record in Web of Science")</f>
        <v>View Full Record in Web of Science</v>
      </c>
    </row>
    <row r="53" spans="1:72" x14ac:dyDescent="0.25">
      <c r="A53" t="s">
        <v>72</v>
      </c>
      <c r="B53" t="s">
        <v>1030</v>
      </c>
      <c r="C53" t="s">
        <v>74</v>
      </c>
      <c r="D53" t="s">
        <v>74</v>
      </c>
      <c r="E53" t="s">
        <v>74</v>
      </c>
      <c r="F53" t="s">
        <v>1031</v>
      </c>
      <c r="G53" t="s">
        <v>74</v>
      </c>
      <c r="H53" t="s">
        <v>74</v>
      </c>
      <c r="I53" t="s">
        <v>1032</v>
      </c>
      <c r="J53" t="s">
        <v>1033</v>
      </c>
      <c r="K53" t="s">
        <v>74</v>
      </c>
      <c r="L53" t="s">
        <v>74</v>
      </c>
      <c r="M53" t="s">
        <v>77</v>
      </c>
      <c r="N53" t="s">
        <v>78</v>
      </c>
      <c r="O53" t="s">
        <v>74</v>
      </c>
      <c r="P53" t="s">
        <v>74</v>
      </c>
      <c r="Q53" t="s">
        <v>74</v>
      </c>
      <c r="R53" t="s">
        <v>74</v>
      </c>
      <c r="S53" t="s">
        <v>74</v>
      </c>
      <c r="T53" t="s">
        <v>74</v>
      </c>
      <c r="U53" t="s">
        <v>1034</v>
      </c>
      <c r="V53" t="s">
        <v>1035</v>
      </c>
      <c r="W53" t="s">
        <v>1036</v>
      </c>
      <c r="X53" t="s">
        <v>1037</v>
      </c>
      <c r="Y53" t="s">
        <v>1038</v>
      </c>
      <c r="Z53" t="s">
        <v>1039</v>
      </c>
      <c r="AA53" t="s">
        <v>1040</v>
      </c>
      <c r="AB53" t="s">
        <v>1041</v>
      </c>
      <c r="AC53" t="s">
        <v>1042</v>
      </c>
      <c r="AD53" t="s">
        <v>1043</v>
      </c>
      <c r="AE53" t="s">
        <v>1044</v>
      </c>
      <c r="AF53" t="s">
        <v>74</v>
      </c>
      <c r="AG53">
        <v>37</v>
      </c>
      <c r="AH53">
        <v>127</v>
      </c>
      <c r="AI53">
        <v>129</v>
      </c>
      <c r="AJ53">
        <v>0</v>
      </c>
      <c r="AK53">
        <v>68</v>
      </c>
      <c r="AL53" t="s">
        <v>1045</v>
      </c>
      <c r="AM53" t="s">
        <v>1046</v>
      </c>
      <c r="AN53" t="s">
        <v>1047</v>
      </c>
      <c r="AO53" t="s">
        <v>1048</v>
      </c>
      <c r="AP53" t="s">
        <v>1049</v>
      </c>
      <c r="AQ53" t="s">
        <v>74</v>
      </c>
      <c r="AR53" t="s">
        <v>1050</v>
      </c>
      <c r="AS53" t="s">
        <v>1051</v>
      </c>
      <c r="AT53" t="s">
        <v>122</v>
      </c>
      <c r="AU53">
        <v>2010</v>
      </c>
      <c r="AV53">
        <v>8</v>
      </c>
      <c r="AW53">
        <v>4</v>
      </c>
      <c r="AX53" t="s">
        <v>74</v>
      </c>
      <c r="AY53" t="s">
        <v>74</v>
      </c>
      <c r="AZ53" t="s">
        <v>74</v>
      </c>
      <c r="BA53" t="s">
        <v>74</v>
      </c>
      <c r="BB53" t="s">
        <v>74</v>
      </c>
      <c r="BC53" t="s">
        <v>74</v>
      </c>
      <c r="BD53" t="s">
        <v>1052</v>
      </c>
      <c r="BE53" t="s">
        <v>1053</v>
      </c>
      <c r="BF53" t="str">
        <f>HYPERLINK("http://dx.doi.org/10.1371/journal.pbio.1000351","http://dx.doi.org/10.1371/journal.pbio.1000351")</f>
        <v>http://dx.doi.org/10.1371/journal.pbio.1000351</v>
      </c>
      <c r="BG53" t="s">
        <v>74</v>
      </c>
      <c r="BH53" t="s">
        <v>74</v>
      </c>
      <c r="BI53">
        <v>7</v>
      </c>
      <c r="BJ53" t="s">
        <v>1054</v>
      </c>
      <c r="BK53" t="s">
        <v>283</v>
      </c>
      <c r="BL53" t="s">
        <v>1055</v>
      </c>
      <c r="BM53" t="s">
        <v>1056</v>
      </c>
      <c r="BN53">
        <v>20386729</v>
      </c>
      <c r="BO53" t="s">
        <v>1057</v>
      </c>
      <c r="BP53" t="s">
        <v>74</v>
      </c>
      <c r="BQ53" t="s">
        <v>74</v>
      </c>
      <c r="BR53" t="s">
        <v>97</v>
      </c>
      <c r="BS53" t="s">
        <v>1058</v>
      </c>
      <c r="BT53" t="str">
        <f>HYPERLINK("https%3A%2F%2Fwww.webofscience.com%2Fwos%2Fwoscc%2Ffull-record%2FWOS:000278125500005","View Full Record in Web of Science")</f>
        <v>View Full Record in Web of Science</v>
      </c>
    </row>
    <row r="54" spans="1:72" x14ac:dyDescent="0.25">
      <c r="A54" t="s">
        <v>72</v>
      </c>
      <c r="B54" t="s">
        <v>1059</v>
      </c>
      <c r="C54" t="s">
        <v>74</v>
      </c>
      <c r="D54" t="s">
        <v>74</v>
      </c>
      <c r="E54" t="s">
        <v>74</v>
      </c>
      <c r="F54" t="s">
        <v>1060</v>
      </c>
      <c r="G54" t="s">
        <v>74</v>
      </c>
      <c r="H54" t="s">
        <v>74</v>
      </c>
      <c r="I54" t="s">
        <v>1061</v>
      </c>
      <c r="J54" t="s">
        <v>592</v>
      </c>
      <c r="K54" t="s">
        <v>74</v>
      </c>
      <c r="L54" t="s">
        <v>74</v>
      </c>
      <c r="M54" t="s">
        <v>77</v>
      </c>
      <c r="N54" t="s">
        <v>78</v>
      </c>
      <c r="O54" t="s">
        <v>74</v>
      </c>
      <c r="P54" t="s">
        <v>74</v>
      </c>
      <c r="Q54" t="s">
        <v>74</v>
      </c>
      <c r="R54" t="s">
        <v>74</v>
      </c>
      <c r="S54" t="s">
        <v>74</v>
      </c>
      <c r="T54" t="s">
        <v>1062</v>
      </c>
      <c r="U54" t="s">
        <v>1063</v>
      </c>
      <c r="V54" t="s">
        <v>1064</v>
      </c>
      <c r="W54" t="s">
        <v>1065</v>
      </c>
      <c r="X54" t="s">
        <v>1066</v>
      </c>
      <c r="Y54" t="s">
        <v>1067</v>
      </c>
      <c r="Z54" t="s">
        <v>1068</v>
      </c>
      <c r="AA54" t="s">
        <v>74</v>
      </c>
      <c r="AB54" t="s">
        <v>74</v>
      </c>
      <c r="AC54" t="s">
        <v>74</v>
      </c>
      <c r="AD54" t="s">
        <v>74</v>
      </c>
      <c r="AE54" t="s">
        <v>74</v>
      </c>
      <c r="AF54" t="s">
        <v>74</v>
      </c>
      <c r="AG54">
        <v>58</v>
      </c>
      <c r="AH54">
        <v>127</v>
      </c>
      <c r="AI54">
        <v>130</v>
      </c>
      <c r="AJ54">
        <v>2</v>
      </c>
      <c r="AK54">
        <v>48</v>
      </c>
      <c r="AL54" t="s">
        <v>602</v>
      </c>
      <c r="AM54" t="s">
        <v>160</v>
      </c>
      <c r="AN54" t="s">
        <v>603</v>
      </c>
      <c r="AO54" t="s">
        <v>604</v>
      </c>
      <c r="AP54" t="s">
        <v>605</v>
      </c>
      <c r="AQ54" t="s">
        <v>74</v>
      </c>
      <c r="AR54" t="s">
        <v>606</v>
      </c>
      <c r="AS54" t="s">
        <v>607</v>
      </c>
      <c r="AT54" t="s">
        <v>91</v>
      </c>
      <c r="AU54">
        <v>2007</v>
      </c>
      <c r="AV54">
        <v>28</v>
      </c>
      <c r="AW54">
        <v>3</v>
      </c>
      <c r="AX54" t="s">
        <v>74</v>
      </c>
      <c r="AY54" t="s">
        <v>74</v>
      </c>
      <c r="AZ54" t="s">
        <v>74</v>
      </c>
      <c r="BA54" t="s">
        <v>74</v>
      </c>
      <c r="BB54">
        <v>886</v>
      </c>
      <c r="BC54">
        <v>897</v>
      </c>
      <c r="BD54" t="s">
        <v>74</v>
      </c>
      <c r="BE54" t="s">
        <v>1069</v>
      </c>
      <c r="BF54" t="str">
        <f>HYPERLINK("http://dx.doi.org/10.1016/j.tourman.2006.04.013","http://dx.doi.org/10.1016/j.tourman.2006.04.013")</f>
        <v>http://dx.doi.org/10.1016/j.tourman.2006.04.013</v>
      </c>
      <c r="BG54" t="s">
        <v>74</v>
      </c>
      <c r="BH54" t="s">
        <v>74</v>
      </c>
      <c r="BI54">
        <v>12</v>
      </c>
      <c r="BJ54" t="s">
        <v>609</v>
      </c>
      <c r="BK54" t="s">
        <v>94</v>
      </c>
      <c r="BL54" t="s">
        <v>610</v>
      </c>
      <c r="BM54" t="s">
        <v>1070</v>
      </c>
      <c r="BN54" t="s">
        <v>74</v>
      </c>
      <c r="BO54" t="s">
        <v>74</v>
      </c>
      <c r="BP54" t="s">
        <v>74</v>
      </c>
      <c r="BQ54" t="s">
        <v>74</v>
      </c>
      <c r="BR54" t="s">
        <v>97</v>
      </c>
      <c r="BS54" t="s">
        <v>1071</v>
      </c>
      <c r="BT54" t="str">
        <f>HYPERLINK("https%3A%2F%2Fwww.webofscience.com%2Fwos%2Fwoscc%2Ffull-record%2FWOS:000245613500023","View Full Record in Web of Science")</f>
        <v>View Full Record in Web of Science</v>
      </c>
    </row>
    <row r="55" spans="1:72" x14ac:dyDescent="0.25">
      <c r="A55" t="s">
        <v>72</v>
      </c>
      <c r="B55" t="s">
        <v>1072</v>
      </c>
      <c r="C55" t="s">
        <v>74</v>
      </c>
      <c r="D55" t="s">
        <v>74</v>
      </c>
      <c r="E55" t="s">
        <v>74</v>
      </c>
      <c r="F55" t="s">
        <v>1073</v>
      </c>
      <c r="G55" t="s">
        <v>74</v>
      </c>
      <c r="H55" t="s">
        <v>74</v>
      </c>
      <c r="I55" t="s">
        <v>1074</v>
      </c>
      <c r="J55" t="s">
        <v>209</v>
      </c>
      <c r="K55" t="s">
        <v>74</v>
      </c>
      <c r="L55" t="s">
        <v>74</v>
      </c>
      <c r="M55" t="s">
        <v>77</v>
      </c>
      <c r="N55" t="s">
        <v>78</v>
      </c>
      <c r="O55" t="s">
        <v>74</v>
      </c>
      <c r="P55" t="s">
        <v>74</v>
      </c>
      <c r="Q55" t="s">
        <v>74</v>
      </c>
      <c r="R55" t="s">
        <v>74</v>
      </c>
      <c r="S55" t="s">
        <v>74</v>
      </c>
      <c r="T55" t="s">
        <v>1075</v>
      </c>
      <c r="U55" t="s">
        <v>1076</v>
      </c>
      <c r="V55" t="s">
        <v>1077</v>
      </c>
      <c r="W55" t="s">
        <v>1078</v>
      </c>
      <c r="X55" t="s">
        <v>1079</v>
      </c>
      <c r="Y55" t="s">
        <v>1080</v>
      </c>
      <c r="Z55" t="s">
        <v>1081</v>
      </c>
      <c r="AA55" t="s">
        <v>1082</v>
      </c>
      <c r="AB55" t="s">
        <v>1083</v>
      </c>
      <c r="AC55" t="s">
        <v>74</v>
      </c>
      <c r="AD55" t="s">
        <v>74</v>
      </c>
      <c r="AE55" t="s">
        <v>74</v>
      </c>
      <c r="AF55" t="s">
        <v>74</v>
      </c>
      <c r="AG55">
        <v>82</v>
      </c>
      <c r="AH55">
        <v>126</v>
      </c>
      <c r="AI55">
        <v>127</v>
      </c>
      <c r="AJ55">
        <v>63</v>
      </c>
      <c r="AK55">
        <v>273</v>
      </c>
      <c r="AL55" t="s">
        <v>218</v>
      </c>
      <c r="AM55" t="s">
        <v>219</v>
      </c>
      <c r="AN55" t="s">
        <v>220</v>
      </c>
      <c r="AO55" t="s">
        <v>221</v>
      </c>
      <c r="AP55" t="s">
        <v>222</v>
      </c>
      <c r="AQ55" t="s">
        <v>74</v>
      </c>
      <c r="AR55" t="s">
        <v>223</v>
      </c>
      <c r="AS55" t="s">
        <v>224</v>
      </c>
      <c r="AT55" t="s">
        <v>496</v>
      </c>
      <c r="AU55">
        <v>2019</v>
      </c>
      <c r="AV55">
        <v>40</v>
      </c>
      <c r="AW55">
        <v>7</v>
      </c>
      <c r="AX55" t="s">
        <v>74</v>
      </c>
      <c r="AY55" t="s">
        <v>74</v>
      </c>
      <c r="AZ55" t="s">
        <v>860</v>
      </c>
      <c r="BA55" t="s">
        <v>74</v>
      </c>
      <c r="BB55">
        <v>800</v>
      </c>
      <c r="BC55">
        <v>818</v>
      </c>
      <c r="BD55" t="s">
        <v>74</v>
      </c>
      <c r="BE55" t="s">
        <v>1084</v>
      </c>
      <c r="BF55" t="str">
        <f>HYPERLINK("http://dx.doi.org/10.1002/job.2358","http://dx.doi.org/10.1002/job.2358")</f>
        <v>http://dx.doi.org/10.1002/job.2358</v>
      </c>
      <c r="BG55" t="s">
        <v>74</v>
      </c>
      <c r="BH55" t="s">
        <v>74</v>
      </c>
      <c r="BI55">
        <v>19</v>
      </c>
      <c r="BJ55" t="s">
        <v>226</v>
      </c>
      <c r="BK55" t="s">
        <v>94</v>
      </c>
      <c r="BL55" t="s">
        <v>227</v>
      </c>
      <c r="BM55" t="s">
        <v>1085</v>
      </c>
      <c r="BN55" t="s">
        <v>74</v>
      </c>
      <c r="BO55" t="s">
        <v>74</v>
      </c>
      <c r="BP55" t="s">
        <v>150</v>
      </c>
      <c r="BQ55" t="s">
        <v>151</v>
      </c>
      <c r="BR55" t="s">
        <v>97</v>
      </c>
      <c r="BS55" t="s">
        <v>1086</v>
      </c>
      <c r="BT55" t="str">
        <f>HYPERLINK("https%3A%2F%2Fwww.webofscience.com%2Fwos%2Fwoscc%2Ffull-record%2FWOS:000484519000003","View Full Record in Web of Science")</f>
        <v>View Full Record in Web of Science</v>
      </c>
    </row>
    <row r="56" spans="1:72" x14ac:dyDescent="0.25">
      <c r="A56" t="s">
        <v>72</v>
      </c>
      <c r="B56" t="s">
        <v>1087</v>
      </c>
      <c r="C56" t="s">
        <v>74</v>
      </c>
      <c r="D56" t="s">
        <v>74</v>
      </c>
      <c r="E56" t="s">
        <v>74</v>
      </c>
      <c r="F56" t="s">
        <v>1088</v>
      </c>
      <c r="G56" t="s">
        <v>74</v>
      </c>
      <c r="H56" t="s">
        <v>74</v>
      </c>
      <c r="I56" t="s">
        <v>1089</v>
      </c>
      <c r="J56" t="s">
        <v>1090</v>
      </c>
      <c r="K56" t="s">
        <v>74</v>
      </c>
      <c r="L56" t="s">
        <v>74</v>
      </c>
      <c r="M56" t="s">
        <v>77</v>
      </c>
      <c r="N56" t="s">
        <v>78</v>
      </c>
      <c r="O56" t="s">
        <v>74</v>
      </c>
      <c r="P56" t="s">
        <v>74</v>
      </c>
      <c r="Q56" t="s">
        <v>74</v>
      </c>
      <c r="R56" t="s">
        <v>74</v>
      </c>
      <c r="S56" t="s">
        <v>74</v>
      </c>
      <c r="T56" t="s">
        <v>74</v>
      </c>
      <c r="U56" t="s">
        <v>1091</v>
      </c>
      <c r="V56" t="s">
        <v>1092</v>
      </c>
      <c r="W56" t="s">
        <v>1093</v>
      </c>
      <c r="X56" t="s">
        <v>1094</v>
      </c>
      <c r="Y56" t="s">
        <v>1095</v>
      </c>
      <c r="Z56" t="s">
        <v>1096</v>
      </c>
      <c r="AA56" t="s">
        <v>1097</v>
      </c>
      <c r="AB56" t="s">
        <v>1098</v>
      </c>
      <c r="AC56" t="s">
        <v>74</v>
      </c>
      <c r="AD56" t="s">
        <v>74</v>
      </c>
      <c r="AE56" t="s">
        <v>74</v>
      </c>
      <c r="AF56" t="s">
        <v>74</v>
      </c>
      <c r="AG56">
        <v>48</v>
      </c>
      <c r="AH56">
        <v>124</v>
      </c>
      <c r="AI56">
        <v>127</v>
      </c>
      <c r="AJ56">
        <v>14</v>
      </c>
      <c r="AK56">
        <v>143</v>
      </c>
      <c r="AL56" t="s">
        <v>1099</v>
      </c>
      <c r="AM56" t="s">
        <v>305</v>
      </c>
      <c r="AN56" t="s">
        <v>1100</v>
      </c>
      <c r="AO56" t="s">
        <v>1101</v>
      </c>
      <c r="AP56" t="s">
        <v>1102</v>
      </c>
      <c r="AQ56" t="s">
        <v>74</v>
      </c>
      <c r="AR56" t="s">
        <v>1103</v>
      </c>
      <c r="AS56" t="s">
        <v>1104</v>
      </c>
      <c r="AT56" t="s">
        <v>74</v>
      </c>
      <c r="AU56">
        <v>2010</v>
      </c>
      <c r="AV56">
        <v>22</v>
      </c>
      <c r="AW56">
        <v>1</v>
      </c>
      <c r="AX56" t="s">
        <v>74</v>
      </c>
      <c r="AY56" t="s">
        <v>74</v>
      </c>
      <c r="AZ56" t="s">
        <v>74</v>
      </c>
      <c r="BA56" t="s">
        <v>74</v>
      </c>
      <c r="BB56">
        <v>37</v>
      </c>
      <c r="BC56">
        <v>45</v>
      </c>
      <c r="BD56" t="s">
        <v>1105</v>
      </c>
      <c r="BE56" t="s">
        <v>1106</v>
      </c>
      <c r="BF56" t="str">
        <f>HYPERLINK("http://dx.doi.org/10.1080/10400410903579536","http://dx.doi.org/10.1080/10400410903579536")</f>
        <v>http://dx.doi.org/10.1080/10400410903579536</v>
      </c>
      <c r="BG56" t="s">
        <v>74</v>
      </c>
      <c r="BH56" t="s">
        <v>74</v>
      </c>
      <c r="BI56">
        <v>9</v>
      </c>
      <c r="BJ56" t="s">
        <v>1107</v>
      </c>
      <c r="BK56" t="s">
        <v>94</v>
      </c>
      <c r="BL56" t="s">
        <v>460</v>
      </c>
      <c r="BM56" t="s">
        <v>1108</v>
      </c>
      <c r="BN56" t="s">
        <v>74</v>
      </c>
      <c r="BO56" t="s">
        <v>74</v>
      </c>
      <c r="BP56" t="s">
        <v>74</v>
      </c>
      <c r="BQ56" t="s">
        <v>74</v>
      </c>
      <c r="BR56" t="s">
        <v>97</v>
      </c>
      <c r="BS56" t="s">
        <v>1109</v>
      </c>
      <c r="BT56" t="str">
        <f>HYPERLINK("https%3A%2F%2Fwww.webofscience.com%2Fwos%2Fwoscc%2Ffull-record%2FWOS:000277490300004","View Full Record in Web of Science")</f>
        <v>View Full Record in Web of Science</v>
      </c>
    </row>
    <row r="57" spans="1:72" x14ac:dyDescent="0.25">
      <c r="A57" t="s">
        <v>72</v>
      </c>
      <c r="B57" t="s">
        <v>1110</v>
      </c>
      <c r="C57" t="s">
        <v>74</v>
      </c>
      <c r="D57" t="s">
        <v>74</v>
      </c>
      <c r="E57" t="s">
        <v>74</v>
      </c>
      <c r="F57" t="s">
        <v>1110</v>
      </c>
      <c r="G57" t="s">
        <v>74</v>
      </c>
      <c r="H57" t="s">
        <v>74</v>
      </c>
      <c r="I57" t="s">
        <v>1111</v>
      </c>
      <c r="J57" t="s">
        <v>1112</v>
      </c>
      <c r="K57" t="s">
        <v>74</v>
      </c>
      <c r="L57" t="s">
        <v>74</v>
      </c>
      <c r="M57" t="s">
        <v>77</v>
      </c>
      <c r="N57" t="s">
        <v>78</v>
      </c>
      <c r="O57" t="s">
        <v>74</v>
      </c>
      <c r="P57" t="s">
        <v>74</v>
      </c>
      <c r="Q57" t="s">
        <v>74</v>
      </c>
      <c r="R57" t="s">
        <v>74</v>
      </c>
      <c r="S57" t="s">
        <v>74</v>
      </c>
      <c r="T57" t="s">
        <v>74</v>
      </c>
      <c r="U57" t="s">
        <v>1113</v>
      </c>
      <c r="V57" t="s">
        <v>1114</v>
      </c>
      <c r="W57" t="s">
        <v>1115</v>
      </c>
      <c r="X57" t="s">
        <v>1116</v>
      </c>
      <c r="Y57" t="s">
        <v>74</v>
      </c>
      <c r="Z57" t="s">
        <v>74</v>
      </c>
      <c r="AA57" t="s">
        <v>1117</v>
      </c>
      <c r="AB57" t="s">
        <v>74</v>
      </c>
      <c r="AC57" t="s">
        <v>74</v>
      </c>
      <c r="AD57" t="s">
        <v>74</v>
      </c>
      <c r="AE57" t="s">
        <v>74</v>
      </c>
      <c r="AF57" t="s">
        <v>74</v>
      </c>
      <c r="AG57">
        <v>76</v>
      </c>
      <c r="AH57">
        <v>124</v>
      </c>
      <c r="AI57">
        <v>124</v>
      </c>
      <c r="AJ57">
        <v>1</v>
      </c>
      <c r="AK57">
        <v>151</v>
      </c>
      <c r="AL57" t="s">
        <v>434</v>
      </c>
      <c r="AM57" t="s">
        <v>435</v>
      </c>
      <c r="AN57" t="s">
        <v>436</v>
      </c>
      <c r="AO57" t="s">
        <v>1118</v>
      </c>
      <c r="AP57" t="s">
        <v>1119</v>
      </c>
      <c r="AQ57" t="s">
        <v>74</v>
      </c>
      <c r="AR57" t="s">
        <v>1120</v>
      </c>
      <c r="AS57" t="s">
        <v>1121</v>
      </c>
      <c r="AT57" t="s">
        <v>200</v>
      </c>
      <c r="AU57">
        <v>1996</v>
      </c>
      <c r="AV57">
        <v>11</v>
      </c>
      <c r="AW57">
        <v>2</v>
      </c>
      <c r="AX57" t="s">
        <v>74</v>
      </c>
      <c r="AY57" t="s">
        <v>74</v>
      </c>
      <c r="AZ57" t="s">
        <v>74</v>
      </c>
      <c r="BA57" t="s">
        <v>74</v>
      </c>
      <c r="BB57">
        <v>133</v>
      </c>
      <c r="BC57">
        <v>149</v>
      </c>
      <c r="BD57" t="s">
        <v>74</v>
      </c>
      <c r="BE57" t="s">
        <v>1122</v>
      </c>
      <c r="BF57" t="str">
        <f>HYPERLINK("http://dx.doi.org/10.1016/0883-9026(95)00107-7","http://dx.doi.org/10.1016/0883-9026(95)00107-7")</f>
        <v>http://dx.doi.org/10.1016/0883-9026(95)00107-7</v>
      </c>
      <c r="BG57" t="s">
        <v>74</v>
      </c>
      <c r="BH57" t="s">
        <v>74</v>
      </c>
      <c r="BI57">
        <v>17</v>
      </c>
      <c r="BJ57" t="s">
        <v>337</v>
      </c>
      <c r="BK57" t="s">
        <v>94</v>
      </c>
      <c r="BL57" t="s">
        <v>95</v>
      </c>
      <c r="BM57" t="s">
        <v>1123</v>
      </c>
      <c r="BN57" t="s">
        <v>74</v>
      </c>
      <c r="BO57" t="s">
        <v>74</v>
      </c>
      <c r="BP57" t="s">
        <v>74</v>
      </c>
      <c r="BQ57" t="s">
        <v>74</v>
      </c>
      <c r="BR57" t="s">
        <v>97</v>
      </c>
      <c r="BS57" t="s">
        <v>1124</v>
      </c>
      <c r="BT57" t="str">
        <f>HYPERLINK("https%3A%2F%2Fwww.webofscience.com%2Fwos%2Fwoscc%2Ffull-record%2FWOS:A1996TV70000004","View Full Record in Web of Science")</f>
        <v>View Full Record in Web of Science</v>
      </c>
    </row>
    <row r="58" spans="1:72" x14ac:dyDescent="0.25">
      <c r="A58" t="s">
        <v>72</v>
      </c>
      <c r="B58" t="s">
        <v>1125</v>
      </c>
      <c r="C58" t="s">
        <v>74</v>
      </c>
      <c r="D58" t="s">
        <v>74</v>
      </c>
      <c r="E58" t="s">
        <v>74</v>
      </c>
      <c r="F58" t="s">
        <v>1126</v>
      </c>
      <c r="G58" t="s">
        <v>74</v>
      </c>
      <c r="H58" t="s">
        <v>74</v>
      </c>
      <c r="I58" t="s">
        <v>1127</v>
      </c>
      <c r="J58" t="s">
        <v>466</v>
      </c>
      <c r="K58" t="s">
        <v>74</v>
      </c>
      <c r="L58" t="s">
        <v>74</v>
      </c>
      <c r="M58" t="s">
        <v>77</v>
      </c>
      <c r="N58" t="s">
        <v>78</v>
      </c>
      <c r="O58" t="s">
        <v>74</v>
      </c>
      <c r="P58" t="s">
        <v>74</v>
      </c>
      <c r="Q58" t="s">
        <v>74</v>
      </c>
      <c r="R58" t="s">
        <v>74</v>
      </c>
      <c r="S58" t="s">
        <v>74</v>
      </c>
      <c r="T58" t="s">
        <v>1128</v>
      </c>
      <c r="U58" t="s">
        <v>1129</v>
      </c>
      <c r="V58" t="s">
        <v>1130</v>
      </c>
      <c r="W58" t="s">
        <v>1131</v>
      </c>
      <c r="X58" t="s">
        <v>1132</v>
      </c>
      <c r="Y58" t="s">
        <v>1133</v>
      </c>
      <c r="Z58" t="s">
        <v>1134</v>
      </c>
      <c r="AA58" t="s">
        <v>74</v>
      </c>
      <c r="AB58" t="s">
        <v>74</v>
      </c>
      <c r="AC58" t="s">
        <v>74</v>
      </c>
      <c r="AD58" t="s">
        <v>74</v>
      </c>
      <c r="AE58" t="s">
        <v>74</v>
      </c>
      <c r="AF58" t="s">
        <v>74</v>
      </c>
      <c r="AG58">
        <v>75</v>
      </c>
      <c r="AH58">
        <v>123</v>
      </c>
      <c r="AI58">
        <v>133</v>
      </c>
      <c r="AJ58">
        <v>4</v>
      </c>
      <c r="AK58">
        <v>139</v>
      </c>
      <c r="AL58" t="s">
        <v>1135</v>
      </c>
      <c r="AM58" t="s">
        <v>1136</v>
      </c>
      <c r="AN58" t="s">
        <v>1137</v>
      </c>
      <c r="AO58" t="s">
        <v>476</v>
      </c>
      <c r="AP58" t="s">
        <v>74</v>
      </c>
      <c r="AQ58" t="s">
        <v>74</v>
      </c>
      <c r="AR58" t="s">
        <v>478</v>
      </c>
      <c r="AS58" t="s">
        <v>479</v>
      </c>
      <c r="AT58" t="s">
        <v>74</v>
      </c>
      <c r="AU58">
        <v>2011</v>
      </c>
      <c r="AV58">
        <v>45</v>
      </c>
      <c r="AW58">
        <v>4</v>
      </c>
      <c r="AX58" t="s">
        <v>74</v>
      </c>
      <c r="AY58" t="s">
        <v>74</v>
      </c>
      <c r="AZ58" t="s">
        <v>74</v>
      </c>
      <c r="BA58" t="s">
        <v>74</v>
      </c>
      <c r="BB58">
        <v>258</v>
      </c>
      <c r="BC58">
        <v>272</v>
      </c>
      <c r="BD58" t="s">
        <v>74</v>
      </c>
      <c r="BE58" t="s">
        <v>74</v>
      </c>
      <c r="BF58" t="s">
        <v>74</v>
      </c>
      <c r="BG58" t="s">
        <v>74</v>
      </c>
      <c r="BH58" t="s">
        <v>74</v>
      </c>
      <c r="BI58">
        <v>15</v>
      </c>
      <c r="BJ58" t="s">
        <v>481</v>
      </c>
      <c r="BK58" t="s">
        <v>94</v>
      </c>
      <c r="BL58" t="s">
        <v>460</v>
      </c>
      <c r="BM58" t="s">
        <v>1138</v>
      </c>
      <c r="BN58" t="s">
        <v>74</v>
      </c>
      <c r="BO58" t="s">
        <v>74</v>
      </c>
      <c r="BP58" t="s">
        <v>74</v>
      </c>
      <c r="BQ58" t="s">
        <v>74</v>
      </c>
      <c r="BR58" t="s">
        <v>97</v>
      </c>
      <c r="BS58" t="s">
        <v>1139</v>
      </c>
      <c r="BT58" t="str">
        <f>HYPERLINK("https%3A%2F%2Fwww.webofscience.com%2Fwos%2Fwoscc%2Ffull-record%2FWOS:000297866400002","View Full Record in Web of Science")</f>
        <v>View Full Record in Web of Science</v>
      </c>
    </row>
    <row r="59" spans="1:72" x14ac:dyDescent="0.25">
      <c r="A59" t="s">
        <v>72</v>
      </c>
      <c r="B59" t="s">
        <v>1140</v>
      </c>
      <c r="C59" t="s">
        <v>74</v>
      </c>
      <c r="D59" t="s">
        <v>74</v>
      </c>
      <c r="E59" t="s">
        <v>74</v>
      </c>
      <c r="F59" t="s">
        <v>1141</v>
      </c>
      <c r="G59" t="s">
        <v>74</v>
      </c>
      <c r="H59" t="s">
        <v>74</v>
      </c>
      <c r="I59" t="s">
        <v>1142</v>
      </c>
      <c r="J59" t="s">
        <v>209</v>
      </c>
      <c r="K59" t="s">
        <v>74</v>
      </c>
      <c r="L59" t="s">
        <v>74</v>
      </c>
      <c r="M59" t="s">
        <v>77</v>
      </c>
      <c r="N59" t="s">
        <v>78</v>
      </c>
      <c r="O59" t="s">
        <v>74</v>
      </c>
      <c r="P59" t="s">
        <v>74</v>
      </c>
      <c r="Q59" t="s">
        <v>74</v>
      </c>
      <c r="R59" t="s">
        <v>74</v>
      </c>
      <c r="S59" t="s">
        <v>74</v>
      </c>
      <c r="T59" t="s">
        <v>1143</v>
      </c>
      <c r="U59" t="s">
        <v>1144</v>
      </c>
      <c r="V59" t="s">
        <v>1145</v>
      </c>
      <c r="W59" t="s">
        <v>1146</v>
      </c>
      <c r="X59" t="s">
        <v>1147</v>
      </c>
      <c r="Y59" t="s">
        <v>1148</v>
      </c>
      <c r="Z59" t="s">
        <v>1149</v>
      </c>
      <c r="AA59" t="s">
        <v>1150</v>
      </c>
      <c r="AB59" t="s">
        <v>1151</v>
      </c>
      <c r="AC59" t="s">
        <v>1152</v>
      </c>
      <c r="AD59" t="s">
        <v>1153</v>
      </c>
      <c r="AE59" t="s">
        <v>1154</v>
      </c>
      <c r="AF59" t="s">
        <v>74</v>
      </c>
      <c r="AG59">
        <v>91</v>
      </c>
      <c r="AH59">
        <v>122</v>
      </c>
      <c r="AI59">
        <v>127</v>
      </c>
      <c r="AJ59">
        <v>16</v>
      </c>
      <c r="AK59">
        <v>255</v>
      </c>
      <c r="AL59" t="s">
        <v>218</v>
      </c>
      <c r="AM59" t="s">
        <v>219</v>
      </c>
      <c r="AN59" t="s">
        <v>220</v>
      </c>
      <c r="AO59" t="s">
        <v>221</v>
      </c>
      <c r="AP59" t="s">
        <v>222</v>
      </c>
      <c r="AQ59" t="s">
        <v>74</v>
      </c>
      <c r="AR59" t="s">
        <v>223</v>
      </c>
      <c r="AS59" t="s">
        <v>224</v>
      </c>
      <c r="AT59" t="s">
        <v>122</v>
      </c>
      <c r="AU59">
        <v>2015</v>
      </c>
      <c r="AV59">
        <v>36</v>
      </c>
      <c r="AW59">
        <v>3</v>
      </c>
      <c r="AX59" t="s">
        <v>74</v>
      </c>
      <c r="AY59" t="s">
        <v>74</v>
      </c>
      <c r="AZ59" t="s">
        <v>74</v>
      </c>
      <c r="BA59" t="s">
        <v>74</v>
      </c>
      <c r="BB59">
        <v>403</v>
      </c>
      <c r="BC59">
        <v>420</v>
      </c>
      <c r="BD59" t="s">
        <v>74</v>
      </c>
      <c r="BE59" t="s">
        <v>1155</v>
      </c>
      <c r="BF59" t="str">
        <f>HYPERLINK("http://dx.doi.org/10.1002/job.1994","http://dx.doi.org/10.1002/job.1994")</f>
        <v>http://dx.doi.org/10.1002/job.1994</v>
      </c>
      <c r="BG59" t="s">
        <v>74</v>
      </c>
      <c r="BH59" t="s">
        <v>74</v>
      </c>
      <c r="BI59">
        <v>18</v>
      </c>
      <c r="BJ59" t="s">
        <v>226</v>
      </c>
      <c r="BK59" t="s">
        <v>94</v>
      </c>
      <c r="BL59" t="s">
        <v>227</v>
      </c>
      <c r="BM59" t="s">
        <v>1156</v>
      </c>
      <c r="BN59" t="s">
        <v>74</v>
      </c>
      <c r="BO59" t="s">
        <v>718</v>
      </c>
      <c r="BP59" t="s">
        <v>74</v>
      </c>
      <c r="BQ59" t="s">
        <v>74</v>
      </c>
      <c r="BR59" t="s">
        <v>97</v>
      </c>
      <c r="BS59" t="s">
        <v>1157</v>
      </c>
      <c r="BT59" t="str">
        <f>HYPERLINK("https%3A%2F%2Fwww.webofscience.com%2Fwos%2Fwoscc%2Ffull-record%2FWOS:000353055400005","View Full Record in Web of Science")</f>
        <v>View Full Record in Web of Science</v>
      </c>
    </row>
    <row r="60" spans="1:72" x14ac:dyDescent="0.25">
      <c r="A60" t="s">
        <v>72</v>
      </c>
      <c r="B60" t="s">
        <v>1158</v>
      </c>
      <c r="C60" t="s">
        <v>74</v>
      </c>
      <c r="D60" t="s">
        <v>74</v>
      </c>
      <c r="E60" t="s">
        <v>74</v>
      </c>
      <c r="F60" t="s">
        <v>1159</v>
      </c>
      <c r="G60" t="s">
        <v>74</v>
      </c>
      <c r="H60" t="s">
        <v>74</v>
      </c>
      <c r="I60" t="s">
        <v>1160</v>
      </c>
      <c r="J60" t="s">
        <v>1161</v>
      </c>
      <c r="K60" t="s">
        <v>74</v>
      </c>
      <c r="L60" t="s">
        <v>74</v>
      </c>
      <c r="M60" t="s">
        <v>77</v>
      </c>
      <c r="N60" t="s">
        <v>78</v>
      </c>
      <c r="O60" t="s">
        <v>74</v>
      </c>
      <c r="P60" t="s">
        <v>74</v>
      </c>
      <c r="Q60" t="s">
        <v>74</v>
      </c>
      <c r="R60" t="s">
        <v>74</v>
      </c>
      <c r="S60" t="s">
        <v>74</v>
      </c>
      <c r="T60" t="s">
        <v>1162</v>
      </c>
      <c r="U60" t="s">
        <v>1163</v>
      </c>
      <c r="V60" t="s">
        <v>1164</v>
      </c>
      <c r="W60" t="s">
        <v>1165</v>
      </c>
      <c r="X60" t="s">
        <v>1166</v>
      </c>
      <c r="Y60" t="s">
        <v>1167</v>
      </c>
      <c r="Z60" t="s">
        <v>1168</v>
      </c>
      <c r="AA60" t="s">
        <v>1169</v>
      </c>
      <c r="AB60" t="s">
        <v>1170</v>
      </c>
      <c r="AC60" t="s">
        <v>1171</v>
      </c>
      <c r="AD60" t="s">
        <v>1172</v>
      </c>
      <c r="AE60" t="s">
        <v>1173</v>
      </c>
      <c r="AF60" t="s">
        <v>74</v>
      </c>
      <c r="AG60">
        <v>60</v>
      </c>
      <c r="AH60">
        <v>120</v>
      </c>
      <c r="AI60">
        <v>126</v>
      </c>
      <c r="AJ60">
        <v>29</v>
      </c>
      <c r="AK60">
        <v>244</v>
      </c>
      <c r="AL60" t="s">
        <v>602</v>
      </c>
      <c r="AM60" t="s">
        <v>160</v>
      </c>
      <c r="AN60" t="s">
        <v>603</v>
      </c>
      <c r="AO60" t="s">
        <v>1174</v>
      </c>
      <c r="AP60" t="s">
        <v>1175</v>
      </c>
      <c r="AQ60" t="s">
        <v>74</v>
      </c>
      <c r="AR60" t="s">
        <v>1176</v>
      </c>
      <c r="AS60" t="s">
        <v>1177</v>
      </c>
      <c r="AT60" t="s">
        <v>1178</v>
      </c>
      <c r="AU60">
        <v>2018</v>
      </c>
      <c r="AV60">
        <v>188</v>
      </c>
      <c r="AW60" t="s">
        <v>74</v>
      </c>
      <c r="AX60" t="s">
        <v>74</v>
      </c>
      <c r="AY60" t="s">
        <v>74</v>
      </c>
      <c r="AZ60" t="s">
        <v>74</v>
      </c>
      <c r="BA60" t="s">
        <v>74</v>
      </c>
      <c r="BB60">
        <v>763</v>
      </c>
      <c r="BC60">
        <v>773</v>
      </c>
      <c r="BD60" t="s">
        <v>74</v>
      </c>
      <c r="BE60" t="s">
        <v>1179</v>
      </c>
      <c r="BF60" t="str">
        <f>HYPERLINK("http://dx.doi.org/10.1016/j.jclepro.2018.04.013","http://dx.doi.org/10.1016/j.jclepro.2018.04.013")</f>
        <v>http://dx.doi.org/10.1016/j.jclepro.2018.04.013</v>
      </c>
      <c r="BG60" t="s">
        <v>74</v>
      </c>
      <c r="BH60" t="s">
        <v>74</v>
      </c>
      <c r="BI60">
        <v>11</v>
      </c>
      <c r="BJ60" t="s">
        <v>1180</v>
      </c>
      <c r="BK60" t="s">
        <v>147</v>
      </c>
      <c r="BL60" t="s">
        <v>1181</v>
      </c>
      <c r="BM60" t="s">
        <v>1182</v>
      </c>
      <c r="BN60" t="s">
        <v>74</v>
      </c>
      <c r="BO60" t="s">
        <v>74</v>
      </c>
      <c r="BP60" t="s">
        <v>74</v>
      </c>
      <c r="BQ60" t="s">
        <v>74</v>
      </c>
      <c r="BR60" t="s">
        <v>97</v>
      </c>
      <c r="BS60" t="s">
        <v>1183</v>
      </c>
      <c r="BT60" t="str">
        <f>HYPERLINK("https%3A%2F%2Fwww.webofscience.com%2Fwos%2Fwoscc%2Ffull-record%2FWOS:000431937500069","View Full Record in Web of Science")</f>
        <v>View Full Record in Web of Science</v>
      </c>
    </row>
    <row r="61" spans="1:72" x14ac:dyDescent="0.25">
      <c r="A61" t="s">
        <v>72</v>
      </c>
      <c r="B61" t="s">
        <v>1184</v>
      </c>
      <c r="C61" t="s">
        <v>74</v>
      </c>
      <c r="D61" t="s">
        <v>74</v>
      </c>
      <c r="E61" t="s">
        <v>74</v>
      </c>
      <c r="F61" t="s">
        <v>1184</v>
      </c>
      <c r="G61" t="s">
        <v>74</v>
      </c>
      <c r="H61" t="s">
        <v>74</v>
      </c>
      <c r="I61" t="s">
        <v>1185</v>
      </c>
      <c r="J61" t="s">
        <v>1186</v>
      </c>
      <c r="K61" t="s">
        <v>74</v>
      </c>
      <c r="L61" t="s">
        <v>74</v>
      </c>
      <c r="M61" t="s">
        <v>77</v>
      </c>
      <c r="N61" t="s">
        <v>78</v>
      </c>
      <c r="O61" t="s">
        <v>74</v>
      </c>
      <c r="P61" t="s">
        <v>74</v>
      </c>
      <c r="Q61" t="s">
        <v>74</v>
      </c>
      <c r="R61" t="s">
        <v>74</v>
      </c>
      <c r="S61" t="s">
        <v>74</v>
      </c>
      <c r="T61" t="s">
        <v>74</v>
      </c>
      <c r="U61" t="s">
        <v>1187</v>
      </c>
      <c r="V61" t="s">
        <v>1188</v>
      </c>
      <c r="W61" t="s">
        <v>74</v>
      </c>
      <c r="X61" t="s">
        <v>74</v>
      </c>
      <c r="Y61" t="s">
        <v>1189</v>
      </c>
      <c r="Z61" t="s">
        <v>74</v>
      </c>
      <c r="AA61" t="s">
        <v>1190</v>
      </c>
      <c r="AB61" t="s">
        <v>1191</v>
      </c>
      <c r="AC61" t="s">
        <v>74</v>
      </c>
      <c r="AD61" t="s">
        <v>74</v>
      </c>
      <c r="AE61" t="s">
        <v>74</v>
      </c>
      <c r="AF61" t="s">
        <v>74</v>
      </c>
      <c r="AG61">
        <v>37</v>
      </c>
      <c r="AH61">
        <v>119</v>
      </c>
      <c r="AI61">
        <v>122</v>
      </c>
      <c r="AJ61">
        <v>1</v>
      </c>
      <c r="AK61">
        <v>32</v>
      </c>
      <c r="AL61" t="s">
        <v>1192</v>
      </c>
      <c r="AM61" t="s">
        <v>1193</v>
      </c>
      <c r="AN61" t="s">
        <v>1194</v>
      </c>
      <c r="AO61" t="s">
        <v>1195</v>
      </c>
      <c r="AP61" t="s">
        <v>74</v>
      </c>
      <c r="AQ61" t="s">
        <v>74</v>
      </c>
      <c r="AR61" t="s">
        <v>1196</v>
      </c>
      <c r="AS61" t="s">
        <v>1197</v>
      </c>
      <c r="AT61" t="s">
        <v>375</v>
      </c>
      <c r="AU61">
        <v>1997</v>
      </c>
      <c r="AV61">
        <v>9</v>
      </c>
      <c r="AW61">
        <v>6</v>
      </c>
      <c r="AX61" t="s">
        <v>74</v>
      </c>
      <c r="AY61" t="s">
        <v>74</v>
      </c>
      <c r="AZ61" t="s">
        <v>74</v>
      </c>
      <c r="BA61" t="s">
        <v>74</v>
      </c>
      <c r="BB61">
        <v>523</v>
      </c>
      <c r="BC61">
        <v>537</v>
      </c>
      <c r="BD61" t="s">
        <v>74</v>
      </c>
      <c r="BE61" t="s">
        <v>1198</v>
      </c>
      <c r="BF61" t="str">
        <f>HYPERLINK("http://dx.doi.org/10.1023/A:1007963604397","http://dx.doi.org/10.1023/A:1007963604397")</f>
        <v>http://dx.doi.org/10.1023/A:1007963604397</v>
      </c>
      <c r="BG61" t="s">
        <v>74</v>
      </c>
      <c r="BH61" t="s">
        <v>74</v>
      </c>
      <c r="BI61">
        <v>15</v>
      </c>
      <c r="BJ61" t="s">
        <v>1199</v>
      </c>
      <c r="BK61" t="s">
        <v>94</v>
      </c>
      <c r="BL61" t="s">
        <v>95</v>
      </c>
      <c r="BM61" t="s">
        <v>1200</v>
      </c>
      <c r="BN61" t="s">
        <v>74</v>
      </c>
      <c r="BO61" t="s">
        <v>74</v>
      </c>
      <c r="BP61" t="s">
        <v>74</v>
      </c>
      <c r="BQ61" t="s">
        <v>74</v>
      </c>
      <c r="BR61" t="s">
        <v>97</v>
      </c>
      <c r="BS61" t="s">
        <v>1201</v>
      </c>
      <c r="BT61" t="str">
        <f>HYPERLINK("https%3A%2F%2Fwww.webofscience.com%2Fwos%2Fwoscc%2Ffull-record%2FWOS:A1997YD41100006","View Full Record in Web of Science")</f>
        <v>View Full Record in Web of Science</v>
      </c>
    </row>
    <row r="62" spans="1:72" x14ac:dyDescent="0.25">
      <c r="A62" t="s">
        <v>72</v>
      </c>
      <c r="B62" t="s">
        <v>1202</v>
      </c>
      <c r="C62" t="s">
        <v>74</v>
      </c>
      <c r="D62" t="s">
        <v>74</v>
      </c>
      <c r="E62" t="s">
        <v>74</v>
      </c>
      <c r="F62" t="s">
        <v>1203</v>
      </c>
      <c r="G62" t="s">
        <v>74</v>
      </c>
      <c r="H62" t="s">
        <v>74</v>
      </c>
      <c r="I62" t="s">
        <v>1204</v>
      </c>
      <c r="J62" t="s">
        <v>466</v>
      </c>
      <c r="K62" t="s">
        <v>74</v>
      </c>
      <c r="L62" t="s">
        <v>74</v>
      </c>
      <c r="M62" t="s">
        <v>77</v>
      </c>
      <c r="N62" t="s">
        <v>78</v>
      </c>
      <c r="O62" t="s">
        <v>74</v>
      </c>
      <c r="P62" t="s">
        <v>74</v>
      </c>
      <c r="Q62" t="s">
        <v>74</v>
      </c>
      <c r="R62" t="s">
        <v>74</v>
      </c>
      <c r="S62" t="s">
        <v>74</v>
      </c>
      <c r="T62" t="s">
        <v>1205</v>
      </c>
      <c r="U62" t="s">
        <v>1206</v>
      </c>
      <c r="V62" t="s">
        <v>1207</v>
      </c>
      <c r="W62" t="s">
        <v>1208</v>
      </c>
      <c r="X62" t="s">
        <v>1209</v>
      </c>
      <c r="Y62" t="s">
        <v>1210</v>
      </c>
      <c r="Z62" t="s">
        <v>1211</v>
      </c>
      <c r="AA62" t="s">
        <v>1212</v>
      </c>
      <c r="AB62" t="s">
        <v>1213</v>
      </c>
      <c r="AC62" t="s">
        <v>74</v>
      </c>
      <c r="AD62" t="s">
        <v>74</v>
      </c>
      <c r="AE62" t="s">
        <v>74</v>
      </c>
      <c r="AF62" t="s">
        <v>74</v>
      </c>
      <c r="AG62">
        <v>79</v>
      </c>
      <c r="AH62">
        <v>115</v>
      </c>
      <c r="AI62">
        <v>120</v>
      </c>
      <c r="AJ62">
        <v>7</v>
      </c>
      <c r="AK62">
        <v>130</v>
      </c>
      <c r="AL62" t="s">
        <v>218</v>
      </c>
      <c r="AM62" t="s">
        <v>219</v>
      </c>
      <c r="AN62" t="s">
        <v>220</v>
      </c>
      <c r="AO62" t="s">
        <v>476</v>
      </c>
      <c r="AP62" t="s">
        <v>477</v>
      </c>
      <c r="AQ62" t="s">
        <v>74</v>
      </c>
      <c r="AR62" t="s">
        <v>478</v>
      </c>
      <c r="AS62" t="s">
        <v>479</v>
      </c>
      <c r="AT62" t="s">
        <v>496</v>
      </c>
      <c r="AU62">
        <v>2013</v>
      </c>
      <c r="AV62">
        <v>47</v>
      </c>
      <c r="AW62">
        <v>3</v>
      </c>
      <c r="AX62" t="s">
        <v>74</v>
      </c>
      <c r="AY62" t="s">
        <v>74</v>
      </c>
      <c r="AZ62" t="s">
        <v>74</v>
      </c>
      <c r="BA62" t="s">
        <v>74</v>
      </c>
      <c r="BB62">
        <v>215</v>
      </c>
      <c r="BC62">
        <v>232</v>
      </c>
      <c r="BD62" t="s">
        <v>74</v>
      </c>
      <c r="BE62" t="s">
        <v>1214</v>
      </c>
      <c r="BF62" t="str">
        <f>HYPERLINK("http://dx.doi.org/10.1002/jocb.32","http://dx.doi.org/10.1002/jocb.32")</f>
        <v>http://dx.doi.org/10.1002/jocb.32</v>
      </c>
      <c r="BG62" t="s">
        <v>74</v>
      </c>
      <c r="BH62" t="s">
        <v>74</v>
      </c>
      <c r="BI62">
        <v>18</v>
      </c>
      <c r="BJ62" t="s">
        <v>481</v>
      </c>
      <c r="BK62" t="s">
        <v>94</v>
      </c>
      <c r="BL62" t="s">
        <v>460</v>
      </c>
      <c r="BM62" t="s">
        <v>1215</v>
      </c>
      <c r="BN62" t="s">
        <v>74</v>
      </c>
      <c r="BO62" t="s">
        <v>74</v>
      </c>
      <c r="BP62" t="s">
        <v>74</v>
      </c>
      <c r="BQ62" t="s">
        <v>74</v>
      </c>
      <c r="BR62" t="s">
        <v>97</v>
      </c>
      <c r="BS62" t="s">
        <v>1216</v>
      </c>
      <c r="BT62" t="str">
        <f>HYPERLINK("https%3A%2F%2Fwww.webofscience.com%2Fwos%2Fwoscc%2Ffull-record%2FWOS:000325865300003","View Full Record in Web of Science")</f>
        <v>View Full Record in Web of Science</v>
      </c>
    </row>
    <row r="63" spans="1:72" x14ac:dyDescent="0.25">
      <c r="A63" t="s">
        <v>72</v>
      </c>
      <c r="B63" t="s">
        <v>1217</v>
      </c>
      <c r="C63" t="s">
        <v>74</v>
      </c>
      <c r="D63" t="s">
        <v>74</v>
      </c>
      <c r="E63" t="s">
        <v>74</v>
      </c>
      <c r="F63" t="s">
        <v>1218</v>
      </c>
      <c r="G63" t="s">
        <v>74</v>
      </c>
      <c r="H63" t="s">
        <v>74</v>
      </c>
      <c r="I63" t="s">
        <v>1219</v>
      </c>
      <c r="J63" t="s">
        <v>1220</v>
      </c>
      <c r="K63" t="s">
        <v>74</v>
      </c>
      <c r="L63" t="s">
        <v>74</v>
      </c>
      <c r="M63" t="s">
        <v>77</v>
      </c>
      <c r="N63" t="s">
        <v>78</v>
      </c>
      <c r="O63" t="s">
        <v>74</v>
      </c>
      <c r="P63" t="s">
        <v>74</v>
      </c>
      <c r="Q63" t="s">
        <v>74</v>
      </c>
      <c r="R63" t="s">
        <v>74</v>
      </c>
      <c r="S63" t="s">
        <v>74</v>
      </c>
      <c r="T63" t="s">
        <v>1221</v>
      </c>
      <c r="U63" t="s">
        <v>1222</v>
      </c>
      <c r="V63" t="s">
        <v>1223</v>
      </c>
      <c r="W63" t="s">
        <v>1224</v>
      </c>
      <c r="X63" t="s">
        <v>1225</v>
      </c>
      <c r="Y63" t="s">
        <v>1226</v>
      </c>
      <c r="Z63" t="s">
        <v>1227</v>
      </c>
      <c r="AA63" t="s">
        <v>74</v>
      </c>
      <c r="AB63" t="s">
        <v>74</v>
      </c>
      <c r="AC63" t="s">
        <v>74</v>
      </c>
      <c r="AD63" t="s">
        <v>74</v>
      </c>
      <c r="AE63" t="s">
        <v>74</v>
      </c>
      <c r="AF63" t="s">
        <v>74</v>
      </c>
      <c r="AG63">
        <v>62</v>
      </c>
      <c r="AH63">
        <v>114</v>
      </c>
      <c r="AI63">
        <v>118</v>
      </c>
      <c r="AJ63">
        <v>4</v>
      </c>
      <c r="AK63">
        <v>44</v>
      </c>
      <c r="AL63" t="s">
        <v>329</v>
      </c>
      <c r="AM63" t="s">
        <v>330</v>
      </c>
      <c r="AN63" t="s">
        <v>331</v>
      </c>
      <c r="AO63" t="s">
        <v>1228</v>
      </c>
      <c r="AP63" t="s">
        <v>1229</v>
      </c>
      <c r="AQ63" t="s">
        <v>74</v>
      </c>
      <c r="AR63" t="s">
        <v>1230</v>
      </c>
      <c r="AS63" t="s">
        <v>1231</v>
      </c>
      <c r="AT63" t="s">
        <v>122</v>
      </c>
      <c r="AU63">
        <v>2014</v>
      </c>
      <c r="AV63">
        <v>43</v>
      </c>
      <c r="AW63">
        <v>3</v>
      </c>
      <c r="AX63" t="s">
        <v>74</v>
      </c>
      <c r="AY63" t="s">
        <v>74</v>
      </c>
      <c r="AZ63" t="s">
        <v>860</v>
      </c>
      <c r="BA63" t="s">
        <v>74</v>
      </c>
      <c r="BB63">
        <v>512</v>
      </c>
      <c r="BC63">
        <v>524</v>
      </c>
      <c r="BD63" t="s">
        <v>74</v>
      </c>
      <c r="BE63" t="s">
        <v>1232</v>
      </c>
      <c r="BF63" t="str">
        <f>HYPERLINK("http://dx.doi.org/10.1016/j.indmarman.2013.12.019","http://dx.doi.org/10.1016/j.indmarman.2013.12.019")</f>
        <v>http://dx.doi.org/10.1016/j.indmarman.2013.12.019</v>
      </c>
      <c r="BG63" t="s">
        <v>74</v>
      </c>
      <c r="BH63" t="s">
        <v>74</v>
      </c>
      <c r="BI63">
        <v>13</v>
      </c>
      <c r="BJ63" t="s">
        <v>93</v>
      </c>
      <c r="BK63" t="s">
        <v>94</v>
      </c>
      <c r="BL63" t="s">
        <v>95</v>
      </c>
      <c r="BM63" t="s">
        <v>1233</v>
      </c>
      <c r="BN63" t="s">
        <v>74</v>
      </c>
      <c r="BO63" t="s">
        <v>74</v>
      </c>
      <c r="BP63" t="s">
        <v>74</v>
      </c>
      <c r="BQ63" t="s">
        <v>74</v>
      </c>
      <c r="BR63" t="s">
        <v>97</v>
      </c>
      <c r="BS63" t="s">
        <v>1234</v>
      </c>
      <c r="BT63" t="str">
        <f>HYPERLINK("https%3A%2F%2Fwww.webofscience.com%2Fwos%2Fwoscc%2Ffull-record%2FWOS:000337661300017","View Full Record in Web of Science")</f>
        <v>View Full Record in Web of Science</v>
      </c>
    </row>
    <row r="64" spans="1:72" x14ac:dyDescent="0.25">
      <c r="A64" t="s">
        <v>72</v>
      </c>
      <c r="B64" t="s">
        <v>1235</v>
      </c>
      <c r="C64" t="s">
        <v>74</v>
      </c>
      <c r="D64" t="s">
        <v>74</v>
      </c>
      <c r="E64" t="s">
        <v>74</v>
      </c>
      <c r="F64" t="s">
        <v>1236</v>
      </c>
      <c r="G64" t="s">
        <v>74</v>
      </c>
      <c r="H64" t="s">
        <v>74</v>
      </c>
      <c r="I64" t="s">
        <v>1237</v>
      </c>
      <c r="J64" t="s">
        <v>697</v>
      </c>
      <c r="K64" t="s">
        <v>74</v>
      </c>
      <c r="L64" t="s">
        <v>74</v>
      </c>
      <c r="M64" t="s">
        <v>77</v>
      </c>
      <c r="N64" t="s">
        <v>78</v>
      </c>
      <c r="O64" t="s">
        <v>74</v>
      </c>
      <c r="P64" t="s">
        <v>74</v>
      </c>
      <c r="Q64" t="s">
        <v>74</v>
      </c>
      <c r="R64" t="s">
        <v>74</v>
      </c>
      <c r="S64" t="s">
        <v>74</v>
      </c>
      <c r="T64" t="s">
        <v>1238</v>
      </c>
      <c r="U64" t="s">
        <v>1239</v>
      </c>
      <c r="V64" t="s">
        <v>1240</v>
      </c>
      <c r="W64" t="s">
        <v>1241</v>
      </c>
      <c r="X64" t="s">
        <v>1242</v>
      </c>
      <c r="Y64" t="s">
        <v>1243</v>
      </c>
      <c r="Z64" t="s">
        <v>1244</v>
      </c>
      <c r="AA64" t="s">
        <v>1245</v>
      </c>
      <c r="AB64" t="s">
        <v>1246</v>
      </c>
      <c r="AC64" t="s">
        <v>1247</v>
      </c>
      <c r="AD64" t="s">
        <v>1248</v>
      </c>
      <c r="AE64" t="s">
        <v>1249</v>
      </c>
      <c r="AF64" t="s">
        <v>74</v>
      </c>
      <c r="AG64">
        <v>36</v>
      </c>
      <c r="AH64">
        <v>114</v>
      </c>
      <c r="AI64">
        <v>117</v>
      </c>
      <c r="AJ64">
        <v>2</v>
      </c>
      <c r="AK64">
        <v>81</v>
      </c>
      <c r="AL64" t="s">
        <v>707</v>
      </c>
      <c r="AM64" t="s">
        <v>541</v>
      </c>
      <c r="AN64" t="s">
        <v>708</v>
      </c>
      <c r="AO64" t="s">
        <v>709</v>
      </c>
      <c r="AP64" t="s">
        <v>74</v>
      </c>
      <c r="AQ64" t="s">
        <v>74</v>
      </c>
      <c r="AR64" t="s">
        <v>711</v>
      </c>
      <c r="AS64" t="s">
        <v>712</v>
      </c>
      <c r="AT64" t="s">
        <v>1250</v>
      </c>
      <c r="AU64">
        <v>2010</v>
      </c>
      <c r="AV64">
        <v>277</v>
      </c>
      <c r="AW64">
        <v>1694</v>
      </c>
      <c r="AX64" t="s">
        <v>74</v>
      </c>
      <c r="AY64" t="s">
        <v>74</v>
      </c>
      <c r="AZ64" t="s">
        <v>74</v>
      </c>
      <c r="BA64" t="s">
        <v>74</v>
      </c>
      <c r="BB64">
        <v>2637</v>
      </c>
      <c r="BC64">
        <v>2643</v>
      </c>
      <c r="BD64" t="s">
        <v>74</v>
      </c>
      <c r="BE64" t="s">
        <v>1251</v>
      </c>
      <c r="BF64" t="str">
        <f>HYPERLINK("http://dx.doi.org/10.1098/rspb.2010.0285","http://dx.doi.org/10.1098/rspb.2010.0285")</f>
        <v>http://dx.doi.org/10.1098/rspb.2010.0285</v>
      </c>
      <c r="BG64" t="s">
        <v>74</v>
      </c>
      <c r="BH64" t="s">
        <v>74</v>
      </c>
      <c r="BI64">
        <v>7</v>
      </c>
      <c r="BJ64" t="s">
        <v>715</v>
      </c>
      <c r="BK64" t="s">
        <v>147</v>
      </c>
      <c r="BL64" t="s">
        <v>716</v>
      </c>
      <c r="BM64" t="s">
        <v>1252</v>
      </c>
      <c r="BN64">
        <v>20410040</v>
      </c>
      <c r="BO64" t="s">
        <v>718</v>
      </c>
      <c r="BP64" t="s">
        <v>74</v>
      </c>
      <c r="BQ64" t="s">
        <v>74</v>
      </c>
      <c r="BR64" t="s">
        <v>97</v>
      </c>
      <c r="BS64" t="s">
        <v>1253</v>
      </c>
      <c r="BT64" t="str">
        <f>HYPERLINK("https%3A%2F%2Fwww.webofscience.com%2Fwos%2Fwoscc%2Ffull-record%2FWOS:000280320900007","View Full Record in Web of Science")</f>
        <v>View Full Record in Web of Science</v>
      </c>
    </row>
    <row r="65" spans="1:72" x14ac:dyDescent="0.25">
      <c r="A65" t="s">
        <v>72</v>
      </c>
      <c r="B65" t="s">
        <v>1254</v>
      </c>
      <c r="C65" t="s">
        <v>74</v>
      </c>
      <c r="D65" t="s">
        <v>74</v>
      </c>
      <c r="E65" t="s">
        <v>74</v>
      </c>
      <c r="F65" t="s">
        <v>1255</v>
      </c>
      <c r="G65" t="s">
        <v>74</v>
      </c>
      <c r="H65" t="s">
        <v>74</v>
      </c>
      <c r="I65" t="s">
        <v>1256</v>
      </c>
      <c r="J65" t="s">
        <v>1257</v>
      </c>
      <c r="K65" t="s">
        <v>74</v>
      </c>
      <c r="L65" t="s">
        <v>74</v>
      </c>
      <c r="M65" t="s">
        <v>77</v>
      </c>
      <c r="N65" t="s">
        <v>78</v>
      </c>
      <c r="O65" t="s">
        <v>74</v>
      </c>
      <c r="P65" t="s">
        <v>74</v>
      </c>
      <c r="Q65" t="s">
        <v>74</v>
      </c>
      <c r="R65" t="s">
        <v>74</v>
      </c>
      <c r="S65" t="s">
        <v>74</v>
      </c>
      <c r="T65" t="s">
        <v>1258</v>
      </c>
      <c r="U65" t="s">
        <v>1259</v>
      </c>
      <c r="V65" t="s">
        <v>1260</v>
      </c>
      <c r="W65" t="s">
        <v>1261</v>
      </c>
      <c r="X65" t="s">
        <v>1262</v>
      </c>
      <c r="Y65" t="s">
        <v>1263</v>
      </c>
      <c r="Z65" t="s">
        <v>1264</v>
      </c>
      <c r="AA65" t="s">
        <v>1265</v>
      </c>
      <c r="AB65" t="s">
        <v>1266</v>
      </c>
      <c r="AC65" t="s">
        <v>74</v>
      </c>
      <c r="AD65" t="s">
        <v>74</v>
      </c>
      <c r="AE65" t="s">
        <v>74</v>
      </c>
      <c r="AF65" t="s">
        <v>74</v>
      </c>
      <c r="AG65">
        <v>90</v>
      </c>
      <c r="AH65">
        <v>113</v>
      </c>
      <c r="AI65">
        <v>119</v>
      </c>
      <c r="AJ65">
        <v>7</v>
      </c>
      <c r="AK65">
        <v>123</v>
      </c>
      <c r="AL65" t="s">
        <v>786</v>
      </c>
      <c r="AM65" t="s">
        <v>219</v>
      </c>
      <c r="AN65" t="s">
        <v>220</v>
      </c>
      <c r="AO65" t="s">
        <v>1267</v>
      </c>
      <c r="AP65" t="s">
        <v>1268</v>
      </c>
      <c r="AQ65" t="s">
        <v>74</v>
      </c>
      <c r="AR65" t="s">
        <v>1269</v>
      </c>
      <c r="AS65" t="s">
        <v>1270</v>
      </c>
      <c r="AT65" t="s">
        <v>91</v>
      </c>
      <c r="AU65">
        <v>2015</v>
      </c>
      <c r="AV65">
        <v>32</v>
      </c>
      <c r="AW65">
        <v>2</v>
      </c>
      <c r="AX65" t="s">
        <v>74</v>
      </c>
      <c r="AY65" t="s">
        <v>74</v>
      </c>
      <c r="AZ65" t="s">
        <v>74</v>
      </c>
      <c r="BA65" t="s">
        <v>74</v>
      </c>
      <c r="BB65">
        <v>128</v>
      </c>
      <c r="BC65">
        <v>138</v>
      </c>
      <c r="BD65" t="s">
        <v>74</v>
      </c>
      <c r="BE65" t="s">
        <v>1271</v>
      </c>
      <c r="BF65" t="str">
        <f>HYPERLINK("http://dx.doi.org/10.1002/cjas.1314","http://dx.doi.org/10.1002/cjas.1314")</f>
        <v>http://dx.doi.org/10.1002/cjas.1314</v>
      </c>
      <c r="BG65" t="s">
        <v>74</v>
      </c>
      <c r="BH65" t="s">
        <v>74</v>
      </c>
      <c r="BI65">
        <v>11</v>
      </c>
      <c r="BJ65" t="s">
        <v>93</v>
      </c>
      <c r="BK65" t="s">
        <v>94</v>
      </c>
      <c r="BL65" t="s">
        <v>95</v>
      </c>
      <c r="BM65" t="s">
        <v>1272</v>
      </c>
      <c r="BN65" t="s">
        <v>74</v>
      </c>
      <c r="BO65" t="s">
        <v>718</v>
      </c>
      <c r="BP65" t="s">
        <v>74</v>
      </c>
      <c r="BQ65" t="s">
        <v>74</v>
      </c>
      <c r="BR65" t="s">
        <v>97</v>
      </c>
      <c r="BS65" t="s">
        <v>1273</v>
      </c>
      <c r="BT65" t="str">
        <f>HYPERLINK("https%3A%2F%2Fwww.webofscience.com%2Fwos%2Fwoscc%2Ffull-record%2FWOS:000355732700007","View Full Record in Web of Science")</f>
        <v>View Full Record in Web of Science</v>
      </c>
    </row>
    <row r="66" spans="1:72" x14ac:dyDescent="0.25">
      <c r="A66" t="s">
        <v>72</v>
      </c>
      <c r="B66" t="s">
        <v>1274</v>
      </c>
      <c r="C66" t="s">
        <v>74</v>
      </c>
      <c r="D66" t="s">
        <v>74</v>
      </c>
      <c r="E66" t="s">
        <v>74</v>
      </c>
      <c r="F66" t="s">
        <v>1275</v>
      </c>
      <c r="G66" t="s">
        <v>74</v>
      </c>
      <c r="H66" t="s">
        <v>74</v>
      </c>
      <c r="I66" t="s">
        <v>1276</v>
      </c>
      <c r="J66" t="s">
        <v>343</v>
      </c>
      <c r="K66" t="s">
        <v>74</v>
      </c>
      <c r="L66" t="s">
        <v>74</v>
      </c>
      <c r="M66" t="s">
        <v>77</v>
      </c>
      <c r="N66" t="s">
        <v>78</v>
      </c>
      <c r="O66" t="s">
        <v>74</v>
      </c>
      <c r="P66" t="s">
        <v>74</v>
      </c>
      <c r="Q66" t="s">
        <v>74</v>
      </c>
      <c r="R66" t="s">
        <v>74</v>
      </c>
      <c r="S66" t="s">
        <v>74</v>
      </c>
      <c r="T66" t="s">
        <v>1277</v>
      </c>
      <c r="U66" t="s">
        <v>1278</v>
      </c>
      <c r="V66" t="s">
        <v>1279</v>
      </c>
      <c r="W66" t="s">
        <v>1280</v>
      </c>
      <c r="X66" t="s">
        <v>1281</v>
      </c>
      <c r="Y66" t="s">
        <v>1282</v>
      </c>
      <c r="Z66" t="s">
        <v>1283</v>
      </c>
      <c r="AA66" t="s">
        <v>74</v>
      </c>
      <c r="AB66" t="s">
        <v>74</v>
      </c>
      <c r="AC66" t="s">
        <v>74</v>
      </c>
      <c r="AD66" t="s">
        <v>74</v>
      </c>
      <c r="AE66" t="s">
        <v>74</v>
      </c>
      <c r="AF66" t="s">
        <v>74</v>
      </c>
      <c r="AG66">
        <v>130</v>
      </c>
      <c r="AH66">
        <v>113</v>
      </c>
      <c r="AI66">
        <v>118</v>
      </c>
      <c r="AJ66">
        <v>5</v>
      </c>
      <c r="AK66">
        <v>179</v>
      </c>
      <c r="AL66" t="s">
        <v>350</v>
      </c>
      <c r="AM66" t="s">
        <v>351</v>
      </c>
      <c r="AN66" t="s">
        <v>352</v>
      </c>
      <c r="AO66" t="s">
        <v>353</v>
      </c>
      <c r="AP66" t="s">
        <v>354</v>
      </c>
      <c r="AQ66" t="s">
        <v>74</v>
      </c>
      <c r="AR66" t="s">
        <v>355</v>
      </c>
      <c r="AS66" t="s">
        <v>356</v>
      </c>
      <c r="AT66" t="s">
        <v>792</v>
      </c>
      <c r="AU66">
        <v>2012</v>
      </c>
      <c r="AV66">
        <v>38</v>
      </c>
      <c r="AW66">
        <v>4</v>
      </c>
      <c r="AX66" t="s">
        <v>74</v>
      </c>
      <c r="AY66" t="s">
        <v>74</v>
      </c>
      <c r="AZ66" t="s">
        <v>74</v>
      </c>
      <c r="BA66" t="s">
        <v>74</v>
      </c>
      <c r="BB66">
        <v>1362</v>
      </c>
      <c r="BC66">
        <v>1386</v>
      </c>
      <c r="BD66" t="s">
        <v>74</v>
      </c>
      <c r="BE66" t="s">
        <v>1284</v>
      </c>
      <c r="BF66" t="str">
        <f>HYPERLINK("http://dx.doi.org/10.1177/0149206312441835","http://dx.doi.org/10.1177/0149206312441835")</f>
        <v>http://dx.doi.org/10.1177/0149206312441835</v>
      </c>
      <c r="BG66" t="s">
        <v>74</v>
      </c>
      <c r="BH66" t="s">
        <v>74</v>
      </c>
      <c r="BI66">
        <v>25</v>
      </c>
      <c r="BJ66" t="s">
        <v>226</v>
      </c>
      <c r="BK66" t="s">
        <v>94</v>
      </c>
      <c r="BL66" t="s">
        <v>227</v>
      </c>
      <c r="BM66" t="s">
        <v>1285</v>
      </c>
      <c r="BN66" t="s">
        <v>74</v>
      </c>
      <c r="BO66" t="s">
        <v>74</v>
      </c>
      <c r="BP66" t="s">
        <v>74</v>
      </c>
      <c r="BQ66" t="s">
        <v>74</v>
      </c>
      <c r="BR66" t="s">
        <v>97</v>
      </c>
      <c r="BS66" t="s">
        <v>1286</v>
      </c>
      <c r="BT66" t="str">
        <f>HYPERLINK("https%3A%2F%2Fwww.webofscience.com%2Fwos%2Fwoscc%2Ffull-record%2FWOS:000304603800012","View Full Record in Web of Science")</f>
        <v>View Full Record in Web of Science</v>
      </c>
    </row>
    <row r="67" spans="1:72" x14ac:dyDescent="0.25">
      <c r="A67" t="s">
        <v>72</v>
      </c>
      <c r="B67" t="s">
        <v>1287</v>
      </c>
      <c r="C67" t="s">
        <v>74</v>
      </c>
      <c r="D67" t="s">
        <v>74</v>
      </c>
      <c r="E67" t="s">
        <v>74</v>
      </c>
      <c r="F67" t="s">
        <v>1288</v>
      </c>
      <c r="G67" t="s">
        <v>74</v>
      </c>
      <c r="H67" t="s">
        <v>74</v>
      </c>
      <c r="I67" t="s">
        <v>1289</v>
      </c>
      <c r="J67" t="s">
        <v>1290</v>
      </c>
      <c r="K67" t="s">
        <v>74</v>
      </c>
      <c r="L67" t="s">
        <v>74</v>
      </c>
      <c r="M67" t="s">
        <v>77</v>
      </c>
      <c r="N67" t="s">
        <v>78</v>
      </c>
      <c r="O67" t="s">
        <v>74</v>
      </c>
      <c r="P67" t="s">
        <v>74</v>
      </c>
      <c r="Q67" t="s">
        <v>74</v>
      </c>
      <c r="R67" t="s">
        <v>74</v>
      </c>
      <c r="S67" t="s">
        <v>74</v>
      </c>
      <c r="T67" t="s">
        <v>1291</v>
      </c>
      <c r="U67" t="s">
        <v>1292</v>
      </c>
      <c r="V67" t="s">
        <v>1293</v>
      </c>
      <c r="W67" t="s">
        <v>1294</v>
      </c>
      <c r="X67" t="s">
        <v>1295</v>
      </c>
      <c r="Y67" t="s">
        <v>1296</v>
      </c>
      <c r="Z67" t="s">
        <v>1297</v>
      </c>
      <c r="AA67" t="s">
        <v>1298</v>
      </c>
      <c r="AB67" t="s">
        <v>1299</v>
      </c>
      <c r="AC67" t="s">
        <v>74</v>
      </c>
      <c r="AD67" t="s">
        <v>74</v>
      </c>
      <c r="AE67" t="s">
        <v>74</v>
      </c>
      <c r="AF67" t="s">
        <v>74</v>
      </c>
      <c r="AG67">
        <v>59</v>
      </c>
      <c r="AH67">
        <v>109</v>
      </c>
      <c r="AI67">
        <v>110</v>
      </c>
      <c r="AJ67">
        <v>9</v>
      </c>
      <c r="AK67">
        <v>72</v>
      </c>
      <c r="AL67" t="s">
        <v>665</v>
      </c>
      <c r="AM67" t="s">
        <v>666</v>
      </c>
      <c r="AN67" t="s">
        <v>667</v>
      </c>
      <c r="AO67" t="s">
        <v>1300</v>
      </c>
      <c r="AP67" t="s">
        <v>1301</v>
      </c>
      <c r="AQ67" t="s">
        <v>74</v>
      </c>
      <c r="AR67" t="s">
        <v>1302</v>
      </c>
      <c r="AS67" t="s">
        <v>1303</v>
      </c>
      <c r="AT67" t="s">
        <v>74</v>
      </c>
      <c r="AU67">
        <v>2017</v>
      </c>
      <c r="AV67">
        <v>29</v>
      </c>
      <c r="AW67">
        <v>12</v>
      </c>
      <c r="AX67" t="s">
        <v>74</v>
      </c>
      <c r="AY67" t="s">
        <v>74</v>
      </c>
      <c r="AZ67" t="s">
        <v>74</v>
      </c>
      <c r="BA67" t="s">
        <v>74</v>
      </c>
      <c r="BB67">
        <v>3044</v>
      </c>
      <c r="BC67">
        <v>3062</v>
      </c>
      <c r="BD67" t="s">
        <v>74</v>
      </c>
      <c r="BE67" t="s">
        <v>1304</v>
      </c>
      <c r="BF67" t="str">
        <f>HYPERLINK("http://dx.doi.org/10.1108/IJCHM-06-2016-0319","http://dx.doi.org/10.1108/IJCHM-06-2016-0319")</f>
        <v>http://dx.doi.org/10.1108/IJCHM-06-2016-0319</v>
      </c>
      <c r="BG67" t="s">
        <v>74</v>
      </c>
      <c r="BH67" t="s">
        <v>74</v>
      </c>
      <c r="BI67">
        <v>19</v>
      </c>
      <c r="BJ67" t="s">
        <v>1305</v>
      </c>
      <c r="BK67" t="s">
        <v>94</v>
      </c>
      <c r="BL67" t="s">
        <v>1306</v>
      </c>
      <c r="BM67" t="s">
        <v>1307</v>
      </c>
      <c r="BN67" t="s">
        <v>74</v>
      </c>
      <c r="BO67" t="s">
        <v>74</v>
      </c>
      <c r="BP67" t="s">
        <v>74</v>
      </c>
      <c r="BQ67" t="s">
        <v>74</v>
      </c>
      <c r="BR67" t="s">
        <v>97</v>
      </c>
      <c r="BS67" t="s">
        <v>1308</v>
      </c>
      <c r="BT67" t="str">
        <f>HYPERLINK("https%3A%2F%2Fwww.webofscience.com%2Fwos%2Fwoscc%2Ffull-record%2FWOS:000424494100004","View Full Record in Web of Science")</f>
        <v>View Full Record in Web of Science</v>
      </c>
    </row>
    <row r="68" spans="1:72" x14ac:dyDescent="0.25">
      <c r="A68" t="s">
        <v>72</v>
      </c>
      <c r="B68" t="s">
        <v>1309</v>
      </c>
      <c r="C68" t="s">
        <v>74</v>
      </c>
      <c r="D68" t="s">
        <v>74</v>
      </c>
      <c r="E68" t="s">
        <v>74</v>
      </c>
      <c r="F68" t="s">
        <v>1310</v>
      </c>
      <c r="G68" t="s">
        <v>74</v>
      </c>
      <c r="H68" t="s">
        <v>74</v>
      </c>
      <c r="I68" t="s">
        <v>1311</v>
      </c>
      <c r="J68" t="s">
        <v>779</v>
      </c>
      <c r="K68" t="s">
        <v>74</v>
      </c>
      <c r="L68" t="s">
        <v>74</v>
      </c>
      <c r="M68" t="s">
        <v>77</v>
      </c>
      <c r="N68" t="s">
        <v>78</v>
      </c>
      <c r="O68" t="s">
        <v>74</v>
      </c>
      <c r="P68" t="s">
        <v>74</v>
      </c>
      <c r="Q68" t="s">
        <v>74</v>
      </c>
      <c r="R68" t="s">
        <v>74</v>
      </c>
      <c r="S68" t="s">
        <v>74</v>
      </c>
      <c r="T68" t="s">
        <v>74</v>
      </c>
      <c r="U68" t="s">
        <v>1312</v>
      </c>
      <c r="V68" t="s">
        <v>1313</v>
      </c>
      <c r="W68" t="s">
        <v>1314</v>
      </c>
      <c r="X68" t="s">
        <v>1315</v>
      </c>
      <c r="Y68" t="s">
        <v>1316</v>
      </c>
      <c r="Z68" t="s">
        <v>1317</v>
      </c>
      <c r="AA68" t="s">
        <v>1318</v>
      </c>
      <c r="AB68" t="s">
        <v>1319</v>
      </c>
      <c r="AC68" t="s">
        <v>74</v>
      </c>
      <c r="AD68" t="s">
        <v>74</v>
      </c>
      <c r="AE68" t="s">
        <v>74</v>
      </c>
      <c r="AF68" t="s">
        <v>74</v>
      </c>
      <c r="AG68">
        <v>56</v>
      </c>
      <c r="AH68">
        <v>109</v>
      </c>
      <c r="AI68">
        <v>112</v>
      </c>
      <c r="AJ68">
        <v>0</v>
      </c>
      <c r="AK68">
        <v>177</v>
      </c>
      <c r="AL68" t="s">
        <v>218</v>
      </c>
      <c r="AM68" t="s">
        <v>219</v>
      </c>
      <c r="AN68" t="s">
        <v>220</v>
      </c>
      <c r="AO68" t="s">
        <v>789</v>
      </c>
      <c r="AP68" t="s">
        <v>1320</v>
      </c>
      <c r="AQ68" t="s">
        <v>74</v>
      </c>
      <c r="AR68" t="s">
        <v>790</v>
      </c>
      <c r="AS68" t="s">
        <v>791</v>
      </c>
      <c r="AT68" t="s">
        <v>584</v>
      </c>
      <c r="AU68">
        <v>2012</v>
      </c>
      <c r="AV68">
        <v>29</v>
      </c>
      <c r="AW68">
        <v>6</v>
      </c>
      <c r="AX68" t="s">
        <v>74</v>
      </c>
      <c r="AY68" t="s">
        <v>74</v>
      </c>
      <c r="AZ68" t="s">
        <v>74</v>
      </c>
      <c r="BA68" t="s">
        <v>74</v>
      </c>
      <c r="BB68">
        <v>935</v>
      </c>
      <c r="BC68">
        <v>951</v>
      </c>
      <c r="BD68" t="s">
        <v>74</v>
      </c>
      <c r="BE68" t="s">
        <v>1321</v>
      </c>
      <c r="BF68" t="str">
        <f>HYPERLINK("http://dx.doi.org/10.1111/j.1540-5885.2012.00971.x","http://dx.doi.org/10.1111/j.1540-5885.2012.00971.x")</f>
        <v>http://dx.doi.org/10.1111/j.1540-5885.2012.00971.x</v>
      </c>
      <c r="BG68" t="s">
        <v>74</v>
      </c>
      <c r="BH68" t="s">
        <v>74</v>
      </c>
      <c r="BI68">
        <v>17</v>
      </c>
      <c r="BJ68" t="s">
        <v>794</v>
      </c>
      <c r="BK68" t="s">
        <v>147</v>
      </c>
      <c r="BL68" t="s">
        <v>795</v>
      </c>
      <c r="BM68" t="s">
        <v>1322</v>
      </c>
      <c r="BN68" t="s">
        <v>74</v>
      </c>
      <c r="BO68" t="s">
        <v>111</v>
      </c>
      <c r="BP68" t="s">
        <v>74</v>
      </c>
      <c r="BQ68" t="s">
        <v>74</v>
      </c>
      <c r="BR68" t="s">
        <v>97</v>
      </c>
      <c r="BS68" t="s">
        <v>1323</v>
      </c>
      <c r="BT68" t="str">
        <f>HYPERLINK("https%3A%2F%2Fwww.webofscience.com%2Fwos%2Fwoscc%2Ffull-record%2FWOS:000310267800004","View Full Record in Web of Science")</f>
        <v>View Full Record in Web of Science</v>
      </c>
    </row>
    <row r="69" spans="1:72" x14ac:dyDescent="0.25">
      <c r="A69" t="s">
        <v>72</v>
      </c>
      <c r="B69" t="s">
        <v>1324</v>
      </c>
      <c r="C69" t="s">
        <v>74</v>
      </c>
      <c r="D69" t="s">
        <v>74</v>
      </c>
      <c r="E69" t="s">
        <v>74</v>
      </c>
      <c r="F69" t="s">
        <v>1325</v>
      </c>
      <c r="G69" t="s">
        <v>74</v>
      </c>
      <c r="H69" t="s">
        <v>74</v>
      </c>
      <c r="I69" t="s">
        <v>1326</v>
      </c>
      <c r="J69" t="s">
        <v>209</v>
      </c>
      <c r="K69" t="s">
        <v>74</v>
      </c>
      <c r="L69" t="s">
        <v>74</v>
      </c>
      <c r="M69" t="s">
        <v>77</v>
      </c>
      <c r="N69" t="s">
        <v>78</v>
      </c>
      <c r="O69" t="s">
        <v>74</v>
      </c>
      <c r="P69" t="s">
        <v>74</v>
      </c>
      <c r="Q69" t="s">
        <v>74</v>
      </c>
      <c r="R69" t="s">
        <v>74</v>
      </c>
      <c r="S69" t="s">
        <v>74</v>
      </c>
      <c r="T69" t="s">
        <v>74</v>
      </c>
      <c r="U69" t="s">
        <v>1327</v>
      </c>
      <c r="V69" t="s">
        <v>1328</v>
      </c>
      <c r="W69" t="s">
        <v>1329</v>
      </c>
      <c r="X69" t="s">
        <v>1330</v>
      </c>
      <c r="Y69" t="s">
        <v>1331</v>
      </c>
      <c r="Z69" t="s">
        <v>1332</v>
      </c>
      <c r="AA69" t="s">
        <v>1333</v>
      </c>
      <c r="AB69" t="s">
        <v>1334</v>
      </c>
      <c r="AC69" t="s">
        <v>74</v>
      </c>
      <c r="AD69" t="s">
        <v>74</v>
      </c>
      <c r="AE69" t="s">
        <v>74</v>
      </c>
      <c r="AF69" t="s">
        <v>74</v>
      </c>
      <c r="AG69">
        <v>69</v>
      </c>
      <c r="AH69">
        <v>103</v>
      </c>
      <c r="AI69">
        <v>105</v>
      </c>
      <c r="AJ69">
        <v>6</v>
      </c>
      <c r="AK69">
        <v>99</v>
      </c>
      <c r="AL69" t="s">
        <v>218</v>
      </c>
      <c r="AM69" t="s">
        <v>219</v>
      </c>
      <c r="AN69" t="s">
        <v>220</v>
      </c>
      <c r="AO69" t="s">
        <v>221</v>
      </c>
      <c r="AP69" t="s">
        <v>222</v>
      </c>
      <c r="AQ69" t="s">
        <v>74</v>
      </c>
      <c r="AR69" t="s">
        <v>223</v>
      </c>
      <c r="AS69" t="s">
        <v>224</v>
      </c>
      <c r="AT69" t="s">
        <v>892</v>
      </c>
      <c r="AU69">
        <v>2011</v>
      </c>
      <c r="AV69">
        <v>32</v>
      </c>
      <c r="AW69">
        <v>1</v>
      </c>
      <c r="AX69" t="s">
        <v>74</v>
      </c>
      <c r="AY69" t="s">
        <v>74</v>
      </c>
      <c r="AZ69" t="s">
        <v>74</v>
      </c>
      <c r="BA69" t="s">
        <v>74</v>
      </c>
      <c r="BB69">
        <v>86</v>
      </c>
      <c r="BC69">
        <v>106</v>
      </c>
      <c r="BD69" t="s">
        <v>74</v>
      </c>
      <c r="BE69" t="s">
        <v>1335</v>
      </c>
      <c r="BF69" t="str">
        <f>HYPERLINK("http://dx.doi.org/10.1002/job.682","http://dx.doi.org/10.1002/job.682")</f>
        <v>http://dx.doi.org/10.1002/job.682</v>
      </c>
      <c r="BG69" t="s">
        <v>74</v>
      </c>
      <c r="BH69" t="s">
        <v>74</v>
      </c>
      <c r="BI69">
        <v>21</v>
      </c>
      <c r="BJ69" t="s">
        <v>226</v>
      </c>
      <c r="BK69" t="s">
        <v>94</v>
      </c>
      <c r="BL69" t="s">
        <v>227</v>
      </c>
      <c r="BM69" t="s">
        <v>1336</v>
      </c>
      <c r="BN69" t="s">
        <v>74</v>
      </c>
      <c r="BO69" t="s">
        <v>74</v>
      </c>
      <c r="BP69" t="s">
        <v>74</v>
      </c>
      <c r="BQ69" t="s">
        <v>74</v>
      </c>
      <c r="BR69" t="s">
        <v>97</v>
      </c>
      <c r="BS69" t="s">
        <v>1337</v>
      </c>
      <c r="BT69" t="str">
        <f>HYPERLINK("https%3A%2F%2Fwww.webofscience.com%2Fwos%2Fwoscc%2Ffull-record%2FWOS:000286290500006","View Full Record in Web of Science")</f>
        <v>View Full Record in Web of Science</v>
      </c>
    </row>
    <row r="70" spans="1:72" x14ac:dyDescent="0.25">
      <c r="A70" t="s">
        <v>72</v>
      </c>
      <c r="B70" t="s">
        <v>1338</v>
      </c>
      <c r="C70" t="s">
        <v>74</v>
      </c>
      <c r="D70" t="s">
        <v>74</v>
      </c>
      <c r="E70" t="s">
        <v>74</v>
      </c>
      <c r="F70" t="s">
        <v>1338</v>
      </c>
      <c r="G70" t="s">
        <v>74</v>
      </c>
      <c r="H70" t="s">
        <v>74</v>
      </c>
      <c r="I70" t="s">
        <v>1339</v>
      </c>
      <c r="J70" t="s">
        <v>1340</v>
      </c>
      <c r="K70" t="s">
        <v>74</v>
      </c>
      <c r="L70" t="s">
        <v>74</v>
      </c>
      <c r="M70" t="s">
        <v>77</v>
      </c>
      <c r="N70" t="s">
        <v>78</v>
      </c>
      <c r="O70" t="s">
        <v>74</v>
      </c>
      <c r="P70" t="s">
        <v>74</v>
      </c>
      <c r="Q70" t="s">
        <v>74</v>
      </c>
      <c r="R70" t="s">
        <v>74</v>
      </c>
      <c r="S70" t="s">
        <v>74</v>
      </c>
      <c r="T70" t="s">
        <v>74</v>
      </c>
      <c r="U70" t="s">
        <v>74</v>
      </c>
      <c r="V70" t="s">
        <v>74</v>
      </c>
      <c r="W70" t="s">
        <v>74</v>
      </c>
      <c r="X70" t="s">
        <v>74</v>
      </c>
      <c r="Y70" t="s">
        <v>74</v>
      </c>
      <c r="Z70" t="s">
        <v>74</v>
      </c>
      <c r="AA70" t="s">
        <v>74</v>
      </c>
      <c r="AB70" t="s">
        <v>74</v>
      </c>
      <c r="AC70" t="s">
        <v>74</v>
      </c>
      <c r="AD70" t="s">
        <v>74</v>
      </c>
      <c r="AE70" t="s">
        <v>74</v>
      </c>
      <c r="AF70" t="s">
        <v>74</v>
      </c>
      <c r="AG70">
        <v>11</v>
      </c>
      <c r="AH70">
        <v>103</v>
      </c>
      <c r="AI70">
        <v>103</v>
      </c>
      <c r="AJ70">
        <v>2</v>
      </c>
      <c r="AK70">
        <v>7</v>
      </c>
      <c r="AL70" t="s">
        <v>194</v>
      </c>
      <c r="AM70" t="s">
        <v>195</v>
      </c>
      <c r="AN70" t="s">
        <v>1341</v>
      </c>
      <c r="AO70" t="s">
        <v>1342</v>
      </c>
      <c r="AP70" t="s">
        <v>74</v>
      </c>
      <c r="AQ70" t="s">
        <v>74</v>
      </c>
      <c r="AR70" t="s">
        <v>1343</v>
      </c>
      <c r="AS70" t="s">
        <v>1344</v>
      </c>
      <c r="AT70" t="s">
        <v>74</v>
      </c>
      <c r="AU70">
        <v>1970</v>
      </c>
      <c r="AV70">
        <v>14</v>
      </c>
      <c r="AW70">
        <v>3</v>
      </c>
      <c r="AX70" t="s">
        <v>74</v>
      </c>
      <c r="AY70" t="s">
        <v>74</v>
      </c>
      <c r="AZ70" t="s">
        <v>74</v>
      </c>
      <c r="BA70" t="s">
        <v>74</v>
      </c>
      <c r="BB70">
        <v>263</v>
      </c>
      <c r="BC70" t="s">
        <v>1345</v>
      </c>
      <c r="BD70" t="s">
        <v>74</v>
      </c>
      <c r="BE70" t="s">
        <v>1346</v>
      </c>
      <c r="BF70" t="str">
        <f>HYPERLINK("http://dx.doi.org/10.1037/h0028890","http://dx.doi.org/10.1037/h0028890")</f>
        <v>http://dx.doi.org/10.1037/h0028890</v>
      </c>
      <c r="BG70" t="s">
        <v>74</v>
      </c>
      <c r="BH70" t="s">
        <v>74</v>
      </c>
      <c r="BI70">
        <v>0</v>
      </c>
      <c r="BJ70" t="s">
        <v>459</v>
      </c>
      <c r="BK70" t="s">
        <v>1347</v>
      </c>
      <c r="BL70" t="s">
        <v>460</v>
      </c>
      <c r="BM70" t="s">
        <v>1348</v>
      </c>
      <c r="BN70">
        <v>5530536</v>
      </c>
      <c r="BO70" t="s">
        <v>74</v>
      </c>
      <c r="BP70" t="s">
        <v>74</v>
      </c>
      <c r="BQ70" t="s">
        <v>74</v>
      </c>
      <c r="BR70" t="s">
        <v>97</v>
      </c>
      <c r="BS70" t="s">
        <v>1349</v>
      </c>
      <c r="BT70" t="str">
        <f>HYPERLINK("https%3A%2F%2Fwww.webofscience.com%2Fwos%2Fwoscc%2Ffull-record%2FWOS:A1970F738300010","View Full Record in Web of Science")</f>
        <v>View Full Record in Web of Science</v>
      </c>
    </row>
    <row r="71" spans="1:72" x14ac:dyDescent="0.25">
      <c r="A71" t="s">
        <v>72</v>
      </c>
      <c r="B71" t="s">
        <v>1350</v>
      </c>
      <c r="C71" t="s">
        <v>74</v>
      </c>
      <c r="D71" t="s">
        <v>74</v>
      </c>
      <c r="E71" t="s">
        <v>74</v>
      </c>
      <c r="F71" t="s">
        <v>1351</v>
      </c>
      <c r="G71" t="s">
        <v>74</v>
      </c>
      <c r="H71" t="s">
        <v>74</v>
      </c>
      <c r="I71" t="s">
        <v>1352</v>
      </c>
      <c r="J71" t="s">
        <v>1353</v>
      </c>
      <c r="K71" t="s">
        <v>74</v>
      </c>
      <c r="L71" t="s">
        <v>74</v>
      </c>
      <c r="M71" t="s">
        <v>77</v>
      </c>
      <c r="N71" t="s">
        <v>78</v>
      </c>
      <c r="O71" t="s">
        <v>74</v>
      </c>
      <c r="P71" t="s">
        <v>74</v>
      </c>
      <c r="Q71" t="s">
        <v>74</v>
      </c>
      <c r="R71" t="s">
        <v>74</v>
      </c>
      <c r="S71" t="s">
        <v>74</v>
      </c>
      <c r="T71" t="s">
        <v>74</v>
      </c>
      <c r="U71" t="s">
        <v>1354</v>
      </c>
      <c r="V71" t="s">
        <v>1355</v>
      </c>
      <c r="W71" t="s">
        <v>1356</v>
      </c>
      <c r="X71" t="s">
        <v>1357</v>
      </c>
      <c r="Y71" t="s">
        <v>1358</v>
      </c>
      <c r="Z71" t="s">
        <v>74</v>
      </c>
      <c r="AA71" t="s">
        <v>1359</v>
      </c>
      <c r="AB71" t="s">
        <v>1360</v>
      </c>
      <c r="AC71" t="s">
        <v>74</v>
      </c>
      <c r="AD71" t="s">
        <v>74</v>
      </c>
      <c r="AE71" t="s">
        <v>74</v>
      </c>
      <c r="AF71" t="s">
        <v>74</v>
      </c>
      <c r="AG71">
        <v>91</v>
      </c>
      <c r="AH71">
        <v>102</v>
      </c>
      <c r="AI71">
        <v>105</v>
      </c>
      <c r="AJ71">
        <v>7</v>
      </c>
      <c r="AK71">
        <v>135</v>
      </c>
      <c r="AL71" t="s">
        <v>84</v>
      </c>
      <c r="AM71" t="s">
        <v>85</v>
      </c>
      <c r="AN71" t="s">
        <v>86</v>
      </c>
      <c r="AO71" t="s">
        <v>1361</v>
      </c>
      <c r="AP71" t="s">
        <v>74</v>
      </c>
      <c r="AQ71" t="s">
        <v>74</v>
      </c>
      <c r="AR71" t="s">
        <v>1362</v>
      </c>
      <c r="AS71" t="s">
        <v>1363</v>
      </c>
      <c r="AT71" t="s">
        <v>1364</v>
      </c>
      <c r="AU71">
        <v>2014</v>
      </c>
      <c r="AV71">
        <v>13</v>
      </c>
      <c r="AW71">
        <v>1</v>
      </c>
      <c r="AX71" t="s">
        <v>74</v>
      </c>
      <c r="AY71" t="s">
        <v>74</v>
      </c>
      <c r="AZ71" t="s">
        <v>74</v>
      </c>
      <c r="BA71" t="s">
        <v>74</v>
      </c>
      <c r="BB71">
        <v>45</v>
      </c>
      <c r="BC71">
        <v>61</v>
      </c>
      <c r="BD71" t="s">
        <v>74</v>
      </c>
      <c r="BE71" t="s">
        <v>1365</v>
      </c>
      <c r="BF71" t="str">
        <f>HYPERLINK("http://dx.doi.org/10.5465/amle.2012.0162","http://dx.doi.org/10.5465/amle.2012.0162")</f>
        <v>http://dx.doi.org/10.5465/amle.2012.0162</v>
      </c>
      <c r="BG71" t="s">
        <v>74</v>
      </c>
      <c r="BH71" t="s">
        <v>74</v>
      </c>
      <c r="BI71">
        <v>17</v>
      </c>
      <c r="BJ71" t="s">
        <v>1366</v>
      </c>
      <c r="BK71" t="s">
        <v>94</v>
      </c>
      <c r="BL71" t="s">
        <v>1367</v>
      </c>
      <c r="BM71" t="s">
        <v>1368</v>
      </c>
      <c r="BN71" t="s">
        <v>74</v>
      </c>
      <c r="BO71" t="s">
        <v>74</v>
      </c>
      <c r="BP71" t="s">
        <v>74</v>
      </c>
      <c r="BQ71" t="s">
        <v>74</v>
      </c>
      <c r="BR71" t="s">
        <v>97</v>
      </c>
      <c r="BS71" t="s">
        <v>1369</v>
      </c>
      <c r="BT71" t="str">
        <f>HYPERLINK("https%3A%2F%2Fwww.webofscience.com%2Fwos%2Fwoscc%2Ffull-record%2FWOS:000340856200004","View Full Record in Web of Science")</f>
        <v>View Full Record in Web of Science</v>
      </c>
    </row>
    <row r="72" spans="1:72" x14ac:dyDescent="0.25">
      <c r="A72" t="s">
        <v>72</v>
      </c>
      <c r="B72" t="s">
        <v>1370</v>
      </c>
      <c r="C72" t="s">
        <v>74</v>
      </c>
      <c r="D72" t="s">
        <v>74</v>
      </c>
      <c r="E72" t="s">
        <v>74</v>
      </c>
      <c r="F72" t="s">
        <v>1371</v>
      </c>
      <c r="G72" t="s">
        <v>74</v>
      </c>
      <c r="H72" t="s">
        <v>74</v>
      </c>
      <c r="I72" t="s">
        <v>1372</v>
      </c>
      <c r="J72" t="s">
        <v>1373</v>
      </c>
      <c r="K72" t="s">
        <v>74</v>
      </c>
      <c r="L72" t="s">
        <v>74</v>
      </c>
      <c r="M72" t="s">
        <v>77</v>
      </c>
      <c r="N72" t="s">
        <v>78</v>
      </c>
      <c r="O72" t="s">
        <v>74</v>
      </c>
      <c r="P72" t="s">
        <v>74</v>
      </c>
      <c r="Q72" t="s">
        <v>74</v>
      </c>
      <c r="R72" t="s">
        <v>74</v>
      </c>
      <c r="S72" t="s">
        <v>74</v>
      </c>
      <c r="T72" t="s">
        <v>1374</v>
      </c>
      <c r="U72" t="s">
        <v>1375</v>
      </c>
      <c r="V72" t="s">
        <v>1376</v>
      </c>
      <c r="W72" t="s">
        <v>1377</v>
      </c>
      <c r="X72" t="s">
        <v>1378</v>
      </c>
      <c r="Y72" t="s">
        <v>1379</v>
      </c>
      <c r="Z72" t="s">
        <v>1380</v>
      </c>
      <c r="AA72" t="s">
        <v>1381</v>
      </c>
      <c r="AB72" t="s">
        <v>74</v>
      </c>
      <c r="AC72" t="s">
        <v>74</v>
      </c>
      <c r="AD72" t="s">
        <v>74</v>
      </c>
      <c r="AE72" t="s">
        <v>74</v>
      </c>
      <c r="AF72" t="s">
        <v>74</v>
      </c>
      <c r="AG72">
        <v>218</v>
      </c>
      <c r="AH72">
        <v>102</v>
      </c>
      <c r="AI72">
        <v>105</v>
      </c>
      <c r="AJ72">
        <v>9</v>
      </c>
      <c r="AK72">
        <v>228</v>
      </c>
      <c r="AL72" t="s">
        <v>350</v>
      </c>
      <c r="AM72" t="s">
        <v>351</v>
      </c>
      <c r="AN72" t="s">
        <v>352</v>
      </c>
      <c r="AO72" t="s">
        <v>1382</v>
      </c>
      <c r="AP72" t="s">
        <v>1383</v>
      </c>
      <c r="AQ72" t="s">
        <v>74</v>
      </c>
      <c r="AR72" t="s">
        <v>1384</v>
      </c>
      <c r="AS72" t="s">
        <v>1385</v>
      </c>
      <c r="AT72" t="s">
        <v>91</v>
      </c>
      <c r="AU72">
        <v>2013</v>
      </c>
      <c r="AV72">
        <v>38</v>
      </c>
      <c r="AW72">
        <v>3</v>
      </c>
      <c r="AX72" t="s">
        <v>74</v>
      </c>
      <c r="AY72" t="s">
        <v>74</v>
      </c>
      <c r="AZ72" t="s">
        <v>74</v>
      </c>
      <c r="BA72" t="s">
        <v>74</v>
      </c>
      <c r="BB72">
        <v>291</v>
      </c>
      <c r="BC72">
        <v>333</v>
      </c>
      <c r="BD72" t="s">
        <v>74</v>
      </c>
      <c r="BE72" t="s">
        <v>1386</v>
      </c>
      <c r="BF72" t="str">
        <f>HYPERLINK("http://dx.doi.org/10.1177/1059601113476736","http://dx.doi.org/10.1177/1059601113476736")</f>
        <v>http://dx.doi.org/10.1177/1059601113476736</v>
      </c>
      <c r="BG72" t="s">
        <v>74</v>
      </c>
      <c r="BH72" t="s">
        <v>74</v>
      </c>
      <c r="BI72">
        <v>43</v>
      </c>
      <c r="BJ72" t="s">
        <v>202</v>
      </c>
      <c r="BK72" t="s">
        <v>94</v>
      </c>
      <c r="BL72" t="s">
        <v>203</v>
      </c>
      <c r="BM72" t="s">
        <v>1387</v>
      </c>
      <c r="BN72" t="s">
        <v>74</v>
      </c>
      <c r="BO72" t="s">
        <v>74</v>
      </c>
      <c r="BP72" t="s">
        <v>74</v>
      </c>
      <c r="BQ72" t="s">
        <v>74</v>
      </c>
      <c r="BR72" t="s">
        <v>97</v>
      </c>
      <c r="BS72" t="s">
        <v>1388</v>
      </c>
      <c r="BT72" t="str">
        <f>HYPERLINK("https%3A%2F%2Fwww.webofscience.com%2Fwos%2Fwoscc%2Ffull-record%2FWOS:000320026600001","View Full Record in Web of Science")</f>
        <v>View Full Record in Web of Science</v>
      </c>
    </row>
    <row r="73" spans="1:72" x14ac:dyDescent="0.25">
      <c r="A73" t="s">
        <v>72</v>
      </c>
      <c r="B73" t="s">
        <v>1389</v>
      </c>
      <c r="C73" t="s">
        <v>74</v>
      </c>
      <c r="D73" t="s">
        <v>74</v>
      </c>
      <c r="E73" t="s">
        <v>74</v>
      </c>
      <c r="F73" t="s">
        <v>1389</v>
      </c>
      <c r="G73" t="s">
        <v>74</v>
      </c>
      <c r="H73" t="s">
        <v>74</v>
      </c>
      <c r="I73" t="s">
        <v>1390</v>
      </c>
      <c r="J73" t="s">
        <v>1391</v>
      </c>
      <c r="K73" t="s">
        <v>74</v>
      </c>
      <c r="L73" t="s">
        <v>74</v>
      </c>
      <c r="M73" t="s">
        <v>77</v>
      </c>
      <c r="N73" t="s">
        <v>78</v>
      </c>
      <c r="O73" t="s">
        <v>74</v>
      </c>
      <c r="P73" t="s">
        <v>74</v>
      </c>
      <c r="Q73" t="s">
        <v>74</v>
      </c>
      <c r="R73" t="s">
        <v>74</v>
      </c>
      <c r="S73" t="s">
        <v>74</v>
      </c>
      <c r="T73" t="s">
        <v>74</v>
      </c>
      <c r="U73" t="s">
        <v>74</v>
      </c>
      <c r="V73" t="s">
        <v>74</v>
      </c>
      <c r="W73" t="s">
        <v>74</v>
      </c>
      <c r="X73" t="s">
        <v>74</v>
      </c>
      <c r="Y73" t="s">
        <v>1392</v>
      </c>
      <c r="Z73" t="s">
        <v>74</v>
      </c>
      <c r="AA73" t="s">
        <v>1393</v>
      </c>
      <c r="AB73" t="s">
        <v>74</v>
      </c>
      <c r="AC73" t="s">
        <v>74</v>
      </c>
      <c r="AD73" t="s">
        <v>74</v>
      </c>
      <c r="AE73" t="s">
        <v>74</v>
      </c>
      <c r="AF73" t="s">
        <v>74</v>
      </c>
      <c r="AG73">
        <v>83</v>
      </c>
      <c r="AH73">
        <v>102</v>
      </c>
      <c r="AI73">
        <v>106</v>
      </c>
      <c r="AJ73">
        <v>1</v>
      </c>
      <c r="AK73">
        <v>16</v>
      </c>
      <c r="AL73" t="s">
        <v>1394</v>
      </c>
      <c r="AM73" t="s">
        <v>1395</v>
      </c>
      <c r="AN73" t="s">
        <v>1396</v>
      </c>
      <c r="AO73" t="s">
        <v>1397</v>
      </c>
      <c r="AP73" t="s">
        <v>74</v>
      </c>
      <c r="AQ73" t="s">
        <v>74</v>
      </c>
      <c r="AR73" t="s">
        <v>1398</v>
      </c>
      <c r="AS73" t="s">
        <v>1399</v>
      </c>
      <c r="AT73" t="s">
        <v>122</v>
      </c>
      <c r="AU73">
        <v>1990</v>
      </c>
      <c r="AV73">
        <v>54</v>
      </c>
      <c r="AW73">
        <v>2</v>
      </c>
      <c r="AX73" t="s">
        <v>74</v>
      </c>
      <c r="AY73" t="s">
        <v>74</v>
      </c>
      <c r="AZ73" t="s">
        <v>74</v>
      </c>
      <c r="BA73" t="s">
        <v>74</v>
      </c>
      <c r="BB73">
        <v>19</v>
      </c>
      <c r="BC73">
        <v>33</v>
      </c>
      <c r="BD73" t="s">
        <v>74</v>
      </c>
      <c r="BE73" t="s">
        <v>1400</v>
      </c>
      <c r="BF73" t="str">
        <f>HYPERLINK("http://dx.doi.org/10.2307/1251867","http://dx.doi.org/10.2307/1251867")</f>
        <v>http://dx.doi.org/10.2307/1251867</v>
      </c>
      <c r="BG73" t="s">
        <v>74</v>
      </c>
      <c r="BH73" t="s">
        <v>74</v>
      </c>
      <c r="BI73">
        <v>15</v>
      </c>
      <c r="BJ73" t="s">
        <v>337</v>
      </c>
      <c r="BK73" t="s">
        <v>94</v>
      </c>
      <c r="BL73" t="s">
        <v>95</v>
      </c>
      <c r="BM73" t="s">
        <v>1401</v>
      </c>
      <c r="BN73" t="s">
        <v>74</v>
      </c>
      <c r="BO73" t="s">
        <v>74</v>
      </c>
      <c r="BP73" t="s">
        <v>74</v>
      </c>
      <c r="BQ73" t="s">
        <v>74</v>
      </c>
      <c r="BR73" t="s">
        <v>97</v>
      </c>
      <c r="BS73" t="s">
        <v>1402</v>
      </c>
      <c r="BT73" t="str">
        <f>HYPERLINK("https%3A%2F%2Fwww.webofscience.com%2Fwos%2Fwoscc%2Ffull-record%2FWOS:A1990CZ14400002","View Full Record in Web of Science")</f>
        <v>View Full Record in Web of Science</v>
      </c>
    </row>
    <row r="74" spans="1:72" x14ac:dyDescent="0.25">
      <c r="A74" t="s">
        <v>72</v>
      </c>
      <c r="B74" t="s">
        <v>1403</v>
      </c>
      <c r="C74" t="s">
        <v>74</v>
      </c>
      <c r="D74" t="s">
        <v>74</v>
      </c>
      <c r="E74" t="s">
        <v>74</v>
      </c>
      <c r="F74" t="s">
        <v>1404</v>
      </c>
      <c r="G74" t="s">
        <v>74</v>
      </c>
      <c r="H74" t="s">
        <v>74</v>
      </c>
      <c r="I74" t="s">
        <v>1405</v>
      </c>
      <c r="J74" t="s">
        <v>1290</v>
      </c>
      <c r="K74" t="s">
        <v>74</v>
      </c>
      <c r="L74" t="s">
        <v>74</v>
      </c>
      <c r="M74" t="s">
        <v>77</v>
      </c>
      <c r="N74" t="s">
        <v>78</v>
      </c>
      <c r="O74" t="s">
        <v>74</v>
      </c>
      <c r="P74" t="s">
        <v>74</v>
      </c>
      <c r="Q74" t="s">
        <v>74</v>
      </c>
      <c r="R74" t="s">
        <v>74</v>
      </c>
      <c r="S74" t="s">
        <v>74</v>
      </c>
      <c r="T74" t="s">
        <v>1406</v>
      </c>
      <c r="U74" t="s">
        <v>1407</v>
      </c>
      <c r="V74" t="s">
        <v>1408</v>
      </c>
      <c r="W74" t="s">
        <v>1409</v>
      </c>
      <c r="X74" t="s">
        <v>1410</v>
      </c>
      <c r="Y74" t="s">
        <v>1411</v>
      </c>
      <c r="Z74" t="s">
        <v>1412</v>
      </c>
      <c r="AA74" t="s">
        <v>1413</v>
      </c>
      <c r="AB74" t="s">
        <v>1414</v>
      </c>
      <c r="AC74" t="s">
        <v>74</v>
      </c>
      <c r="AD74" t="s">
        <v>74</v>
      </c>
      <c r="AE74" t="s">
        <v>74</v>
      </c>
      <c r="AF74" t="s">
        <v>74</v>
      </c>
      <c r="AG74">
        <v>96</v>
      </c>
      <c r="AH74">
        <v>101</v>
      </c>
      <c r="AI74">
        <v>106</v>
      </c>
      <c r="AJ74">
        <v>14</v>
      </c>
      <c r="AK74">
        <v>117</v>
      </c>
      <c r="AL74" t="s">
        <v>665</v>
      </c>
      <c r="AM74" t="s">
        <v>666</v>
      </c>
      <c r="AN74" t="s">
        <v>667</v>
      </c>
      <c r="AO74" t="s">
        <v>1300</v>
      </c>
      <c r="AP74" t="s">
        <v>1301</v>
      </c>
      <c r="AQ74" t="s">
        <v>74</v>
      </c>
      <c r="AR74" t="s">
        <v>1302</v>
      </c>
      <c r="AS74" t="s">
        <v>1303</v>
      </c>
      <c r="AT74" t="s">
        <v>74</v>
      </c>
      <c r="AU74">
        <v>2018</v>
      </c>
      <c r="AV74">
        <v>30</v>
      </c>
      <c r="AW74">
        <v>3</v>
      </c>
      <c r="AX74" t="s">
        <v>74</v>
      </c>
      <c r="AY74" t="s">
        <v>74</v>
      </c>
      <c r="AZ74" t="s">
        <v>74</v>
      </c>
      <c r="BA74" t="s">
        <v>74</v>
      </c>
      <c r="BB74">
        <v>1601</v>
      </c>
      <c r="BC74">
        <v>1620</v>
      </c>
      <c r="BD74" t="s">
        <v>74</v>
      </c>
      <c r="BE74" t="s">
        <v>1415</v>
      </c>
      <c r="BF74" t="str">
        <f>HYPERLINK("http://dx.doi.org/10.1108/IJCHM-02-2017-0079","http://dx.doi.org/10.1108/IJCHM-02-2017-0079")</f>
        <v>http://dx.doi.org/10.1108/IJCHM-02-2017-0079</v>
      </c>
      <c r="BG74" t="s">
        <v>74</v>
      </c>
      <c r="BH74" t="s">
        <v>74</v>
      </c>
      <c r="BI74">
        <v>20</v>
      </c>
      <c r="BJ74" t="s">
        <v>1305</v>
      </c>
      <c r="BK74" t="s">
        <v>94</v>
      </c>
      <c r="BL74" t="s">
        <v>1306</v>
      </c>
      <c r="BM74" t="s">
        <v>1416</v>
      </c>
      <c r="BN74" t="s">
        <v>74</v>
      </c>
      <c r="BO74" t="s">
        <v>74</v>
      </c>
      <c r="BP74" t="s">
        <v>74</v>
      </c>
      <c r="BQ74" t="s">
        <v>74</v>
      </c>
      <c r="BR74" t="s">
        <v>97</v>
      </c>
      <c r="BS74" t="s">
        <v>1417</v>
      </c>
      <c r="BT74" t="str">
        <f>HYPERLINK("https%3A%2F%2Fwww.webofscience.com%2Fwos%2Fwoscc%2Ffull-record%2FWOS:000431030300020","View Full Record in Web of Science")</f>
        <v>View Full Record in Web of Science</v>
      </c>
    </row>
    <row r="75" spans="1:72" x14ac:dyDescent="0.25">
      <c r="A75" t="s">
        <v>72</v>
      </c>
      <c r="B75" t="s">
        <v>1418</v>
      </c>
      <c r="C75" t="s">
        <v>74</v>
      </c>
      <c r="D75" t="s">
        <v>74</v>
      </c>
      <c r="E75" t="s">
        <v>74</v>
      </c>
      <c r="F75" t="s">
        <v>1419</v>
      </c>
      <c r="G75" t="s">
        <v>74</v>
      </c>
      <c r="H75" t="s">
        <v>74</v>
      </c>
      <c r="I75" t="s">
        <v>1420</v>
      </c>
      <c r="J75" t="s">
        <v>1421</v>
      </c>
      <c r="K75" t="s">
        <v>74</v>
      </c>
      <c r="L75" t="s">
        <v>74</v>
      </c>
      <c r="M75" t="s">
        <v>77</v>
      </c>
      <c r="N75" t="s">
        <v>78</v>
      </c>
      <c r="O75" t="s">
        <v>74</v>
      </c>
      <c r="P75" t="s">
        <v>74</v>
      </c>
      <c r="Q75" t="s">
        <v>74</v>
      </c>
      <c r="R75" t="s">
        <v>74</v>
      </c>
      <c r="S75" t="s">
        <v>74</v>
      </c>
      <c r="T75" t="s">
        <v>74</v>
      </c>
      <c r="U75" t="s">
        <v>1422</v>
      </c>
      <c r="V75" t="s">
        <v>1423</v>
      </c>
      <c r="W75" t="s">
        <v>1424</v>
      </c>
      <c r="X75" t="s">
        <v>1425</v>
      </c>
      <c r="Y75" t="s">
        <v>1426</v>
      </c>
      <c r="Z75" t="s">
        <v>1427</v>
      </c>
      <c r="AA75" t="s">
        <v>1428</v>
      </c>
      <c r="AB75" t="s">
        <v>1429</v>
      </c>
      <c r="AC75" t="s">
        <v>1430</v>
      </c>
      <c r="AD75" t="s">
        <v>1431</v>
      </c>
      <c r="AE75" t="s">
        <v>1432</v>
      </c>
      <c r="AF75" t="s">
        <v>74</v>
      </c>
      <c r="AG75">
        <v>98</v>
      </c>
      <c r="AH75">
        <v>101</v>
      </c>
      <c r="AI75">
        <v>106</v>
      </c>
      <c r="AJ75">
        <v>11</v>
      </c>
      <c r="AK75">
        <v>237</v>
      </c>
      <c r="AL75" t="s">
        <v>218</v>
      </c>
      <c r="AM75" t="s">
        <v>219</v>
      </c>
      <c r="AN75" t="s">
        <v>220</v>
      </c>
      <c r="AO75" t="s">
        <v>1433</v>
      </c>
      <c r="AP75" t="s">
        <v>1434</v>
      </c>
      <c r="AQ75" t="s">
        <v>74</v>
      </c>
      <c r="AR75" t="s">
        <v>1435</v>
      </c>
      <c r="AS75" t="s">
        <v>1436</v>
      </c>
      <c r="AT75" t="s">
        <v>1437</v>
      </c>
      <c r="AU75">
        <v>2016</v>
      </c>
      <c r="AV75">
        <v>69</v>
      </c>
      <c r="AW75">
        <v>1</v>
      </c>
      <c r="AX75" t="s">
        <v>74</v>
      </c>
      <c r="AY75" t="s">
        <v>74</v>
      </c>
      <c r="AZ75" t="s">
        <v>74</v>
      </c>
      <c r="BA75" t="s">
        <v>74</v>
      </c>
      <c r="BB75">
        <v>123</v>
      </c>
      <c r="BC75">
        <v>158</v>
      </c>
      <c r="BD75" t="s">
        <v>74</v>
      </c>
      <c r="BE75" t="s">
        <v>1438</v>
      </c>
      <c r="BF75" t="str">
        <f>HYPERLINK("http://dx.doi.org/10.1111/peps.12104","http://dx.doi.org/10.1111/peps.12104")</f>
        <v>http://dx.doi.org/10.1111/peps.12104</v>
      </c>
      <c r="BG75" t="s">
        <v>74</v>
      </c>
      <c r="BH75" t="s">
        <v>74</v>
      </c>
      <c r="BI75">
        <v>36</v>
      </c>
      <c r="BJ75" t="s">
        <v>202</v>
      </c>
      <c r="BK75" t="s">
        <v>94</v>
      </c>
      <c r="BL75" t="s">
        <v>203</v>
      </c>
      <c r="BM75" t="s">
        <v>1439</v>
      </c>
      <c r="BN75" t="s">
        <v>74</v>
      </c>
      <c r="BO75" t="s">
        <v>74</v>
      </c>
      <c r="BP75" t="s">
        <v>74</v>
      </c>
      <c r="BQ75" t="s">
        <v>74</v>
      </c>
      <c r="BR75" t="s">
        <v>97</v>
      </c>
      <c r="BS75" t="s">
        <v>1440</v>
      </c>
      <c r="BT75" t="str">
        <f>HYPERLINK("https%3A%2F%2Fwww.webofscience.com%2Fwos%2Fwoscc%2Ffull-record%2FWOS:000369142500003","View Full Record in Web of Science")</f>
        <v>View Full Record in Web of Science</v>
      </c>
    </row>
    <row r="76" spans="1:72" x14ac:dyDescent="0.25">
      <c r="A76" t="s">
        <v>72</v>
      </c>
      <c r="B76" t="s">
        <v>1441</v>
      </c>
      <c r="C76" t="s">
        <v>74</v>
      </c>
      <c r="D76" t="s">
        <v>74</v>
      </c>
      <c r="E76" t="s">
        <v>74</v>
      </c>
      <c r="F76" t="s">
        <v>1442</v>
      </c>
      <c r="G76" t="s">
        <v>74</v>
      </c>
      <c r="H76" t="s">
        <v>74</v>
      </c>
      <c r="I76" t="s">
        <v>1443</v>
      </c>
      <c r="J76" t="s">
        <v>1444</v>
      </c>
      <c r="K76" t="s">
        <v>74</v>
      </c>
      <c r="L76" t="s">
        <v>74</v>
      </c>
      <c r="M76" t="s">
        <v>77</v>
      </c>
      <c r="N76" t="s">
        <v>78</v>
      </c>
      <c r="O76" t="s">
        <v>74</v>
      </c>
      <c r="P76" t="s">
        <v>74</v>
      </c>
      <c r="Q76" t="s">
        <v>74</v>
      </c>
      <c r="R76" t="s">
        <v>74</v>
      </c>
      <c r="S76" t="s">
        <v>74</v>
      </c>
      <c r="T76" t="s">
        <v>1445</v>
      </c>
      <c r="U76" t="s">
        <v>1446</v>
      </c>
      <c r="V76" t="s">
        <v>1447</v>
      </c>
      <c r="W76" t="s">
        <v>1448</v>
      </c>
      <c r="X76" t="s">
        <v>1449</v>
      </c>
      <c r="Y76" t="s">
        <v>1450</v>
      </c>
      <c r="Z76" t="s">
        <v>1451</v>
      </c>
      <c r="AA76" t="s">
        <v>74</v>
      </c>
      <c r="AB76" t="s">
        <v>74</v>
      </c>
      <c r="AC76" t="s">
        <v>74</v>
      </c>
      <c r="AD76" t="s">
        <v>74</v>
      </c>
      <c r="AE76" t="s">
        <v>74</v>
      </c>
      <c r="AF76" t="s">
        <v>74</v>
      </c>
      <c r="AG76">
        <v>52</v>
      </c>
      <c r="AH76">
        <v>100</v>
      </c>
      <c r="AI76">
        <v>104</v>
      </c>
      <c r="AJ76">
        <v>1</v>
      </c>
      <c r="AK76">
        <v>52</v>
      </c>
      <c r="AL76" t="s">
        <v>766</v>
      </c>
      <c r="AM76" t="s">
        <v>330</v>
      </c>
      <c r="AN76" t="s">
        <v>1452</v>
      </c>
      <c r="AO76" t="s">
        <v>1453</v>
      </c>
      <c r="AP76" t="s">
        <v>1454</v>
      </c>
      <c r="AQ76" t="s">
        <v>74</v>
      </c>
      <c r="AR76" t="s">
        <v>1455</v>
      </c>
      <c r="AS76" t="s">
        <v>1456</v>
      </c>
      <c r="AT76" t="s">
        <v>200</v>
      </c>
      <c r="AU76">
        <v>2007</v>
      </c>
      <c r="AV76">
        <v>35</v>
      </c>
      <c r="AW76">
        <v>1</v>
      </c>
      <c r="AX76" t="s">
        <v>74</v>
      </c>
      <c r="AY76" t="s">
        <v>74</v>
      </c>
      <c r="AZ76" t="s">
        <v>74</v>
      </c>
      <c r="BA76" t="s">
        <v>74</v>
      </c>
      <c r="BB76">
        <v>63</v>
      </c>
      <c r="BC76">
        <v>75</v>
      </c>
      <c r="BD76" t="s">
        <v>74</v>
      </c>
      <c r="BE76" t="s">
        <v>1457</v>
      </c>
      <c r="BF76" t="str">
        <f>HYPERLINK("http://dx.doi.org/10.1007/s11747-006-0007-z","http://dx.doi.org/10.1007/s11747-006-0007-z")</f>
        <v>http://dx.doi.org/10.1007/s11747-006-0007-z</v>
      </c>
      <c r="BG76" t="s">
        <v>74</v>
      </c>
      <c r="BH76" t="s">
        <v>74</v>
      </c>
      <c r="BI76">
        <v>13</v>
      </c>
      <c r="BJ76" t="s">
        <v>337</v>
      </c>
      <c r="BK76" t="s">
        <v>94</v>
      </c>
      <c r="BL76" t="s">
        <v>95</v>
      </c>
      <c r="BM76" t="s">
        <v>1458</v>
      </c>
      <c r="BN76" t="s">
        <v>74</v>
      </c>
      <c r="BO76" t="s">
        <v>74</v>
      </c>
      <c r="BP76" t="s">
        <v>74</v>
      </c>
      <c r="BQ76" t="s">
        <v>74</v>
      </c>
      <c r="BR76" t="s">
        <v>97</v>
      </c>
      <c r="BS76" t="s">
        <v>1459</v>
      </c>
      <c r="BT76" t="str">
        <f>HYPERLINK("https%3A%2F%2Fwww.webofscience.com%2Fwos%2Fwoscc%2Ffull-record%2FWOS:000246619000006","View Full Record in Web of Science")</f>
        <v>View Full Record in Web of Science</v>
      </c>
    </row>
    <row r="77" spans="1:72" x14ac:dyDescent="0.25">
      <c r="A77" t="s">
        <v>72</v>
      </c>
      <c r="B77" t="s">
        <v>1460</v>
      </c>
      <c r="C77" t="s">
        <v>74</v>
      </c>
      <c r="D77" t="s">
        <v>74</v>
      </c>
      <c r="E77" t="s">
        <v>74</v>
      </c>
      <c r="F77" t="s">
        <v>1461</v>
      </c>
      <c r="G77" t="s">
        <v>74</v>
      </c>
      <c r="H77" t="s">
        <v>74</v>
      </c>
      <c r="I77" t="s">
        <v>1462</v>
      </c>
      <c r="J77" t="s">
        <v>1463</v>
      </c>
      <c r="K77" t="s">
        <v>74</v>
      </c>
      <c r="L77" t="s">
        <v>74</v>
      </c>
      <c r="M77" t="s">
        <v>77</v>
      </c>
      <c r="N77" t="s">
        <v>78</v>
      </c>
      <c r="O77" t="s">
        <v>74</v>
      </c>
      <c r="P77" t="s">
        <v>74</v>
      </c>
      <c r="Q77" t="s">
        <v>74</v>
      </c>
      <c r="R77" t="s">
        <v>74</v>
      </c>
      <c r="S77" t="s">
        <v>74</v>
      </c>
      <c r="T77" t="s">
        <v>1464</v>
      </c>
      <c r="U77" t="s">
        <v>1465</v>
      </c>
      <c r="V77" t="s">
        <v>1466</v>
      </c>
      <c r="W77" t="s">
        <v>1467</v>
      </c>
      <c r="X77" t="s">
        <v>1468</v>
      </c>
      <c r="Y77" t="s">
        <v>1469</v>
      </c>
      <c r="Z77" t="s">
        <v>1470</v>
      </c>
      <c r="AA77" t="s">
        <v>74</v>
      </c>
      <c r="AB77" t="s">
        <v>74</v>
      </c>
      <c r="AC77" t="s">
        <v>74</v>
      </c>
      <c r="AD77" t="s">
        <v>74</v>
      </c>
      <c r="AE77" t="s">
        <v>74</v>
      </c>
      <c r="AF77" t="s">
        <v>74</v>
      </c>
      <c r="AG77">
        <v>87</v>
      </c>
      <c r="AH77">
        <v>99</v>
      </c>
      <c r="AI77">
        <v>107</v>
      </c>
      <c r="AJ77">
        <v>18</v>
      </c>
      <c r="AK77">
        <v>213</v>
      </c>
      <c r="AL77" t="s">
        <v>1471</v>
      </c>
      <c r="AM77" t="s">
        <v>1472</v>
      </c>
      <c r="AN77" t="s">
        <v>1473</v>
      </c>
      <c r="AO77" t="s">
        <v>1474</v>
      </c>
      <c r="AP77" t="s">
        <v>1475</v>
      </c>
      <c r="AQ77" t="s">
        <v>74</v>
      </c>
      <c r="AR77" t="s">
        <v>1476</v>
      </c>
      <c r="AS77" t="s">
        <v>1477</v>
      </c>
      <c r="AT77" t="s">
        <v>74</v>
      </c>
      <c r="AU77">
        <v>2010</v>
      </c>
      <c r="AV77">
        <v>52</v>
      </c>
      <c r="AW77" t="s">
        <v>1478</v>
      </c>
      <c r="AX77" t="s">
        <v>74</v>
      </c>
      <c r="AY77" t="s">
        <v>74</v>
      </c>
      <c r="AZ77" t="s">
        <v>74</v>
      </c>
      <c r="BA77" t="s">
        <v>74</v>
      </c>
      <c r="BB77">
        <v>322</v>
      </c>
      <c r="BC77">
        <v>343</v>
      </c>
      <c r="BD77" t="s">
        <v>74</v>
      </c>
      <c r="BE77" t="s">
        <v>1479</v>
      </c>
      <c r="BF77" t="str">
        <f>HYPERLINK("http://dx.doi.org/10.1504/IJTM.2010.035979","http://dx.doi.org/10.1504/IJTM.2010.035979")</f>
        <v>http://dx.doi.org/10.1504/IJTM.2010.035979</v>
      </c>
      <c r="BG77" t="s">
        <v>74</v>
      </c>
      <c r="BH77" t="s">
        <v>74</v>
      </c>
      <c r="BI77">
        <v>22</v>
      </c>
      <c r="BJ77" t="s">
        <v>1480</v>
      </c>
      <c r="BK77" t="s">
        <v>147</v>
      </c>
      <c r="BL77" t="s">
        <v>1481</v>
      </c>
      <c r="BM77" t="s">
        <v>1482</v>
      </c>
      <c r="BN77" t="s">
        <v>74</v>
      </c>
      <c r="BO77" t="s">
        <v>74</v>
      </c>
      <c r="BP77" t="s">
        <v>74</v>
      </c>
      <c r="BQ77" t="s">
        <v>74</v>
      </c>
      <c r="BR77" t="s">
        <v>97</v>
      </c>
      <c r="BS77" t="s">
        <v>1483</v>
      </c>
      <c r="BT77" t="str">
        <f>HYPERLINK("https%3A%2F%2Fwww.webofscience.com%2Fwos%2Fwoscc%2Ffull-record%2FWOS:000285093900006","View Full Record in Web of Science")</f>
        <v>View Full Record in Web of Science</v>
      </c>
    </row>
    <row r="78" spans="1:72" x14ac:dyDescent="0.25">
      <c r="A78" t="s">
        <v>72</v>
      </c>
      <c r="B78" t="s">
        <v>1484</v>
      </c>
      <c r="C78" t="s">
        <v>74</v>
      </c>
      <c r="D78" t="s">
        <v>74</v>
      </c>
      <c r="E78" t="s">
        <v>74</v>
      </c>
      <c r="F78" t="s">
        <v>1485</v>
      </c>
      <c r="G78" t="s">
        <v>74</v>
      </c>
      <c r="H78" t="s">
        <v>74</v>
      </c>
      <c r="I78" t="s">
        <v>1486</v>
      </c>
      <c r="J78" t="s">
        <v>1186</v>
      </c>
      <c r="K78" t="s">
        <v>74</v>
      </c>
      <c r="L78" t="s">
        <v>74</v>
      </c>
      <c r="M78" t="s">
        <v>77</v>
      </c>
      <c r="N78" t="s">
        <v>78</v>
      </c>
      <c r="O78" t="s">
        <v>74</v>
      </c>
      <c r="P78" t="s">
        <v>74</v>
      </c>
      <c r="Q78" t="s">
        <v>74</v>
      </c>
      <c r="R78" t="s">
        <v>74</v>
      </c>
      <c r="S78" t="s">
        <v>74</v>
      </c>
      <c r="T78" t="s">
        <v>1487</v>
      </c>
      <c r="U78" t="s">
        <v>1488</v>
      </c>
      <c r="V78" t="s">
        <v>1489</v>
      </c>
      <c r="W78" t="s">
        <v>1490</v>
      </c>
      <c r="X78" t="s">
        <v>1491</v>
      </c>
      <c r="Y78" t="s">
        <v>1492</v>
      </c>
      <c r="Z78" t="s">
        <v>1493</v>
      </c>
      <c r="AA78" t="s">
        <v>1494</v>
      </c>
      <c r="AB78" t="s">
        <v>1495</v>
      </c>
      <c r="AC78" t="s">
        <v>1496</v>
      </c>
      <c r="AD78" t="s">
        <v>1497</v>
      </c>
      <c r="AE78" t="s">
        <v>74</v>
      </c>
      <c r="AF78" t="s">
        <v>74</v>
      </c>
      <c r="AG78">
        <v>62</v>
      </c>
      <c r="AH78">
        <v>98</v>
      </c>
      <c r="AI78">
        <v>99</v>
      </c>
      <c r="AJ78">
        <v>2</v>
      </c>
      <c r="AK78">
        <v>111</v>
      </c>
      <c r="AL78" t="s">
        <v>766</v>
      </c>
      <c r="AM78" t="s">
        <v>1193</v>
      </c>
      <c r="AN78" t="s">
        <v>1498</v>
      </c>
      <c r="AO78" t="s">
        <v>1195</v>
      </c>
      <c r="AP78" t="s">
        <v>1499</v>
      </c>
      <c r="AQ78" t="s">
        <v>74</v>
      </c>
      <c r="AR78" t="s">
        <v>1196</v>
      </c>
      <c r="AS78" t="s">
        <v>1197</v>
      </c>
      <c r="AT78" t="s">
        <v>200</v>
      </c>
      <c r="AU78">
        <v>2014</v>
      </c>
      <c r="AV78">
        <v>42</v>
      </c>
      <c r="AW78">
        <v>3</v>
      </c>
      <c r="AX78" t="s">
        <v>74</v>
      </c>
      <c r="AY78" t="s">
        <v>74</v>
      </c>
      <c r="AZ78" t="s">
        <v>860</v>
      </c>
      <c r="BA78" t="s">
        <v>74</v>
      </c>
      <c r="BB78">
        <v>485</v>
      </c>
      <c r="BC78">
        <v>505</v>
      </c>
      <c r="BD78" t="s">
        <v>74</v>
      </c>
      <c r="BE78" t="s">
        <v>1500</v>
      </c>
      <c r="BF78" t="str">
        <f>HYPERLINK("http://dx.doi.org/10.1007/s11187-013-9519-3","http://dx.doi.org/10.1007/s11187-013-9519-3")</f>
        <v>http://dx.doi.org/10.1007/s11187-013-9519-3</v>
      </c>
      <c r="BG78" t="s">
        <v>74</v>
      </c>
      <c r="BH78" t="s">
        <v>74</v>
      </c>
      <c r="BI78">
        <v>21</v>
      </c>
      <c r="BJ78" t="s">
        <v>1199</v>
      </c>
      <c r="BK78" t="s">
        <v>94</v>
      </c>
      <c r="BL78" t="s">
        <v>95</v>
      </c>
      <c r="BM78" t="s">
        <v>1501</v>
      </c>
      <c r="BN78" t="s">
        <v>74</v>
      </c>
      <c r="BO78" t="s">
        <v>378</v>
      </c>
      <c r="BP78" t="s">
        <v>74</v>
      </c>
      <c r="BQ78" t="s">
        <v>74</v>
      </c>
      <c r="BR78" t="s">
        <v>97</v>
      </c>
      <c r="BS78" t="s">
        <v>1502</v>
      </c>
      <c r="BT78" t="str">
        <f>HYPERLINK("https%3A%2F%2Fwww.webofscience.com%2Fwos%2Fwoscc%2Ffull-record%2FWOS:000331633800004","View Full Record in Web of Science")</f>
        <v>View Full Record in Web of Science</v>
      </c>
    </row>
    <row r="79" spans="1:72" x14ac:dyDescent="0.25">
      <c r="A79" t="s">
        <v>72</v>
      </c>
      <c r="B79" t="s">
        <v>1503</v>
      </c>
      <c r="C79" t="s">
        <v>74</v>
      </c>
      <c r="D79" t="s">
        <v>74</v>
      </c>
      <c r="E79" t="s">
        <v>74</v>
      </c>
      <c r="F79" t="s">
        <v>1503</v>
      </c>
      <c r="G79" t="s">
        <v>74</v>
      </c>
      <c r="H79" t="s">
        <v>74</v>
      </c>
      <c r="I79" t="s">
        <v>1504</v>
      </c>
      <c r="J79" t="s">
        <v>1505</v>
      </c>
      <c r="K79" t="s">
        <v>74</v>
      </c>
      <c r="L79" t="s">
        <v>74</v>
      </c>
      <c r="M79" t="s">
        <v>77</v>
      </c>
      <c r="N79" t="s">
        <v>78</v>
      </c>
      <c r="O79" t="s">
        <v>74</v>
      </c>
      <c r="P79" t="s">
        <v>74</v>
      </c>
      <c r="Q79" t="s">
        <v>74</v>
      </c>
      <c r="R79" t="s">
        <v>74</v>
      </c>
      <c r="S79" t="s">
        <v>74</v>
      </c>
      <c r="T79" t="s">
        <v>74</v>
      </c>
      <c r="U79" t="s">
        <v>1506</v>
      </c>
      <c r="V79" t="s">
        <v>1507</v>
      </c>
      <c r="W79" t="s">
        <v>1508</v>
      </c>
      <c r="X79" t="s">
        <v>1509</v>
      </c>
      <c r="Y79" t="s">
        <v>1510</v>
      </c>
      <c r="Z79" t="s">
        <v>1511</v>
      </c>
      <c r="AA79" t="s">
        <v>1512</v>
      </c>
      <c r="AB79" t="s">
        <v>74</v>
      </c>
      <c r="AC79" t="s">
        <v>74</v>
      </c>
      <c r="AD79" t="s">
        <v>74</v>
      </c>
      <c r="AE79" t="s">
        <v>74</v>
      </c>
      <c r="AF79" t="s">
        <v>74</v>
      </c>
      <c r="AG79">
        <v>54</v>
      </c>
      <c r="AH79">
        <v>98</v>
      </c>
      <c r="AI79">
        <v>100</v>
      </c>
      <c r="AJ79">
        <v>2</v>
      </c>
      <c r="AK79">
        <v>27</v>
      </c>
      <c r="AL79" t="s">
        <v>218</v>
      </c>
      <c r="AM79" t="s">
        <v>219</v>
      </c>
      <c r="AN79" t="s">
        <v>220</v>
      </c>
      <c r="AO79" t="s">
        <v>1513</v>
      </c>
      <c r="AP79" t="s">
        <v>1514</v>
      </c>
      <c r="AQ79" t="s">
        <v>74</v>
      </c>
      <c r="AR79" t="s">
        <v>1515</v>
      </c>
      <c r="AS79" t="s">
        <v>1516</v>
      </c>
      <c r="AT79" t="s">
        <v>122</v>
      </c>
      <c r="AU79">
        <v>2006</v>
      </c>
      <c r="AV79">
        <v>74</v>
      </c>
      <c r="AW79">
        <v>2</v>
      </c>
      <c r="AX79" t="s">
        <v>74</v>
      </c>
      <c r="AY79" t="s">
        <v>74</v>
      </c>
      <c r="AZ79" t="s">
        <v>74</v>
      </c>
      <c r="BA79" t="s">
        <v>74</v>
      </c>
      <c r="BB79">
        <v>575</v>
      </c>
      <c r="BC79">
        <v>597</v>
      </c>
      <c r="BD79" t="s">
        <v>74</v>
      </c>
      <c r="BE79" t="s">
        <v>1517</v>
      </c>
      <c r="BF79" t="str">
        <f>HYPERLINK("http://dx.doi.org/10.1111/j.1467-6494.2006.00385.x","http://dx.doi.org/10.1111/j.1467-6494.2006.00385.x")</f>
        <v>http://dx.doi.org/10.1111/j.1467-6494.2006.00385.x</v>
      </c>
      <c r="BG79" t="s">
        <v>74</v>
      </c>
      <c r="BH79" t="s">
        <v>74</v>
      </c>
      <c r="BI79">
        <v>23</v>
      </c>
      <c r="BJ79" t="s">
        <v>459</v>
      </c>
      <c r="BK79" t="s">
        <v>94</v>
      </c>
      <c r="BL79" t="s">
        <v>460</v>
      </c>
      <c r="BM79" t="s">
        <v>1518</v>
      </c>
      <c r="BN79">
        <v>16529587</v>
      </c>
      <c r="BO79" t="s">
        <v>74</v>
      </c>
      <c r="BP79" t="s">
        <v>74</v>
      </c>
      <c r="BQ79" t="s">
        <v>74</v>
      </c>
      <c r="BR79" t="s">
        <v>97</v>
      </c>
      <c r="BS79" t="s">
        <v>1519</v>
      </c>
      <c r="BT79" t="str">
        <f>HYPERLINK("https%3A%2F%2Fwww.webofscience.com%2Fwos%2Fwoscc%2Ffull-record%2FWOS:000235867900009","View Full Record in Web of Science")</f>
        <v>View Full Record in Web of Science</v>
      </c>
    </row>
    <row r="80" spans="1:72" x14ac:dyDescent="0.25">
      <c r="A80" t="s">
        <v>72</v>
      </c>
      <c r="B80" t="s">
        <v>1520</v>
      </c>
      <c r="C80" t="s">
        <v>74</v>
      </c>
      <c r="D80" t="s">
        <v>74</v>
      </c>
      <c r="E80" t="s">
        <v>74</v>
      </c>
      <c r="F80" t="s">
        <v>1521</v>
      </c>
      <c r="G80" t="s">
        <v>74</v>
      </c>
      <c r="H80" t="s">
        <v>74</v>
      </c>
      <c r="I80" t="s">
        <v>1522</v>
      </c>
      <c r="J80" t="s">
        <v>1523</v>
      </c>
      <c r="K80" t="s">
        <v>74</v>
      </c>
      <c r="L80" t="s">
        <v>74</v>
      </c>
      <c r="M80" t="s">
        <v>77</v>
      </c>
      <c r="N80" t="s">
        <v>78</v>
      </c>
      <c r="O80" t="s">
        <v>74</v>
      </c>
      <c r="P80" t="s">
        <v>74</v>
      </c>
      <c r="Q80" t="s">
        <v>74</v>
      </c>
      <c r="R80" t="s">
        <v>74</v>
      </c>
      <c r="S80" t="s">
        <v>74</v>
      </c>
      <c r="T80" t="s">
        <v>1524</v>
      </c>
      <c r="U80" t="s">
        <v>1525</v>
      </c>
      <c r="V80" t="s">
        <v>1526</v>
      </c>
      <c r="W80" t="s">
        <v>1527</v>
      </c>
      <c r="X80" t="s">
        <v>1528</v>
      </c>
      <c r="Y80" t="s">
        <v>1529</v>
      </c>
      <c r="Z80" t="s">
        <v>1530</v>
      </c>
      <c r="AA80" t="s">
        <v>1531</v>
      </c>
      <c r="AB80" t="s">
        <v>1532</v>
      </c>
      <c r="AC80" t="s">
        <v>74</v>
      </c>
      <c r="AD80" t="s">
        <v>74</v>
      </c>
      <c r="AE80" t="s">
        <v>74</v>
      </c>
      <c r="AF80" t="s">
        <v>74</v>
      </c>
      <c r="AG80">
        <v>127</v>
      </c>
      <c r="AH80">
        <v>97</v>
      </c>
      <c r="AI80">
        <v>98</v>
      </c>
      <c r="AJ80">
        <v>29</v>
      </c>
      <c r="AK80">
        <v>222</v>
      </c>
      <c r="AL80" t="s">
        <v>1533</v>
      </c>
      <c r="AM80" t="s">
        <v>1534</v>
      </c>
      <c r="AN80" t="s">
        <v>1535</v>
      </c>
      <c r="AO80" t="s">
        <v>1536</v>
      </c>
      <c r="AP80" t="s">
        <v>1537</v>
      </c>
      <c r="AQ80" t="s">
        <v>74</v>
      </c>
      <c r="AR80" t="s">
        <v>1538</v>
      </c>
      <c r="AS80" t="s">
        <v>1539</v>
      </c>
      <c r="AT80" t="s">
        <v>375</v>
      </c>
      <c r="AU80">
        <v>2020</v>
      </c>
      <c r="AV80">
        <v>14</v>
      </c>
      <c r="AW80">
        <v>6</v>
      </c>
      <c r="AX80" t="s">
        <v>74</v>
      </c>
      <c r="AY80" t="s">
        <v>74</v>
      </c>
      <c r="AZ80" t="s">
        <v>74</v>
      </c>
      <c r="BA80" t="s">
        <v>74</v>
      </c>
      <c r="BB80">
        <v>1405</v>
      </c>
      <c r="BC80">
        <v>1432</v>
      </c>
      <c r="BD80" t="s">
        <v>74</v>
      </c>
      <c r="BE80" t="s">
        <v>1540</v>
      </c>
      <c r="BF80" t="str">
        <f>HYPERLINK("http://dx.doi.org/10.1007/s11846-019-00340-9","http://dx.doi.org/10.1007/s11846-019-00340-9")</f>
        <v>http://dx.doi.org/10.1007/s11846-019-00340-9</v>
      </c>
      <c r="BG80" t="s">
        <v>74</v>
      </c>
      <c r="BH80" t="s">
        <v>74</v>
      </c>
      <c r="BI80">
        <v>28</v>
      </c>
      <c r="BJ80" t="s">
        <v>442</v>
      </c>
      <c r="BK80" t="s">
        <v>94</v>
      </c>
      <c r="BL80" t="s">
        <v>95</v>
      </c>
      <c r="BM80" t="s">
        <v>1541</v>
      </c>
      <c r="BN80" t="s">
        <v>74</v>
      </c>
      <c r="BO80" t="s">
        <v>74</v>
      </c>
      <c r="BP80" t="s">
        <v>74</v>
      </c>
      <c r="BQ80" t="s">
        <v>74</v>
      </c>
      <c r="BR80" t="s">
        <v>97</v>
      </c>
      <c r="BS80" t="s">
        <v>1542</v>
      </c>
      <c r="BT80" t="str">
        <f>HYPERLINK("https%3A%2F%2Fwww.webofscience.com%2Fwos%2Fwoscc%2Ffull-record%2FWOS:000589044500008","View Full Record in Web of Science")</f>
        <v>View Full Record in Web of Science</v>
      </c>
    </row>
    <row r="81" spans="1:72" x14ac:dyDescent="0.25">
      <c r="A81" t="s">
        <v>72</v>
      </c>
      <c r="B81" t="s">
        <v>1543</v>
      </c>
      <c r="C81" t="s">
        <v>74</v>
      </c>
      <c r="D81" t="s">
        <v>74</v>
      </c>
      <c r="E81" t="s">
        <v>74</v>
      </c>
      <c r="F81" t="s">
        <v>1544</v>
      </c>
      <c r="G81" t="s">
        <v>74</v>
      </c>
      <c r="H81" t="s">
        <v>74</v>
      </c>
      <c r="I81" t="s">
        <v>1545</v>
      </c>
      <c r="J81" t="s">
        <v>1546</v>
      </c>
      <c r="K81" t="s">
        <v>74</v>
      </c>
      <c r="L81" t="s">
        <v>74</v>
      </c>
      <c r="M81" t="s">
        <v>77</v>
      </c>
      <c r="N81" t="s">
        <v>78</v>
      </c>
      <c r="O81" t="s">
        <v>74</v>
      </c>
      <c r="P81" t="s">
        <v>74</v>
      </c>
      <c r="Q81" t="s">
        <v>74</v>
      </c>
      <c r="R81" t="s">
        <v>74</v>
      </c>
      <c r="S81" t="s">
        <v>74</v>
      </c>
      <c r="T81" t="s">
        <v>74</v>
      </c>
      <c r="U81" t="s">
        <v>1547</v>
      </c>
      <c r="V81" t="s">
        <v>1548</v>
      </c>
      <c r="W81" t="s">
        <v>1549</v>
      </c>
      <c r="X81" t="s">
        <v>1550</v>
      </c>
      <c r="Y81" t="s">
        <v>1551</v>
      </c>
      <c r="Z81" t="s">
        <v>1552</v>
      </c>
      <c r="AA81" t="s">
        <v>1553</v>
      </c>
      <c r="AB81" t="s">
        <v>1554</v>
      </c>
      <c r="AC81" t="s">
        <v>1555</v>
      </c>
      <c r="AD81" t="s">
        <v>1556</v>
      </c>
      <c r="AE81" t="s">
        <v>1557</v>
      </c>
      <c r="AF81" t="s">
        <v>74</v>
      </c>
      <c r="AG81">
        <v>73</v>
      </c>
      <c r="AH81">
        <v>97</v>
      </c>
      <c r="AI81">
        <v>102</v>
      </c>
      <c r="AJ81">
        <v>44</v>
      </c>
      <c r="AK81">
        <v>230</v>
      </c>
      <c r="AL81" t="s">
        <v>218</v>
      </c>
      <c r="AM81" t="s">
        <v>219</v>
      </c>
      <c r="AN81" t="s">
        <v>220</v>
      </c>
      <c r="AO81" t="s">
        <v>1558</v>
      </c>
      <c r="AP81" t="s">
        <v>1559</v>
      </c>
      <c r="AQ81" t="s">
        <v>74</v>
      </c>
      <c r="AR81" t="s">
        <v>1560</v>
      </c>
      <c r="AS81" t="s">
        <v>1561</v>
      </c>
      <c r="AT81" t="s">
        <v>1562</v>
      </c>
      <c r="AU81">
        <v>2018</v>
      </c>
      <c r="AV81">
        <v>78</v>
      </c>
      <c r="AW81">
        <v>1</v>
      </c>
      <c r="AX81" t="s">
        <v>74</v>
      </c>
      <c r="AY81" t="s">
        <v>74</v>
      </c>
      <c r="AZ81" t="s">
        <v>74</v>
      </c>
      <c r="BA81" t="s">
        <v>74</v>
      </c>
      <c r="BB81">
        <v>71</v>
      </c>
      <c r="BC81">
        <v>81</v>
      </c>
      <c r="BD81" t="s">
        <v>74</v>
      </c>
      <c r="BE81" t="s">
        <v>1563</v>
      </c>
      <c r="BF81" t="str">
        <f>HYPERLINK("http://dx.doi.org/10.1111/puar.12839","http://dx.doi.org/10.1111/puar.12839")</f>
        <v>http://dx.doi.org/10.1111/puar.12839</v>
      </c>
      <c r="BG81" t="s">
        <v>74</v>
      </c>
      <c r="BH81" t="s">
        <v>74</v>
      </c>
      <c r="BI81">
        <v>11</v>
      </c>
      <c r="BJ81" t="s">
        <v>1564</v>
      </c>
      <c r="BK81" t="s">
        <v>94</v>
      </c>
      <c r="BL81" t="s">
        <v>1564</v>
      </c>
      <c r="BM81" t="s">
        <v>1565</v>
      </c>
      <c r="BN81" t="s">
        <v>74</v>
      </c>
      <c r="BO81" t="s">
        <v>1566</v>
      </c>
      <c r="BP81" t="s">
        <v>74</v>
      </c>
      <c r="BQ81" t="s">
        <v>74</v>
      </c>
      <c r="BR81" t="s">
        <v>97</v>
      </c>
      <c r="BS81" t="s">
        <v>1567</v>
      </c>
      <c r="BT81" t="str">
        <f>HYPERLINK("https%3A%2F%2Fwww.webofscience.com%2Fwos%2Fwoscc%2Ffull-record%2FWOS:000419941800007","View Full Record in Web of Science")</f>
        <v>View Full Record in Web of Science</v>
      </c>
    </row>
    <row r="82" spans="1:72" x14ac:dyDescent="0.25">
      <c r="A82" t="s">
        <v>72</v>
      </c>
      <c r="B82" t="s">
        <v>1568</v>
      </c>
      <c r="C82" t="s">
        <v>74</v>
      </c>
      <c r="D82" t="s">
        <v>74</v>
      </c>
      <c r="E82" t="s">
        <v>74</v>
      </c>
      <c r="F82" t="s">
        <v>1569</v>
      </c>
      <c r="G82" t="s">
        <v>74</v>
      </c>
      <c r="H82" t="s">
        <v>74</v>
      </c>
      <c r="I82" t="s">
        <v>1570</v>
      </c>
      <c r="J82" t="s">
        <v>186</v>
      </c>
      <c r="K82" t="s">
        <v>74</v>
      </c>
      <c r="L82" t="s">
        <v>74</v>
      </c>
      <c r="M82" t="s">
        <v>77</v>
      </c>
      <c r="N82" t="s">
        <v>78</v>
      </c>
      <c r="O82" t="s">
        <v>74</v>
      </c>
      <c r="P82" t="s">
        <v>74</v>
      </c>
      <c r="Q82" t="s">
        <v>74</v>
      </c>
      <c r="R82" t="s">
        <v>74</v>
      </c>
      <c r="S82" t="s">
        <v>74</v>
      </c>
      <c r="T82" t="s">
        <v>1571</v>
      </c>
      <c r="U82" t="s">
        <v>1572</v>
      </c>
      <c r="V82" t="s">
        <v>1573</v>
      </c>
      <c r="W82" t="s">
        <v>1574</v>
      </c>
      <c r="X82" t="s">
        <v>1575</v>
      </c>
      <c r="Y82" t="s">
        <v>1576</v>
      </c>
      <c r="Z82" t="s">
        <v>1577</v>
      </c>
      <c r="AA82" t="s">
        <v>1578</v>
      </c>
      <c r="AB82" t="s">
        <v>1579</v>
      </c>
      <c r="AC82" t="s">
        <v>74</v>
      </c>
      <c r="AD82" t="s">
        <v>74</v>
      </c>
      <c r="AE82" t="s">
        <v>74</v>
      </c>
      <c r="AF82" t="s">
        <v>74</v>
      </c>
      <c r="AG82">
        <v>114</v>
      </c>
      <c r="AH82">
        <v>96</v>
      </c>
      <c r="AI82">
        <v>100</v>
      </c>
      <c r="AJ82">
        <v>10</v>
      </c>
      <c r="AK82">
        <v>258</v>
      </c>
      <c r="AL82" t="s">
        <v>194</v>
      </c>
      <c r="AM82" t="s">
        <v>195</v>
      </c>
      <c r="AN82" t="s">
        <v>196</v>
      </c>
      <c r="AO82" t="s">
        <v>197</v>
      </c>
      <c r="AP82" t="s">
        <v>939</v>
      </c>
      <c r="AQ82" t="s">
        <v>74</v>
      </c>
      <c r="AR82" t="s">
        <v>198</v>
      </c>
      <c r="AS82" t="s">
        <v>199</v>
      </c>
      <c r="AT82" t="s">
        <v>496</v>
      </c>
      <c r="AU82">
        <v>2015</v>
      </c>
      <c r="AV82">
        <v>100</v>
      </c>
      <c r="AW82">
        <v>5</v>
      </c>
      <c r="AX82" t="s">
        <v>74</v>
      </c>
      <c r="AY82" t="s">
        <v>74</v>
      </c>
      <c r="AZ82" t="s">
        <v>74</v>
      </c>
      <c r="BA82" t="s">
        <v>74</v>
      </c>
      <c r="BB82">
        <v>1364</v>
      </c>
      <c r="BC82">
        <v>1380</v>
      </c>
      <c r="BD82" t="s">
        <v>74</v>
      </c>
      <c r="BE82" t="s">
        <v>1580</v>
      </c>
      <c r="BF82" t="str">
        <f>HYPERLINK("http://dx.doi.org/10.1037/a0038969","http://dx.doi.org/10.1037/a0038969")</f>
        <v>http://dx.doi.org/10.1037/a0038969</v>
      </c>
      <c r="BG82" t="s">
        <v>74</v>
      </c>
      <c r="BH82" t="s">
        <v>74</v>
      </c>
      <c r="BI82">
        <v>17</v>
      </c>
      <c r="BJ82" t="s">
        <v>202</v>
      </c>
      <c r="BK82" t="s">
        <v>94</v>
      </c>
      <c r="BL82" t="s">
        <v>203</v>
      </c>
      <c r="BM82" t="s">
        <v>1581</v>
      </c>
      <c r="BN82">
        <v>25774571</v>
      </c>
      <c r="BO82" t="s">
        <v>74</v>
      </c>
      <c r="BP82" t="s">
        <v>74</v>
      </c>
      <c r="BQ82" t="s">
        <v>74</v>
      </c>
      <c r="BR82" t="s">
        <v>97</v>
      </c>
      <c r="BS82" t="s">
        <v>1582</v>
      </c>
      <c r="BT82" t="str">
        <f>HYPERLINK("https%3A%2F%2Fwww.webofscience.com%2Fwos%2Fwoscc%2Ffull-record%2FWOS:000361042000004","View Full Record in Web of Science")</f>
        <v>View Full Record in Web of Science</v>
      </c>
    </row>
    <row r="83" spans="1:72" x14ac:dyDescent="0.25">
      <c r="A83" t="s">
        <v>72</v>
      </c>
      <c r="B83" t="s">
        <v>1583</v>
      </c>
      <c r="C83" t="s">
        <v>74</v>
      </c>
      <c r="D83" t="s">
        <v>74</v>
      </c>
      <c r="E83" t="s">
        <v>74</v>
      </c>
      <c r="F83" t="s">
        <v>1584</v>
      </c>
      <c r="G83" t="s">
        <v>74</v>
      </c>
      <c r="H83" t="s">
        <v>74</v>
      </c>
      <c r="I83" t="s">
        <v>1585</v>
      </c>
      <c r="J83" t="s">
        <v>424</v>
      </c>
      <c r="K83" t="s">
        <v>74</v>
      </c>
      <c r="L83" t="s">
        <v>74</v>
      </c>
      <c r="M83" t="s">
        <v>77</v>
      </c>
      <c r="N83" t="s">
        <v>78</v>
      </c>
      <c r="O83" t="s">
        <v>74</v>
      </c>
      <c r="P83" t="s">
        <v>74</v>
      </c>
      <c r="Q83" t="s">
        <v>74</v>
      </c>
      <c r="R83" t="s">
        <v>74</v>
      </c>
      <c r="S83" t="s">
        <v>74</v>
      </c>
      <c r="T83" t="s">
        <v>1586</v>
      </c>
      <c r="U83" t="s">
        <v>1587</v>
      </c>
      <c r="V83" t="s">
        <v>1588</v>
      </c>
      <c r="W83" t="s">
        <v>1589</v>
      </c>
      <c r="X83" t="s">
        <v>1590</v>
      </c>
      <c r="Y83" t="s">
        <v>1591</v>
      </c>
      <c r="Z83" t="s">
        <v>1592</v>
      </c>
      <c r="AA83" t="s">
        <v>74</v>
      </c>
      <c r="AB83" t="s">
        <v>1593</v>
      </c>
      <c r="AC83" t="s">
        <v>74</v>
      </c>
      <c r="AD83" t="s">
        <v>74</v>
      </c>
      <c r="AE83" t="s">
        <v>74</v>
      </c>
      <c r="AF83" t="s">
        <v>74</v>
      </c>
      <c r="AG83">
        <v>64</v>
      </c>
      <c r="AH83">
        <v>95</v>
      </c>
      <c r="AI83">
        <v>104</v>
      </c>
      <c r="AJ83">
        <v>17</v>
      </c>
      <c r="AK83">
        <v>122</v>
      </c>
      <c r="AL83" t="s">
        <v>434</v>
      </c>
      <c r="AM83" t="s">
        <v>435</v>
      </c>
      <c r="AN83" t="s">
        <v>436</v>
      </c>
      <c r="AO83" t="s">
        <v>437</v>
      </c>
      <c r="AP83" t="s">
        <v>438</v>
      </c>
      <c r="AQ83" t="s">
        <v>74</v>
      </c>
      <c r="AR83" t="s">
        <v>439</v>
      </c>
      <c r="AS83" t="s">
        <v>440</v>
      </c>
      <c r="AT83" t="s">
        <v>375</v>
      </c>
      <c r="AU83">
        <v>2015</v>
      </c>
      <c r="AV83">
        <v>44</v>
      </c>
      <c r="AW83">
        <v>10</v>
      </c>
      <c r="AX83" t="s">
        <v>74</v>
      </c>
      <c r="AY83" t="s">
        <v>74</v>
      </c>
      <c r="AZ83" t="s">
        <v>74</v>
      </c>
      <c r="BA83" t="s">
        <v>74</v>
      </c>
      <c r="BB83">
        <v>1887</v>
      </c>
      <c r="BC83">
        <v>1901</v>
      </c>
      <c r="BD83" t="s">
        <v>74</v>
      </c>
      <c r="BE83" t="s">
        <v>1594</v>
      </c>
      <c r="BF83" t="str">
        <f>HYPERLINK("http://dx.doi.org/10.1016/j.respol.2015.06.001","http://dx.doi.org/10.1016/j.respol.2015.06.001")</f>
        <v>http://dx.doi.org/10.1016/j.respol.2015.06.001</v>
      </c>
      <c r="BG83" t="s">
        <v>74</v>
      </c>
      <c r="BH83" t="s">
        <v>74</v>
      </c>
      <c r="BI83">
        <v>15</v>
      </c>
      <c r="BJ83" t="s">
        <v>442</v>
      </c>
      <c r="BK83" t="s">
        <v>94</v>
      </c>
      <c r="BL83" t="s">
        <v>95</v>
      </c>
      <c r="BM83" t="s">
        <v>1595</v>
      </c>
      <c r="BN83" t="s">
        <v>74</v>
      </c>
      <c r="BO83" t="s">
        <v>111</v>
      </c>
      <c r="BP83" t="s">
        <v>74</v>
      </c>
      <c r="BQ83" t="s">
        <v>74</v>
      </c>
      <c r="BR83" t="s">
        <v>97</v>
      </c>
      <c r="BS83" t="s">
        <v>1596</v>
      </c>
      <c r="BT83" t="str">
        <f>HYPERLINK("https%3A%2F%2Fwww.webofscience.com%2Fwos%2Fwoscc%2Ffull-record%2FWOS:000364620700008","View Full Record in Web of Science")</f>
        <v>View Full Record in Web of Science</v>
      </c>
    </row>
    <row r="84" spans="1:72" x14ac:dyDescent="0.25">
      <c r="A84" t="s">
        <v>72</v>
      </c>
      <c r="B84" t="s">
        <v>1597</v>
      </c>
      <c r="C84" t="s">
        <v>74</v>
      </c>
      <c r="D84" t="s">
        <v>74</v>
      </c>
      <c r="E84" t="s">
        <v>74</v>
      </c>
      <c r="F84" t="s">
        <v>1598</v>
      </c>
      <c r="G84" t="s">
        <v>74</v>
      </c>
      <c r="H84" t="s">
        <v>74</v>
      </c>
      <c r="I84" t="s">
        <v>1599</v>
      </c>
      <c r="J84" t="s">
        <v>1600</v>
      </c>
      <c r="K84" t="s">
        <v>74</v>
      </c>
      <c r="L84" t="s">
        <v>74</v>
      </c>
      <c r="M84" t="s">
        <v>77</v>
      </c>
      <c r="N84" t="s">
        <v>78</v>
      </c>
      <c r="O84" t="s">
        <v>74</v>
      </c>
      <c r="P84" t="s">
        <v>74</v>
      </c>
      <c r="Q84" t="s">
        <v>74</v>
      </c>
      <c r="R84" t="s">
        <v>74</v>
      </c>
      <c r="S84" t="s">
        <v>74</v>
      </c>
      <c r="T84" t="s">
        <v>1601</v>
      </c>
      <c r="U84" t="s">
        <v>1602</v>
      </c>
      <c r="V84" t="s">
        <v>1603</v>
      </c>
      <c r="W84" t="s">
        <v>1604</v>
      </c>
      <c r="X84" t="s">
        <v>1605</v>
      </c>
      <c r="Y84" t="s">
        <v>1606</v>
      </c>
      <c r="Z84" t="s">
        <v>1607</v>
      </c>
      <c r="AA84" t="s">
        <v>1608</v>
      </c>
      <c r="AB84" t="s">
        <v>1609</v>
      </c>
      <c r="AC84" t="s">
        <v>74</v>
      </c>
      <c r="AD84" t="s">
        <v>74</v>
      </c>
      <c r="AE84" t="s">
        <v>74</v>
      </c>
      <c r="AF84" t="s">
        <v>74</v>
      </c>
      <c r="AG84">
        <v>68</v>
      </c>
      <c r="AH84">
        <v>94</v>
      </c>
      <c r="AI84">
        <v>95</v>
      </c>
      <c r="AJ84">
        <v>4</v>
      </c>
      <c r="AK84">
        <v>131</v>
      </c>
      <c r="AL84" t="s">
        <v>1099</v>
      </c>
      <c r="AM84" t="s">
        <v>305</v>
      </c>
      <c r="AN84" t="s">
        <v>1100</v>
      </c>
      <c r="AO84" t="s">
        <v>1610</v>
      </c>
      <c r="AP84" t="s">
        <v>1611</v>
      </c>
      <c r="AQ84" t="s">
        <v>74</v>
      </c>
      <c r="AR84" t="s">
        <v>1612</v>
      </c>
      <c r="AS84" t="s">
        <v>1613</v>
      </c>
      <c r="AT84" t="s">
        <v>1614</v>
      </c>
      <c r="AU84">
        <v>2013</v>
      </c>
      <c r="AV84">
        <v>24</v>
      </c>
      <c r="AW84">
        <v>16</v>
      </c>
      <c r="AX84" t="s">
        <v>74</v>
      </c>
      <c r="AY84" t="s">
        <v>74</v>
      </c>
      <c r="AZ84" t="s">
        <v>860</v>
      </c>
      <c r="BA84" t="s">
        <v>74</v>
      </c>
      <c r="BB84">
        <v>3163</v>
      </c>
      <c r="BC84">
        <v>3177</v>
      </c>
      <c r="BD84" t="s">
        <v>74</v>
      </c>
      <c r="BE84" t="s">
        <v>1615</v>
      </c>
      <c r="BF84" t="str">
        <f>HYPERLINK("http://dx.doi.org/10.1080/09585192.2013.775033","http://dx.doi.org/10.1080/09585192.2013.775033")</f>
        <v>http://dx.doi.org/10.1080/09585192.2013.775033</v>
      </c>
      <c r="BG84" t="s">
        <v>74</v>
      </c>
      <c r="BH84" t="s">
        <v>74</v>
      </c>
      <c r="BI84">
        <v>15</v>
      </c>
      <c r="BJ84" t="s">
        <v>442</v>
      </c>
      <c r="BK84" t="s">
        <v>94</v>
      </c>
      <c r="BL84" t="s">
        <v>95</v>
      </c>
      <c r="BM84" t="s">
        <v>1616</v>
      </c>
      <c r="BN84" t="s">
        <v>74</v>
      </c>
      <c r="BO84" t="s">
        <v>74</v>
      </c>
      <c r="BP84" t="s">
        <v>74</v>
      </c>
      <c r="BQ84" t="s">
        <v>74</v>
      </c>
      <c r="BR84" t="s">
        <v>97</v>
      </c>
      <c r="BS84" t="s">
        <v>1617</v>
      </c>
      <c r="BT84" t="str">
        <f>HYPERLINK("https%3A%2F%2Fwww.webofscience.com%2Fwos%2Fwoscc%2Ffull-record%2FWOS:000321609100008","View Full Record in Web of Science")</f>
        <v>View Full Record in Web of Science</v>
      </c>
    </row>
    <row r="85" spans="1:72" x14ac:dyDescent="0.25">
      <c r="A85" t="s">
        <v>72</v>
      </c>
      <c r="B85" t="s">
        <v>1618</v>
      </c>
      <c r="C85" t="s">
        <v>74</v>
      </c>
      <c r="D85" t="s">
        <v>74</v>
      </c>
      <c r="E85" t="s">
        <v>74</v>
      </c>
      <c r="F85" t="s">
        <v>1619</v>
      </c>
      <c r="G85" t="s">
        <v>74</v>
      </c>
      <c r="H85" t="s">
        <v>74</v>
      </c>
      <c r="I85" t="s">
        <v>1620</v>
      </c>
      <c r="J85" t="s">
        <v>209</v>
      </c>
      <c r="K85" t="s">
        <v>74</v>
      </c>
      <c r="L85" t="s">
        <v>74</v>
      </c>
      <c r="M85" t="s">
        <v>77</v>
      </c>
      <c r="N85" t="s">
        <v>78</v>
      </c>
      <c r="O85" t="s">
        <v>74</v>
      </c>
      <c r="P85" t="s">
        <v>74</v>
      </c>
      <c r="Q85" t="s">
        <v>74</v>
      </c>
      <c r="R85" t="s">
        <v>74</v>
      </c>
      <c r="S85" t="s">
        <v>74</v>
      </c>
      <c r="T85" t="s">
        <v>1621</v>
      </c>
      <c r="U85" t="s">
        <v>1622</v>
      </c>
      <c r="V85" t="s">
        <v>1623</v>
      </c>
      <c r="W85" t="s">
        <v>1624</v>
      </c>
      <c r="X85" t="s">
        <v>1625</v>
      </c>
      <c r="Y85" t="s">
        <v>1626</v>
      </c>
      <c r="Z85" t="s">
        <v>1627</v>
      </c>
      <c r="AA85" t="s">
        <v>74</v>
      </c>
      <c r="AB85" t="s">
        <v>74</v>
      </c>
      <c r="AC85" t="s">
        <v>1628</v>
      </c>
      <c r="AD85" t="s">
        <v>1153</v>
      </c>
      <c r="AE85" t="s">
        <v>1629</v>
      </c>
      <c r="AF85" t="s">
        <v>74</v>
      </c>
      <c r="AG85">
        <v>63</v>
      </c>
      <c r="AH85">
        <v>93</v>
      </c>
      <c r="AI85">
        <v>98</v>
      </c>
      <c r="AJ85">
        <v>21</v>
      </c>
      <c r="AK85">
        <v>185</v>
      </c>
      <c r="AL85" t="s">
        <v>218</v>
      </c>
      <c r="AM85" t="s">
        <v>219</v>
      </c>
      <c r="AN85" t="s">
        <v>220</v>
      </c>
      <c r="AO85" t="s">
        <v>221</v>
      </c>
      <c r="AP85" t="s">
        <v>222</v>
      </c>
      <c r="AQ85" t="s">
        <v>74</v>
      </c>
      <c r="AR85" t="s">
        <v>223</v>
      </c>
      <c r="AS85" t="s">
        <v>224</v>
      </c>
      <c r="AT85" t="s">
        <v>892</v>
      </c>
      <c r="AU85">
        <v>2017</v>
      </c>
      <c r="AV85">
        <v>38</v>
      </c>
      <c r="AW85">
        <v>1</v>
      </c>
      <c r="AX85" t="s">
        <v>74</v>
      </c>
      <c r="AY85" t="s">
        <v>74</v>
      </c>
      <c r="AZ85" t="s">
        <v>74</v>
      </c>
      <c r="BA85" t="s">
        <v>74</v>
      </c>
      <c r="BB85">
        <v>68</v>
      </c>
      <c r="BC85">
        <v>86</v>
      </c>
      <c r="BD85" t="s">
        <v>74</v>
      </c>
      <c r="BE85" t="s">
        <v>1630</v>
      </c>
      <c r="BF85" t="str">
        <f>HYPERLINK("http://dx.doi.org/10.1002/job.2111","http://dx.doi.org/10.1002/job.2111")</f>
        <v>http://dx.doi.org/10.1002/job.2111</v>
      </c>
      <c r="BG85" t="s">
        <v>74</v>
      </c>
      <c r="BH85" t="s">
        <v>74</v>
      </c>
      <c r="BI85">
        <v>19</v>
      </c>
      <c r="BJ85" t="s">
        <v>226</v>
      </c>
      <c r="BK85" t="s">
        <v>94</v>
      </c>
      <c r="BL85" t="s">
        <v>227</v>
      </c>
      <c r="BM85" t="s">
        <v>1631</v>
      </c>
      <c r="BN85" t="s">
        <v>74</v>
      </c>
      <c r="BO85" t="s">
        <v>74</v>
      </c>
      <c r="BP85" t="s">
        <v>74</v>
      </c>
      <c r="BQ85" t="s">
        <v>74</v>
      </c>
      <c r="BR85" t="s">
        <v>97</v>
      </c>
      <c r="BS85" t="s">
        <v>1632</v>
      </c>
      <c r="BT85" t="str">
        <f>HYPERLINK("https%3A%2F%2Fwww.webofscience.com%2Fwos%2Fwoscc%2Ffull-record%2FWOS:000392430000004","View Full Record in Web of Science")</f>
        <v>View Full Record in Web of Science</v>
      </c>
    </row>
    <row r="86" spans="1:72" x14ac:dyDescent="0.25">
      <c r="A86" t="s">
        <v>72</v>
      </c>
      <c r="B86" t="s">
        <v>1633</v>
      </c>
      <c r="C86" t="s">
        <v>74</v>
      </c>
      <c r="D86" t="s">
        <v>74</v>
      </c>
      <c r="E86" t="s">
        <v>74</v>
      </c>
      <c r="F86" t="s">
        <v>1634</v>
      </c>
      <c r="G86" t="s">
        <v>74</v>
      </c>
      <c r="H86" t="s">
        <v>74</v>
      </c>
      <c r="I86" t="s">
        <v>1635</v>
      </c>
      <c r="J86" t="s">
        <v>1636</v>
      </c>
      <c r="K86" t="s">
        <v>74</v>
      </c>
      <c r="L86" t="s">
        <v>74</v>
      </c>
      <c r="M86" t="s">
        <v>77</v>
      </c>
      <c r="N86" t="s">
        <v>78</v>
      </c>
      <c r="O86" t="s">
        <v>74</v>
      </c>
      <c r="P86" t="s">
        <v>74</v>
      </c>
      <c r="Q86" t="s">
        <v>74</v>
      </c>
      <c r="R86" t="s">
        <v>74</v>
      </c>
      <c r="S86" t="s">
        <v>74</v>
      </c>
      <c r="T86" t="s">
        <v>1637</v>
      </c>
      <c r="U86" t="s">
        <v>1638</v>
      </c>
      <c r="V86" t="s">
        <v>1639</v>
      </c>
      <c r="W86" t="s">
        <v>1640</v>
      </c>
      <c r="X86" t="s">
        <v>1641</v>
      </c>
      <c r="Y86" t="s">
        <v>1642</v>
      </c>
      <c r="Z86" t="s">
        <v>1643</v>
      </c>
      <c r="AA86" t="s">
        <v>1644</v>
      </c>
      <c r="AB86" t="s">
        <v>1645</v>
      </c>
      <c r="AC86" t="s">
        <v>74</v>
      </c>
      <c r="AD86" t="s">
        <v>74</v>
      </c>
      <c r="AE86" t="s">
        <v>74</v>
      </c>
      <c r="AF86" t="s">
        <v>74</v>
      </c>
      <c r="AG86">
        <v>126</v>
      </c>
      <c r="AH86">
        <v>91</v>
      </c>
      <c r="AI86">
        <v>95</v>
      </c>
      <c r="AJ86">
        <v>14</v>
      </c>
      <c r="AK86">
        <v>148</v>
      </c>
      <c r="AL86" t="s">
        <v>218</v>
      </c>
      <c r="AM86" t="s">
        <v>219</v>
      </c>
      <c r="AN86" t="s">
        <v>220</v>
      </c>
      <c r="AO86" t="s">
        <v>1646</v>
      </c>
      <c r="AP86" t="s">
        <v>1647</v>
      </c>
      <c r="AQ86" t="s">
        <v>74</v>
      </c>
      <c r="AR86" t="s">
        <v>1648</v>
      </c>
      <c r="AS86" t="s">
        <v>1649</v>
      </c>
      <c r="AT86" t="s">
        <v>375</v>
      </c>
      <c r="AU86">
        <v>2020</v>
      </c>
      <c r="AV86">
        <v>14</v>
      </c>
      <c r="AW86">
        <v>4</v>
      </c>
      <c r="AX86" t="s">
        <v>74</v>
      </c>
      <c r="AY86" t="s">
        <v>74</v>
      </c>
      <c r="AZ86" t="s">
        <v>74</v>
      </c>
      <c r="BA86" t="s">
        <v>74</v>
      </c>
      <c r="BB86">
        <v>639</v>
      </c>
      <c r="BC86">
        <v>660</v>
      </c>
      <c r="BD86" t="s">
        <v>74</v>
      </c>
      <c r="BE86" t="s">
        <v>1650</v>
      </c>
      <c r="BF86" t="str">
        <f>HYPERLINK("http://dx.doi.org/10.1002/sej.1344","http://dx.doi.org/10.1002/sej.1344")</f>
        <v>http://dx.doi.org/10.1002/sej.1344</v>
      </c>
      <c r="BG86" t="s">
        <v>74</v>
      </c>
      <c r="BH86" t="s">
        <v>1651</v>
      </c>
      <c r="BI86">
        <v>22</v>
      </c>
      <c r="BJ86" t="s">
        <v>93</v>
      </c>
      <c r="BK86" t="s">
        <v>94</v>
      </c>
      <c r="BL86" t="s">
        <v>95</v>
      </c>
      <c r="BM86" t="s">
        <v>1652</v>
      </c>
      <c r="BN86" t="s">
        <v>74</v>
      </c>
      <c r="BO86" t="s">
        <v>74</v>
      </c>
      <c r="BP86" t="s">
        <v>74</v>
      </c>
      <c r="BQ86" t="s">
        <v>74</v>
      </c>
      <c r="BR86" t="s">
        <v>97</v>
      </c>
      <c r="BS86" t="s">
        <v>1653</v>
      </c>
      <c r="BT86" t="str">
        <f>HYPERLINK("https%3A%2F%2Fwww.webofscience.com%2Fwos%2Fwoscc%2Ffull-record%2FWOS:000506870400001","View Full Record in Web of Science")</f>
        <v>View Full Record in Web of Science</v>
      </c>
    </row>
    <row r="87" spans="1:72" x14ac:dyDescent="0.25">
      <c r="A87" t="s">
        <v>72</v>
      </c>
      <c r="B87" t="s">
        <v>1654</v>
      </c>
      <c r="C87" t="s">
        <v>74</v>
      </c>
      <c r="D87" t="s">
        <v>74</v>
      </c>
      <c r="E87" t="s">
        <v>74</v>
      </c>
      <c r="F87" t="s">
        <v>1655</v>
      </c>
      <c r="G87" t="s">
        <v>74</v>
      </c>
      <c r="H87" t="s">
        <v>74</v>
      </c>
      <c r="I87" t="s">
        <v>1656</v>
      </c>
      <c r="J87" t="s">
        <v>485</v>
      </c>
      <c r="K87" t="s">
        <v>74</v>
      </c>
      <c r="L87" t="s">
        <v>74</v>
      </c>
      <c r="M87" t="s">
        <v>77</v>
      </c>
      <c r="N87" t="s">
        <v>319</v>
      </c>
      <c r="O87" t="s">
        <v>1657</v>
      </c>
      <c r="P87" t="s">
        <v>1658</v>
      </c>
      <c r="Q87" t="s">
        <v>1659</v>
      </c>
      <c r="R87" t="s">
        <v>1660</v>
      </c>
      <c r="S87" t="s">
        <v>74</v>
      </c>
      <c r="T87" t="s">
        <v>74</v>
      </c>
      <c r="U87" t="s">
        <v>1661</v>
      </c>
      <c r="V87" t="s">
        <v>1662</v>
      </c>
      <c r="W87" t="s">
        <v>1663</v>
      </c>
      <c r="X87" t="s">
        <v>1664</v>
      </c>
      <c r="Y87" t="s">
        <v>1665</v>
      </c>
      <c r="Z87" t="s">
        <v>1666</v>
      </c>
      <c r="AA87" t="s">
        <v>74</v>
      </c>
      <c r="AB87" t="s">
        <v>1667</v>
      </c>
      <c r="AC87" t="s">
        <v>74</v>
      </c>
      <c r="AD87" t="s">
        <v>74</v>
      </c>
      <c r="AE87" t="s">
        <v>74</v>
      </c>
      <c r="AF87" t="s">
        <v>74</v>
      </c>
      <c r="AG87">
        <v>75</v>
      </c>
      <c r="AH87">
        <v>91</v>
      </c>
      <c r="AI87">
        <v>95</v>
      </c>
      <c r="AJ87">
        <v>1</v>
      </c>
      <c r="AK87">
        <v>84</v>
      </c>
      <c r="AL87" t="s">
        <v>490</v>
      </c>
      <c r="AM87" t="s">
        <v>491</v>
      </c>
      <c r="AN87" t="s">
        <v>492</v>
      </c>
      <c r="AO87" t="s">
        <v>493</v>
      </c>
      <c r="AP87" t="s">
        <v>74</v>
      </c>
      <c r="AQ87" t="s">
        <v>74</v>
      </c>
      <c r="AR87" t="s">
        <v>494</v>
      </c>
      <c r="AS87" t="s">
        <v>495</v>
      </c>
      <c r="AT87" t="s">
        <v>496</v>
      </c>
      <c r="AU87">
        <v>2009</v>
      </c>
      <c r="AV87">
        <v>82</v>
      </c>
      <c r="AW87">
        <v>3</v>
      </c>
      <c r="AX87" t="s">
        <v>74</v>
      </c>
      <c r="AY87" t="s">
        <v>74</v>
      </c>
      <c r="AZ87" t="s">
        <v>74</v>
      </c>
      <c r="BA87" t="s">
        <v>74</v>
      </c>
      <c r="BB87">
        <v>465</v>
      </c>
      <c r="BC87">
        <v>489</v>
      </c>
      <c r="BD87" t="s">
        <v>74</v>
      </c>
      <c r="BE87" t="s">
        <v>1668</v>
      </c>
      <c r="BF87" t="str">
        <f>HYPERLINK("http://dx.doi.org/10.1348/096317908X371547","http://dx.doi.org/10.1348/096317908X371547")</f>
        <v>http://dx.doi.org/10.1348/096317908X371547</v>
      </c>
      <c r="BG87" t="s">
        <v>74</v>
      </c>
      <c r="BH87" t="s">
        <v>74</v>
      </c>
      <c r="BI87">
        <v>25</v>
      </c>
      <c r="BJ87" t="s">
        <v>202</v>
      </c>
      <c r="BK87" t="s">
        <v>338</v>
      </c>
      <c r="BL87" t="s">
        <v>203</v>
      </c>
      <c r="BM87" t="s">
        <v>1669</v>
      </c>
      <c r="BN87" t="s">
        <v>74</v>
      </c>
      <c r="BO87" t="s">
        <v>111</v>
      </c>
      <c r="BP87" t="s">
        <v>74</v>
      </c>
      <c r="BQ87" t="s">
        <v>74</v>
      </c>
      <c r="BR87" t="s">
        <v>97</v>
      </c>
      <c r="BS87" t="s">
        <v>1670</v>
      </c>
      <c r="BT87" t="str">
        <f>HYPERLINK("https%3A%2F%2Fwww.webofscience.com%2Fwos%2Fwoscc%2Ffull-record%2FWOS:000268947300001","View Full Record in Web of Science")</f>
        <v>View Full Record in Web of Science</v>
      </c>
    </row>
    <row r="88" spans="1:72" x14ac:dyDescent="0.25">
      <c r="A88" t="s">
        <v>72</v>
      </c>
      <c r="B88" t="s">
        <v>1671</v>
      </c>
      <c r="C88" t="s">
        <v>74</v>
      </c>
      <c r="D88" t="s">
        <v>74</v>
      </c>
      <c r="E88" t="s">
        <v>74</v>
      </c>
      <c r="F88" t="s">
        <v>1671</v>
      </c>
      <c r="G88" t="s">
        <v>74</v>
      </c>
      <c r="H88" t="s">
        <v>74</v>
      </c>
      <c r="I88" t="s">
        <v>1672</v>
      </c>
      <c r="J88" t="s">
        <v>1673</v>
      </c>
      <c r="K88" t="s">
        <v>74</v>
      </c>
      <c r="L88" t="s">
        <v>74</v>
      </c>
      <c r="M88" t="s">
        <v>77</v>
      </c>
      <c r="N88" t="s">
        <v>78</v>
      </c>
      <c r="O88" t="s">
        <v>74</v>
      </c>
      <c r="P88" t="s">
        <v>74</v>
      </c>
      <c r="Q88" t="s">
        <v>74</v>
      </c>
      <c r="R88" t="s">
        <v>74</v>
      </c>
      <c r="S88" t="s">
        <v>74</v>
      </c>
      <c r="T88" t="s">
        <v>1674</v>
      </c>
      <c r="U88" t="s">
        <v>1675</v>
      </c>
      <c r="V88" t="s">
        <v>1676</v>
      </c>
      <c r="W88" t="s">
        <v>1677</v>
      </c>
      <c r="X88" t="s">
        <v>1678</v>
      </c>
      <c r="Y88" t="s">
        <v>1679</v>
      </c>
      <c r="Z88" t="s">
        <v>74</v>
      </c>
      <c r="AA88" t="s">
        <v>1680</v>
      </c>
      <c r="AB88" t="s">
        <v>74</v>
      </c>
      <c r="AC88" t="s">
        <v>74</v>
      </c>
      <c r="AD88" t="s">
        <v>74</v>
      </c>
      <c r="AE88" t="s">
        <v>74</v>
      </c>
      <c r="AF88" t="s">
        <v>74</v>
      </c>
      <c r="AG88">
        <v>31</v>
      </c>
      <c r="AH88">
        <v>91</v>
      </c>
      <c r="AI88">
        <v>92</v>
      </c>
      <c r="AJ88">
        <v>3</v>
      </c>
      <c r="AK88">
        <v>33</v>
      </c>
      <c r="AL88" t="s">
        <v>665</v>
      </c>
      <c r="AM88" t="s">
        <v>666</v>
      </c>
      <c r="AN88" t="s">
        <v>667</v>
      </c>
      <c r="AO88" t="s">
        <v>1681</v>
      </c>
      <c r="AP88" t="s">
        <v>74</v>
      </c>
      <c r="AQ88" t="s">
        <v>74</v>
      </c>
      <c r="AR88" t="s">
        <v>1682</v>
      </c>
      <c r="AS88" t="s">
        <v>1683</v>
      </c>
      <c r="AT88" t="s">
        <v>74</v>
      </c>
      <c r="AU88">
        <v>2001</v>
      </c>
      <c r="AV88">
        <v>11</v>
      </c>
      <c r="AW88">
        <v>2</v>
      </c>
      <c r="AX88" t="s">
        <v>74</v>
      </c>
      <c r="AY88" t="s">
        <v>74</v>
      </c>
      <c r="AZ88" t="s">
        <v>74</v>
      </c>
      <c r="BA88" t="s">
        <v>74</v>
      </c>
      <c r="BB88">
        <v>149</v>
      </c>
      <c r="BC88">
        <v>158</v>
      </c>
      <c r="BD88" t="s">
        <v>74</v>
      </c>
      <c r="BE88" t="s">
        <v>1684</v>
      </c>
      <c r="BF88" t="str">
        <f>HYPERLINK("http://dx.doi.org/10.1108/10662240110695098","http://dx.doi.org/10.1108/10662240110695098")</f>
        <v>http://dx.doi.org/10.1108/10662240110695098</v>
      </c>
      <c r="BG88" t="s">
        <v>74</v>
      </c>
      <c r="BH88" t="s">
        <v>74</v>
      </c>
      <c r="BI88">
        <v>10</v>
      </c>
      <c r="BJ88" t="s">
        <v>1685</v>
      </c>
      <c r="BK88" t="s">
        <v>147</v>
      </c>
      <c r="BL88" t="s">
        <v>1686</v>
      </c>
      <c r="BM88" t="s">
        <v>1687</v>
      </c>
      <c r="BN88" t="s">
        <v>74</v>
      </c>
      <c r="BO88" t="s">
        <v>74</v>
      </c>
      <c r="BP88" t="s">
        <v>74</v>
      </c>
      <c r="BQ88" t="s">
        <v>74</v>
      </c>
      <c r="BR88" t="s">
        <v>97</v>
      </c>
      <c r="BS88" t="s">
        <v>1688</v>
      </c>
      <c r="BT88" t="str">
        <f>HYPERLINK("https%3A%2F%2Fwww.webofscience.com%2Fwos%2Fwoscc%2Ffull-record%2FWOS:000169006900006","View Full Record in Web of Science")</f>
        <v>View Full Record in Web of Science</v>
      </c>
    </row>
    <row r="89" spans="1:72" x14ac:dyDescent="0.25">
      <c r="A89" t="s">
        <v>72</v>
      </c>
      <c r="B89" t="s">
        <v>1689</v>
      </c>
      <c r="C89" t="s">
        <v>74</v>
      </c>
      <c r="D89" t="s">
        <v>74</v>
      </c>
      <c r="E89" t="s">
        <v>74</v>
      </c>
      <c r="F89" t="s">
        <v>1690</v>
      </c>
      <c r="G89" t="s">
        <v>74</v>
      </c>
      <c r="H89" t="s">
        <v>74</v>
      </c>
      <c r="I89" t="s">
        <v>1691</v>
      </c>
      <c r="J89" t="s">
        <v>1692</v>
      </c>
      <c r="K89" t="s">
        <v>74</v>
      </c>
      <c r="L89" t="s">
        <v>74</v>
      </c>
      <c r="M89" t="s">
        <v>77</v>
      </c>
      <c r="N89" t="s">
        <v>78</v>
      </c>
      <c r="O89" t="s">
        <v>74</v>
      </c>
      <c r="P89" t="s">
        <v>74</v>
      </c>
      <c r="Q89" t="s">
        <v>74</v>
      </c>
      <c r="R89" t="s">
        <v>74</v>
      </c>
      <c r="S89" t="s">
        <v>74</v>
      </c>
      <c r="T89" t="s">
        <v>74</v>
      </c>
      <c r="U89" t="s">
        <v>1693</v>
      </c>
      <c r="V89" t="s">
        <v>1694</v>
      </c>
      <c r="W89" t="s">
        <v>1695</v>
      </c>
      <c r="X89" t="s">
        <v>1696</v>
      </c>
      <c r="Y89" t="s">
        <v>1697</v>
      </c>
      <c r="Z89" t="s">
        <v>1698</v>
      </c>
      <c r="AA89" t="s">
        <v>1699</v>
      </c>
      <c r="AB89" t="s">
        <v>1700</v>
      </c>
      <c r="AC89" t="s">
        <v>74</v>
      </c>
      <c r="AD89" t="s">
        <v>74</v>
      </c>
      <c r="AE89" t="s">
        <v>74</v>
      </c>
      <c r="AF89" t="s">
        <v>74</v>
      </c>
      <c r="AG89">
        <v>32</v>
      </c>
      <c r="AH89">
        <v>90</v>
      </c>
      <c r="AI89">
        <v>93</v>
      </c>
      <c r="AJ89">
        <v>9</v>
      </c>
      <c r="AK89">
        <v>116</v>
      </c>
      <c r="AL89" t="s">
        <v>350</v>
      </c>
      <c r="AM89" t="s">
        <v>351</v>
      </c>
      <c r="AN89" t="s">
        <v>352</v>
      </c>
      <c r="AO89" t="s">
        <v>1701</v>
      </c>
      <c r="AP89" t="s">
        <v>1702</v>
      </c>
      <c r="AQ89" t="s">
        <v>74</v>
      </c>
      <c r="AR89" t="s">
        <v>1703</v>
      </c>
      <c r="AS89" t="s">
        <v>1704</v>
      </c>
      <c r="AT89" t="s">
        <v>792</v>
      </c>
      <c r="AU89">
        <v>2015</v>
      </c>
      <c r="AV89">
        <v>39</v>
      </c>
      <c r="AW89">
        <v>4</v>
      </c>
      <c r="AX89" t="s">
        <v>74</v>
      </c>
      <c r="AY89" t="s">
        <v>74</v>
      </c>
      <c r="AZ89" t="s">
        <v>74</v>
      </c>
      <c r="BA89" t="s">
        <v>74</v>
      </c>
      <c r="BB89">
        <v>981</v>
      </c>
      <c r="BC89">
        <v>995</v>
      </c>
      <c r="BD89" t="s">
        <v>74</v>
      </c>
      <c r="BE89" t="s">
        <v>1705</v>
      </c>
      <c r="BF89" t="str">
        <f>HYPERLINK("http://dx.doi.org/10.1111/etap.12084","http://dx.doi.org/10.1111/etap.12084")</f>
        <v>http://dx.doi.org/10.1111/etap.12084</v>
      </c>
      <c r="BG89" t="s">
        <v>74</v>
      </c>
      <c r="BH89" t="s">
        <v>74</v>
      </c>
      <c r="BI89">
        <v>15</v>
      </c>
      <c r="BJ89" t="s">
        <v>337</v>
      </c>
      <c r="BK89" t="s">
        <v>94</v>
      </c>
      <c r="BL89" t="s">
        <v>95</v>
      </c>
      <c r="BM89" t="s">
        <v>1706</v>
      </c>
      <c r="BN89" t="s">
        <v>74</v>
      </c>
      <c r="BO89" t="s">
        <v>718</v>
      </c>
      <c r="BP89" t="s">
        <v>74</v>
      </c>
      <c r="BQ89" t="s">
        <v>74</v>
      </c>
      <c r="BR89" t="s">
        <v>97</v>
      </c>
      <c r="BS89" t="s">
        <v>1707</v>
      </c>
      <c r="BT89" t="str">
        <f>HYPERLINK("https%3A%2F%2Fwww.webofscience.com%2Fwos%2Fwoscc%2Ffull-record%2FWOS:000357388800011","View Full Record in Web of Science")</f>
        <v>View Full Record in Web of Science</v>
      </c>
    </row>
    <row r="90" spans="1:72" x14ac:dyDescent="0.25">
      <c r="A90" t="s">
        <v>72</v>
      </c>
      <c r="B90" t="s">
        <v>1708</v>
      </c>
      <c r="C90" t="s">
        <v>74</v>
      </c>
      <c r="D90" t="s">
        <v>74</v>
      </c>
      <c r="E90" t="s">
        <v>74</v>
      </c>
      <c r="F90" t="s">
        <v>1709</v>
      </c>
      <c r="G90" t="s">
        <v>74</v>
      </c>
      <c r="H90" t="s">
        <v>74</v>
      </c>
      <c r="I90" t="s">
        <v>1710</v>
      </c>
      <c r="J90" t="s">
        <v>1090</v>
      </c>
      <c r="K90" t="s">
        <v>74</v>
      </c>
      <c r="L90" t="s">
        <v>74</v>
      </c>
      <c r="M90" t="s">
        <v>77</v>
      </c>
      <c r="N90" t="s">
        <v>78</v>
      </c>
      <c r="O90" t="s">
        <v>74</v>
      </c>
      <c r="P90" t="s">
        <v>74</v>
      </c>
      <c r="Q90" t="s">
        <v>74</v>
      </c>
      <c r="R90" t="s">
        <v>74</v>
      </c>
      <c r="S90" t="s">
        <v>74</v>
      </c>
      <c r="T90" t="s">
        <v>74</v>
      </c>
      <c r="U90" t="s">
        <v>1711</v>
      </c>
      <c r="V90" t="s">
        <v>1712</v>
      </c>
      <c r="W90" t="s">
        <v>1713</v>
      </c>
      <c r="X90" t="s">
        <v>1714</v>
      </c>
      <c r="Y90" t="s">
        <v>1715</v>
      </c>
      <c r="Z90" t="s">
        <v>1716</v>
      </c>
      <c r="AA90" t="s">
        <v>74</v>
      </c>
      <c r="AB90" t="s">
        <v>74</v>
      </c>
      <c r="AC90" t="s">
        <v>74</v>
      </c>
      <c r="AD90" t="s">
        <v>74</v>
      </c>
      <c r="AE90" t="s">
        <v>74</v>
      </c>
      <c r="AF90" t="s">
        <v>74</v>
      </c>
      <c r="AG90">
        <v>50</v>
      </c>
      <c r="AH90">
        <v>90</v>
      </c>
      <c r="AI90">
        <v>94</v>
      </c>
      <c r="AJ90">
        <v>9</v>
      </c>
      <c r="AK90">
        <v>175</v>
      </c>
      <c r="AL90" t="s">
        <v>1099</v>
      </c>
      <c r="AM90" t="s">
        <v>305</v>
      </c>
      <c r="AN90" t="s">
        <v>1100</v>
      </c>
      <c r="AO90" t="s">
        <v>1101</v>
      </c>
      <c r="AP90" t="s">
        <v>1102</v>
      </c>
      <c r="AQ90" t="s">
        <v>74</v>
      </c>
      <c r="AR90" t="s">
        <v>1103</v>
      </c>
      <c r="AS90" t="s">
        <v>1104</v>
      </c>
      <c r="AT90" t="s">
        <v>1717</v>
      </c>
      <c r="AU90">
        <v>2015</v>
      </c>
      <c r="AV90">
        <v>27</v>
      </c>
      <c r="AW90">
        <v>1</v>
      </c>
      <c r="AX90" t="s">
        <v>74</v>
      </c>
      <c r="AY90" t="s">
        <v>74</v>
      </c>
      <c r="AZ90" t="s">
        <v>74</v>
      </c>
      <c r="BA90" t="s">
        <v>74</v>
      </c>
      <c r="BB90">
        <v>16</v>
      </c>
      <c r="BC90">
        <v>23</v>
      </c>
      <c r="BD90" t="s">
        <v>74</v>
      </c>
      <c r="BE90" t="s">
        <v>1718</v>
      </c>
      <c r="BF90" t="str">
        <f>HYPERLINK("http://dx.doi.org/10.1080/10400419.2015.992659","http://dx.doi.org/10.1080/10400419.2015.992659")</f>
        <v>http://dx.doi.org/10.1080/10400419.2015.992659</v>
      </c>
      <c r="BG90" t="s">
        <v>74</v>
      </c>
      <c r="BH90" t="s">
        <v>74</v>
      </c>
      <c r="BI90">
        <v>8</v>
      </c>
      <c r="BJ90" t="s">
        <v>1107</v>
      </c>
      <c r="BK90" t="s">
        <v>94</v>
      </c>
      <c r="BL90" t="s">
        <v>460</v>
      </c>
      <c r="BM90" t="s">
        <v>1719</v>
      </c>
      <c r="BN90" t="s">
        <v>74</v>
      </c>
      <c r="BO90" t="s">
        <v>74</v>
      </c>
      <c r="BP90" t="s">
        <v>74</v>
      </c>
      <c r="BQ90" t="s">
        <v>74</v>
      </c>
      <c r="BR90" t="s">
        <v>97</v>
      </c>
      <c r="BS90" t="s">
        <v>1720</v>
      </c>
      <c r="BT90" t="str">
        <f>HYPERLINK("https%3A%2F%2Fwww.webofscience.com%2Fwos%2Fwoscc%2Ffull-record%2FWOS:000349674300002","View Full Record in Web of Science")</f>
        <v>View Full Record in Web of Science</v>
      </c>
    </row>
    <row r="91" spans="1:72" x14ac:dyDescent="0.25">
      <c r="A91" t="s">
        <v>72</v>
      </c>
      <c r="B91" t="s">
        <v>1721</v>
      </c>
      <c r="C91" t="s">
        <v>74</v>
      </c>
      <c r="D91" t="s">
        <v>74</v>
      </c>
      <c r="E91" t="s">
        <v>74</v>
      </c>
      <c r="F91" t="s">
        <v>1722</v>
      </c>
      <c r="G91" t="s">
        <v>74</v>
      </c>
      <c r="H91" t="s">
        <v>74</v>
      </c>
      <c r="I91" t="s">
        <v>1723</v>
      </c>
      <c r="J91" t="s">
        <v>1112</v>
      </c>
      <c r="K91" t="s">
        <v>74</v>
      </c>
      <c r="L91" t="s">
        <v>74</v>
      </c>
      <c r="M91" t="s">
        <v>77</v>
      </c>
      <c r="N91" t="s">
        <v>78</v>
      </c>
      <c r="O91" t="s">
        <v>74</v>
      </c>
      <c r="P91" t="s">
        <v>74</v>
      </c>
      <c r="Q91" t="s">
        <v>74</v>
      </c>
      <c r="R91" t="s">
        <v>74</v>
      </c>
      <c r="S91" t="s">
        <v>74</v>
      </c>
      <c r="T91" t="s">
        <v>1724</v>
      </c>
      <c r="U91" t="s">
        <v>1725</v>
      </c>
      <c r="V91" t="s">
        <v>1726</v>
      </c>
      <c r="W91" t="s">
        <v>1727</v>
      </c>
      <c r="X91" t="s">
        <v>1728</v>
      </c>
      <c r="Y91" t="s">
        <v>1729</v>
      </c>
      <c r="Z91" t="s">
        <v>1730</v>
      </c>
      <c r="AA91" t="s">
        <v>1731</v>
      </c>
      <c r="AB91" t="s">
        <v>1732</v>
      </c>
      <c r="AC91" t="s">
        <v>74</v>
      </c>
      <c r="AD91" t="s">
        <v>74</v>
      </c>
      <c r="AE91" t="s">
        <v>74</v>
      </c>
      <c r="AF91" t="s">
        <v>74</v>
      </c>
      <c r="AG91">
        <v>107</v>
      </c>
      <c r="AH91">
        <v>87</v>
      </c>
      <c r="AI91">
        <v>89</v>
      </c>
      <c r="AJ91">
        <v>14</v>
      </c>
      <c r="AK91">
        <v>192</v>
      </c>
      <c r="AL91" t="s">
        <v>434</v>
      </c>
      <c r="AM91" t="s">
        <v>435</v>
      </c>
      <c r="AN91" t="s">
        <v>436</v>
      </c>
      <c r="AO91" t="s">
        <v>1118</v>
      </c>
      <c r="AP91" t="s">
        <v>1119</v>
      </c>
      <c r="AQ91" t="s">
        <v>74</v>
      </c>
      <c r="AR91" t="s">
        <v>1120</v>
      </c>
      <c r="AS91" t="s">
        <v>1121</v>
      </c>
      <c r="AT91" t="s">
        <v>584</v>
      </c>
      <c r="AU91">
        <v>2016</v>
      </c>
      <c r="AV91">
        <v>31</v>
      </c>
      <c r="AW91">
        <v>6</v>
      </c>
      <c r="AX91" t="s">
        <v>74</v>
      </c>
      <c r="AY91" t="s">
        <v>74</v>
      </c>
      <c r="AZ91" t="s">
        <v>74</v>
      </c>
      <c r="BA91" t="s">
        <v>74</v>
      </c>
      <c r="BB91">
        <v>628</v>
      </c>
      <c r="BC91">
        <v>642</v>
      </c>
      <c r="BD91" t="s">
        <v>74</v>
      </c>
      <c r="BE91" t="s">
        <v>1733</v>
      </c>
      <c r="BF91" t="str">
        <f>HYPERLINK("http://dx.doi.org/10.1016/j.jbusvent.2016.08.002","http://dx.doi.org/10.1016/j.jbusvent.2016.08.002")</f>
        <v>http://dx.doi.org/10.1016/j.jbusvent.2016.08.002</v>
      </c>
      <c r="BG91" t="s">
        <v>74</v>
      </c>
      <c r="BH91" t="s">
        <v>74</v>
      </c>
      <c r="BI91">
        <v>15</v>
      </c>
      <c r="BJ91" t="s">
        <v>337</v>
      </c>
      <c r="BK91" t="s">
        <v>94</v>
      </c>
      <c r="BL91" t="s">
        <v>95</v>
      </c>
      <c r="BM91" t="s">
        <v>1734</v>
      </c>
      <c r="BN91" t="s">
        <v>74</v>
      </c>
      <c r="BO91" t="s">
        <v>74</v>
      </c>
      <c r="BP91" t="s">
        <v>74</v>
      </c>
      <c r="BQ91" t="s">
        <v>74</v>
      </c>
      <c r="BR91" t="s">
        <v>97</v>
      </c>
      <c r="BS91" t="s">
        <v>1735</v>
      </c>
      <c r="BT91" t="str">
        <f>HYPERLINK("https%3A%2F%2Fwww.webofscience.com%2Fwos%2Fwoscc%2Ffull-record%2FWOS:000387298000002","View Full Record in Web of Science")</f>
        <v>View Full Record in Web of Science</v>
      </c>
    </row>
    <row r="92" spans="1:72" x14ac:dyDescent="0.25">
      <c r="A92" t="s">
        <v>72</v>
      </c>
      <c r="B92" t="s">
        <v>1736</v>
      </c>
      <c r="C92" t="s">
        <v>74</v>
      </c>
      <c r="D92" t="s">
        <v>74</v>
      </c>
      <c r="E92" t="s">
        <v>74</v>
      </c>
      <c r="F92" t="s">
        <v>1737</v>
      </c>
      <c r="G92" t="s">
        <v>74</v>
      </c>
      <c r="H92" t="s">
        <v>74</v>
      </c>
      <c r="I92" t="s">
        <v>1738</v>
      </c>
      <c r="J92" t="s">
        <v>1739</v>
      </c>
      <c r="K92" t="s">
        <v>74</v>
      </c>
      <c r="L92" t="s">
        <v>74</v>
      </c>
      <c r="M92" t="s">
        <v>77</v>
      </c>
      <c r="N92" t="s">
        <v>78</v>
      </c>
      <c r="O92" t="s">
        <v>74</v>
      </c>
      <c r="P92" t="s">
        <v>74</v>
      </c>
      <c r="Q92" t="s">
        <v>74</v>
      </c>
      <c r="R92" t="s">
        <v>74</v>
      </c>
      <c r="S92" t="s">
        <v>74</v>
      </c>
      <c r="T92" t="s">
        <v>1740</v>
      </c>
      <c r="U92" t="s">
        <v>1741</v>
      </c>
      <c r="V92" t="s">
        <v>1742</v>
      </c>
      <c r="W92" t="s">
        <v>1743</v>
      </c>
      <c r="X92" t="s">
        <v>1744</v>
      </c>
      <c r="Y92" t="s">
        <v>1745</v>
      </c>
      <c r="Z92" t="s">
        <v>1746</v>
      </c>
      <c r="AA92" t="s">
        <v>1747</v>
      </c>
      <c r="AB92" t="s">
        <v>1748</v>
      </c>
      <c r="AC92" t="s">
        <v>74</v>
      </c>
      <c r="AD92" t="s">
        <v>74</v>
      </c>
      <c r="AE92" t="s">
        <v>74</v>
      </c>
      <c r="AF92" t="s">
        <v>74</v>
      </c>
      <c r="AG92">
        <v>59</v>
      </c>
      <c r="AH92">
        <v>86</v>
      </c>
      <c r="AI92">
        <v>93</v>
      </c>
      <c r="AJ92">
        <v>4</v>
      </c>
      <c r="AK92">
        <v>127</v>
      </c>
      <c r="AL92" t="s">
        <v>665</v>
      </c>
      <c r="AM92" t="s">
        <v>666</v>
      </c>
      <c r="AN92" t="s">
        <v>667</v>
      </c>
      <c r="AO92" t="s">
        <v>1749</v>
      </c>
      <c r="AP92" t="s">
        <v>1750</v>
      </c>
      <c r="AQ92" t="s">
        <v>74</v>
      </c>
      <c r="AR92" t="s">
        <v>1751</v>
      </c>
      <c r="AS92" t="s">
        <v>1752</v>
      </c>
      <c r="AT92" t="s">
        <v>74</v>
      </c>
      <c r="AU92">
        <v>2013</v>
      </c>
      <c r="AV92">
        <v>17</v>
      </c>
      <c r="AW92">
        <v>4</v>
      </c>
      <c r="AX92" t="s">
        <v>74</v>
      </c>
      <c r="AY92" t="s">
        <v>74</v>
      </c>
      <c r="AZ92" t="s">
        <v>74</v>
      </c>
      <c r="BA92" t="s">
        <v>74</v>
      </c>
      <c r="BB92">
        <v>527</v>
      </c>
      <c r="BC92">
        <v>544</v>
      </c>
      <c r="BD92" t="s">
        <v>74</v>
      </c>
      <c r="BE92" t="s">
        <v>1753</v>
      </c>
      <c r="BF92" t="str">
        <f>HYPERLINK("http://dx.doi.org/10.1108/JKM-03-2013-0105","http://dx.doi.org/10.1108/JKM-03-2013-0105")</f>
        <v>http://dx.doi.org/10.1108/JKM-03-2013-0105</v>
      </c>
      <c r="BG92" t="s">
        <v>74</v>
      </c>
      <c r="BH92" t="s">
        <v>74</v>
      </c>
      <c r="BI92">
        <v>18</v>
      </c>
      <c r="BJ92" t="s">
        <v>1754</v>
      </c>
      <c r="BK92" t="s">
        <v>94</v>
      </c>
      <c r="BL92" t="s">
        <v>1755</v>
      </c>
      <c r="BM92" t="s">
        <v>1756</v>
      </c>
      <c r="BN92" t="s">
        <v>74</v>
      </c>
      <c r="BO92" t="s">
        <v>74</v>
      </c>
      <c r="BP92" t="s">
        <v>74</v>
      </c>
      <c r="BQ92" t="s">
        <v>74</v>
      </c>
      <c r="BR92" t="s">
        <v>97</v>
      </c>
      <c r="BS92" t="s">
        <v>1757</v>
      </c>
      <c r="BT92" t="str">
        <f>HYPERLINK("https%3A%2F%2Fwww.webofscience.com%2Fwos%2Fwoscc%2Ffull-record%2FWOS:000330419800003","View Full Record in Web of Science")</f>
        <v>View Full Record in Web of Science</v>
      </c>
    </row>
    <row r="93" spans="1:72" x14ac:dyDescent="0.25">
      <c r="A93" t="s">
        <v>72</v>
      </c>
      <c r="B93" t="s">
        <v>1758</v>
      </c>
      <c r="C93" t="s">
        <v>74</v>
      </c>
      <c r="D93" t="s">
        <v>74</v>
      </c>
      <c r="E93" t="s">
        <v>74</v>
      </c>
      <c r="F93" t="s">
        <v>1758</v>
      </c>
      <c r="G93" t="s">
        <v>74</v>
      </c>
      <c r="H93" t="s">
        <v>74</v>
      </c>
      <c r="I93" t="s">
        <v>1759</v>
      </c>
      <c r="J93" t="s">
        <v>1760</v>
      </c>
      <c r="K93" t="s">
        <v>74</v>
      </c>
      <c r="L93" t="s">
        <v>74</v>
      </c>
      <c r="M93" t="s">
        <v>77</v>
      </c>
      <c r="N93" t="s">
        <v>78</v>
      </c>
      <c r="O93" t="s">
        <v>74</v>
      </c>
      <c r="P93" t="s">
        <v>74</v>
      </c>
      <c r="Q93" t="s">
        <v>74</v>
      </c>
      <c r="R93" t="s">
        <v>74</v>
      </c>
      <c r="S93" t="s">
        <v>74</v>
      </c>
      <c r="T93" t="s">
        <v>74</v>
      </c>
      <c r="U93" t="s">
        <v>74</v>
      </c>
      <c r="V93" t="s">
        <v>1761</v>
      </c>
      <c r="W93" t="s">
        <v>1762</v>
      </c>
      <c r="X93" t="s">
        <v>1763</v>
      </c>
      <c r="Y93" t="s">
        <v>1764</v>
      </c>
      <c r="Z93" t="s">
        <v>1765</v>
      </c>
      <c r="AA93" t="s">
        <v>1766</v>
      </c>
      <c r="AB93" t="s">
        <v>74</v>
      </c>
      <c r="AC93" t="s">
        <v>74</v>
      </c>
      <c r="AD93" t="s">
        <v>74</v>
      </c>
      <c r="AE93" t="s">
        <v>74</v>
      </c>
      <c r="AF93" t="s">
        <v>74</v>
      </c>
      <c r="AG93">
        <v>6</v>
      </c>
      <c r="AH93">
        <v>86</v>
      </c>
      <c r="AI93">
        <v>87</v>
      </c>
      <c r="AJ93">
        <v>2</v>
      </c>
      <c r="AK93">
        <v>19</v>
      </c>
      <c r="AL93" t="s">
        <v>1006</v>
      </c>
      <c r="AM93" t="s">
        <v>160</v>
      </c>
      <c r="AN93" t="s">
        <v>1007</v>
      </c>
      <c r="AO93" t="s">
        <v>1767</v>
      </c>
      <c r="AP93" t="s">
        <v>74</v>
      </c>
      <c r="AQ93" t="s">
        <v>74</v>
      </c>
      <c r="AR93" t="s">
        <v>1768</v>
      </c>
      <c r="AS93" t="s">
        <v>1769</v>
      </c>
      <c r="AT93" t="s">
        <v>405</v>
      </c>
      <c r="AU93">
        <v>2006</v>
      </c>
      <c r="AV93">
        <v>15</v>
      </c>
      <c r="AW93">
        <v>1</v>
      </c>
      <c r="AX93" t="s">
        <v>74</v>
      </c>
      <c r="AY93" t="s">
        <v>74</v>
      </c>
      <c r="AZ93" t="s">
        <v>74</v>
      </c>
      <c r="BA93" t="s">
        <v>74</v>
      </c>
      <c r="BB93">
        <v>125</v>
      </c>
      <c r="BC93">
        <v>141</v>
      </c>
      <c r="BD93" t="s">
        <v>74</v>
      </c>
      <c r="BE93" t="s">
        <v>1770</v>
      </c>
      <c r="BF93" t="str">
        <f>HYPERLINK("http://dx.doi.org/10.1093/icc/dtj006","http://dx.doi.org/10.1093/icc/dtj006")</f>
        <v>http://dx.doi.org/10.1093/icc/dtj006</v>
      </c>
      <c r="BG93" t="s">
        <v>74</v>
      </c>
      <c r="BH93" t="s">
        <v>74</v>
      </c>
      <c r="BI93">
        <v>17</v>
      </c>
      <c r="BJ93" t="s">
        <v>1199</v>
      </c>
      <c r="BK93" t="s">
        <v>94</v>
      </c>
      <c r="BL93" t="s">
        <v>95</v>
      </c>
      <c r="BM93" t="s">
        <v>1771</v>
      </c>
      <c r="BN93" t="s">
        <v>74</v>
      </c>
      <c r="BO93" t="s">
        <v>111</v>
      </c>
      <c r="BP93" t="s">
        <v>74</v>
      </c>
      <c r="BQ93" t="s">
        <v>74</v>
      </c>
      <c r="BR93" t="s">
        <v>97</v>
      </c>
      <c r="BS93" t="s">
        <v>1772</v>
      </c>
      <c r="BT93" t="str">
        <f>HYPERLINK("https%3A%2F%2Fwww.webofscience.com%2Fwos%2Fwoscc%2Ffull-record%2FWOS:000236146900006","View Full Record in Web of Science")</f>
        <v>View Full Record in Web of Science</v>
      </c>
    </row>
    <row r="94" spans="1:72" x14ac:dyDescent="0.25">
      <c r="A94" t="s">
        <v>72</v>
      </c>
      <c r="B94" t="s">
        <v>1773</v>
      </c>
      <c r="C94" t="s">
        <v>74</v>
      </c>
      <c r="D94" t="s">
        <v>74</v>
      </c>
      <c r="E94" t="s">
        <v>74</v>
      </c>
      <c r="F94" t="s">
        <v>1774</v>
      </c>
      <c r="G94" t="s">
        <v>74</v>
      </c>
      <c r="H94" t="s">
        <v>74</v>
      </c>
      <c r="I94" t="s">
        <v>1775</v>
      </c>
      <c r="J94" t="s">
        <v>1776</v>
      </c>
      <c r="K94" t="s">
        <v>74</v>
      </c>
      <c r="L94" t="s">
        <v>74</v>
      </c>
      <c r="M94" t="s">
        <v>77</v>
      </c>
      <c r="N94" t="s">
        <v>78</v>
      </c>
      <c r="O94" t="s">
        <v>74</v>
      </c>
      <c r="P94" t="s">
        <v>74</v>
      </c>
      <c r="Q94" t="s">
        <v>74</v>
      </c>
      <c r="R94" t="s">
        <v>74</v>
      </c>
      <c r="S94" t="s">
        <v>74</v>
      </c>
      <c r="T94" t="s">
        <v>1777</v>
      </c>
      <c r="U94" t="s">
        <v>1778</v>
      </c>
      <c r="V94" t="s">
        <v>1779</v>
      </c>
      <c r="W94" t="s">
        <v>1780</v>
      </c>
      <c r="X94" t="s">
        <v>1781</v>
      </c>
      <c r="Y94" t="s">
        <v>1782</v>
      </c>
      <c r="Z94" t="s">
        <v>1783</v>
      </c>
      <c r="AA94" t="s">
        <v>1784</v>
      </c>
      <c r="AB94" t="s">
        <v>1785</v>
      </c>
      <c r="AC94" t="s">
        <v>74</v>
      </c>
      <c r="AD94" t="s">
        <v>74</v>
      </c>
      <c r="AE94" t="s">
        <v>74</v>
      </c>
      <c r="AF94" t="s">
        <v>74</v>
      </c>
      <c r="AG94">
        <v>131</v>
      </c>
      <c r="AH94">
        <v>85</v>
      </c>
      <c r="AI94">
        <v>87</v>
      </c>
      <c r="AJ94">
        <v>17</v>
      </c>
      <c r="AK94">
        <v>141</v>
      </c>
      <c r="AL94" t="s">
        <v>766</v>
      </c>
      <c r="AM94" t="s">
        <v>1193</v>
      </c>
      <c r="AN94" t="s">
        <v>1498</v>
      </c>
      <c r="AO94" t="s">
        <v>1786</v>
      </c>
      <c r="AP94" t="s">
        <v>1787</v>
      </c>
      <c r="AQ94" t="s">
        <v>74</v>
      </c>
      <c r="AR94" t="s">
        <v>1788</v>
      </c>
      <c r="AS94" t="s">
        <v>1789</v>
      </c>
      <c r="AT94" t="s">
        <v>375</v>
      </c>
      <c r="AU94">
        <v>2017</v>
      </c>
      <c r="AV94">
        <v>18</v>
      </c>
      <c r="AW94">
        <v>6</v>
      </c>
      <c r="AX94" t="s">
        <v>74</v>
      </c>
      <c r="AY94" t="s">
        <v>74</v>
      </c>
      <c r="AZ94" t="s">
        <v>74</v>
      </c>
      <c r="BA94" t="s">
        <v>74</v>
      </c>
      <c r="BB94">
        <v>1877</v>
      </c>
      <c r="BC94">
        <v>1901</v>
      </c>
      <c r="BD94" t="s">
        <v>74</v>
      </c>
      <c r="BE94" t="s">
        <v>1790</v>
      </c>
      <c r="BF94" t="str">
        <f>HYPERLINK("http://dx.doi.org/10.1007/s10902-016-9801-6","http://dx.doi.org/10.1007/s10902-016-9801-6")</f>
        <v>http://dx.doi.org/10.1007/s10902-016-9801-6</v>
      </c>
      <c r="BG94" t="s">
        <v>74</v>
      </c>
      <c r="BH94" t="s">
        <v>74</v>
      </c>
      <c r="BI94">
        <v>25</v>
      </c>
      <c r="BJ94" t="s">
        <v>1791</v>
      </c>
      <c r="BK94" t="s">
        <v>94</v>
      </c>
      <c r="BL94" t="s">
        <v>1792</v>
      </c>
      <c r="BM94" t="s">
        <v>1793</v>
      </c>
      <c r="BN94" t="s">
        <v>74</v>
      </c>
      <c r="BO94" t="s">
        <v>74</v>
      </c>
      <c r="BP94" t="s">
        <v>74</v>
      </c>
      <c r="BQ94" t="s">
        <v>74</v>
      </c>
      <c r="BR94" t="s">
        <v>97</v>
      </c>
      <c r="BS94" t="s">
        <v>1794</v>
      </c>
      <c r="BT94" t="str">
        <f>HYPERLINK("https%3A%2F%2Fwww.webofscience.com%2Fwos%2Fwoscc%2Ffull-record%2FWOS:000415221000016","View Full Record in Web of Science")</f>
        <v>View Full Record in Web of Science</v>
      </c>
    </row>
    <row r="95" spans="1:72" x14ac:dyDescent="0.25">
      <c r="A95" t="s">
        <v>72</v>
      </c>
      <c r="B95" t="s">
        <v>1795</v>
      </c>
      <c r="C95" t="s">
        <v>74</v>
      </c>
      <c r="D95" t="s">
        <v>74</v>
      </c>
      <c r="E95" t="s">
        <v>74</v>
      </c>
      <c r="F95" t="s">
        <v>1796</v>
      </c>
      <c r="G95" t="s">
        <v>74</v>
      </c>
      <c r="H95" t="s">
        <v>74</v>
      </c>
      <c r="I95" t="s">
        <v>1797</v>
      </c>
      <c r="J95" t="s">
        <v>1798</v>
      </c>
      <c r="K95" t="s">
        <v>74</v>
      </c>
      <c r="L95" t="s">
        <v>74</v>
      </c>
      <c r="M95" t="s">
        <v>77</v>
      </c>
      <c r="N95" t="s">
        <v>78</v>
      </c>
      <c r="O95" t="s">
        <v>74</v>
      </c>
      <c r="P95" t="s">
        <v>74</v>
      </c>
      <c r="Q95" t="s">
        <v>74</v>
      </c>
      <c r="R95" t="s">
        <v>74</v>
      </c>
      <c r="S95" t="s">
        <v>74</v>
      </c>
      <c r="T95" t="s">
        <v>1799</v>
      </c>
      <c r="U95" t="s">
        <v>1800</v>
      </c>
      <c r="V95" t="s">
        <v>1801</v>
      </c>
      <c r="W95" t="s">
        <v>1802</v>
      </c>
      <c r="X95" t="s">
        <v>1803</v>
      </c>
      <c r="Y95" t="s">
        <v>1804</v>
      </c>
      <c r="Z95" t="s">
        <v>1805</v>
      </c>
      <c r="AA95" t="s">
        <v>74</v>
      </c>
      <c r="AB95" t="s">
        <v>74</v>
      </c>
      <c r="AC95" t="s">
        <v>74</v>
      </c>
      <c r="AD95" t="s">
        <v>74</v>
      </c>
      <c r="AE95" t="s">
        <v>74</v>
      </c>
      <c r="AF95" t="s">
        <v>74</v>
      </c>
      <c r="AG95">
        <v>77</v>
      </c>
      <c r="AH95">
        <v>84</v>
      </c>
      <c r="AI95">
        <v>84</v>
      </c>
      <c r="AJ95">
        <v>4</v>
      </c>
      <c r="AK95">
        <v>106</v>
      </c>
      <c r="AL95" t="s">
        <v>1806</v>
      </c>
      <c r="AM95" t="s">
        <v>1046</v>
      </c>
      <c r="AN95" t="s">
        <v>1807</v>
      </c>
      <c r="AO95" t="s">
        <v>1808</v>
      </c>
      <c r="AP95" t="s">
        <v>1809</v>
      </c>
      <c r="AQ95" t="s">
        <v>74</v>
      </c>
      <c r="AR95" t="s">
        <v>1810</v>
      </c>
      <c r="AS95" t="s">
        <v>1811</v>
      </c>
      <c r="AT95" t="s">
        <v>1812</v>
      </c>
      <c r="AU95">
        <v>2016</v>
      </c>
      <c r="AV95">
        <v>55</v>
      </c>
      <c r="AW95">
        <v>2</v>
      </c>
      <c r="AX95" t="s">
        <v>74</v>
      </c>
      <c r="AY95" t="s">
        <v>74</v>
      </c>
      <c r="AZ95" t="s">
        <v>74</v>
      </c>
      <c r="BA95" t="s">
        <v>74</v>
      </c>
      <c r="BB95">
        <v>201</v>
      </c>
      <c r="BC95">
        <v>217</v>
      </c>
      <c r="BD95" t="s">
        <v>74</v>
      </c>
      <c r="BE95" t="s">
        <v>1813</v>
      </c>
      <c r="BF95" t="str">
        <f>HYPERLINK("http://dx.doi.org/10.1002/hrm.21661","http://dx.doi.org/10.1002/hrm.21661")</f>
        <v>http://dx.doi.org/10.1002/hrm.21661</v>
      </c>
      <c r="BG95" t="s">
        <v>74</v>
      </c>
      <c r="BH95" t="s">
        <v>74</v>
      </c>
      <c r="BI95">
        <v>17</v>
      </c>
      <c r="BJ95" t="s">
        <v>202</v>
      </c>
      <c r="BK95" t="s">
        <v>94</v>
      </c>
      <c r="BL95" t="s">
        <v>203</v>
      </c>
      <c r="BM95" t="s">
        <v>1814</v>
      </c>
      <c r="BN95" t="s">
        <v>74</v>
      </c>
      <c r="BO95" t="s">
        <v>74</v>
      </c>
      <c r="BP95" t="s">
        <v>74</v>
      </c>
      <c r="BQ95" t="s">
        <v>74</v>
      </c>
      <c r="BR95" t="s">
        <v>97</v>
      </c>
      <c r="BS95" t="s">
        <v>1815</v>
      </c>
      <c r="BT95" t="str">
        <f>HYPERLINK("https%3A%2F%2Fwww.webofscience.com%2Fwos%2Fwoscc%2Ffull-record%2FWOS:000372323500002","View Full Record in Web of Science")</f>
        <v>View Full Record in Web of Science</v>
      </c>
    </row>
    <row r="96" spans="1:72" x14ac:dyDescent="0.25">
      <c r="A96" t="s">
        <v>72</v>
      </c>
      <c r="B96" t="s">
        <v>1816</v>
      </c>
      <c r="C96" t="s">
        <v>74</v>
      </c>
      <c r="D96" t="s">
        <v>74</v>
      </c>
      <c r="E96" t="s">
        <v>74</v>
      </c>
      <c r="F96" t="s">
        <v>1816</v>
      </c>
      <c r="G96" t="s">
        <v>74</v>
      </c>
      <c r="H96" t="s">
        <v>74</v>
      </c>
      <c r="I96" t="s">
        <v>1817</v>
      </c>
      <c r="J96" t="s">
        <v>1818</v>
      </c>
      <c r="K96" t="s">
        <v>74</v>
      </c>
      <c r="L96" t="s">
        <v>74</v>
      </c>
      <c r="M96" t="s">
        <v>77</v>
      </c>
      <c r="N96" t="s">
        <v>78</v>
      </c>
      <c r="O96" t="s">
        <v>74</v>
      </c>
      <c r="P96" t="s">
        <v>74</v>
      </c>
      <c r="Q96" t="s">
        <v>74</v>
      </c>
      <c r="R96" t="s">
        <v>74</v>
      </c>
      <c r="S96" t="s">
        <v>74</v>
      </c>
      <c r="T96" t="s">
        <v>1819</v>
      </c>
      <c r="U96" t="s">
        <v>1820</v>
      </c>
      <c r="V96" t="s">
        <v>1821</v>
      </c>
      <c r="W96" t="s">
        <v>1822</v>
      </c>
      <c r="X96" t="s">
        <v>1823</v>
      </c>
      <c r="Y96" t="s">
        <v>1824</v>
      </c>
      <c r="Z96" t="s">
        <v>74</v>
      </c>
      <c r="AA96" t="s">
        <v>1825</v>
      </c>
      <c r="AB96" t="s">
        <v>74</v>
      </c>
      <c r="AC96" t="s">
        <v>74</v>
      </c>
      <c r="AD96" t="s">
        <v>74</v>
      </c>
      <c r="AE96" t="s">
        <v>74</v>
      </c>
      <c r="AF96" t="s">
        <v>74</v>
      </c>
      <c r="AG96">
        <v>48</v>
      </c>
      <c r="AH96">
        <v>84</v>
      </c>
      <c r="AI96">
        <v>85</v>
      </c>
      <c r="AJ96">
        <v>0</v>
      </c>
      <c r="AK96">
        <v>28</v>
      </c>
      <c r="AL96" t="s">
        <v>1099</v>
      </c>
      <c r="AM96" t="s">
        <v>305</v>
      </c>
      <c r="AN96" t="s">
        <v>1100</v>
      </c>
      <c r="AO96" t="s">
        <v>1826</v>
      </c>
      <c r="AP96" t="s">
        <v>1827</v>
      </c>
      <c r="AQ96" t="s">
        <v>74</v>
      </c>
      <c r="AR96" t="s">
        <v>1828</v>
      </c>
      <c r="AS96" t="s">
        <v>1829</v>
      </c>
      <c r="AT96" t="s">
        <v>1830</v>
      </c>
      <c r="AU96">
        <v>2000</v>
      </c>
      <c r="AV96">
        <v>7</v>
      </c>
      <c r="AW96">
        <v>4</v>
      </c>
      <c r="AX96" t="s">
        <v>74</v>
      </c>
      <c r="AY96" t="s">
        <v>74</v>
      </c>
      <c r="AZ96" t="s">
        <v>74</v>
      </c>
      <c r="BA96" t="s">
        <v>74</v>
      </c>
      <c r="BB96">
        <v>688</v>
      </c>
      <c r="BC96">
        <v>718</v>
      </c>
      <c r="BD96" t="s">
        <v>74</v>
      </c>
      <c r="BE96" t="s">
        <v>74</v>
      </c>
      <c r="BF96" t="s">
        <v>74</v>
      </c>
      <c r="BG96" t="s">
        <v>74</v>
      </c>
      <c r="BH96" t="s">
        <v>74</v>
      </c>
      <c r="BI96">
        <v>31</v>
      </c>
      <c r="BJ96" t="s">
        <v>1831</v>
      </c>
      <c r="BK96" t="s">
        <v>94</v>
      </c>
      <c r="BL96" t="s">
        <v>1832</v>
      </c>
      <c r="BM96" t="s">
        <v>1833</v>
      </c>
      <c r="BN96" t="s">
        <v>74</v>
      </c>
      <c r="BO96" t="s">
        <v>74</v>
      </c>
      <c r="BP96" t="s">
        <v>74</v>
      </c>
      <c r="BQ96" t="s">
        <v>74</v>
      </c>
      <c r="BR96" t="s">
        <v>97</v>
      </c>
      <c r="BS96" t="s">
        <v>1834</v>
      </c>
      <c r="BT96" t="str">
        <f>HYPERLINK("https%3A%2F%2Fwww.webofscience.com%2Fwos%2Fwoscc%2Ffull-record%2FWOS:000165335800005","View Full Record in Web of Science")</f>
        <v>View Full Record in Web of Science</v>
      </c>
    </row>
    <row r="97" spans="1:72" x14ac:dyDescent="0.25">
      <c r="A97" t="s">
        <v>72</v>
      </c>
      <c r="B97" t="s">
        <v>1835</v>
      </c>
      <c r="C97" t="s">
        <v>74</v>
      </c>
      <c r="D97" t="s">
        <v>74</v>
      </c>
      <c r="E97" t="s">
        <v>74</v>
      </c>
      <c r="F97" t="s">
        <v>1836</v>
      </c>
      <c r="G97" t="s">
        <v>74</v>
      </c>
      <c r="H97" t="s">
        <v>74</v>
      </c>
      <c r="I97" t="s">
        <v>1837</v>
      </c>
      <c r="J97" t="s">
        <v>1838</v>
      </c>
      <c r="K97" t="s">
        <v>74</v>
      </c>
      <c r="L97" t="s">
        <v>74</v>
      </c>
      <c r="M97" t="s">
        <v>77</v>
      </c>
      <c r="N97" t="s">
        <v>78</v>
      </c>
      <c r="O97" t="s">
        <v>74</v>
      </c>
      <c r="P97" t="s">
        <v>74</v>
      </c>
      <c r="Q97" t="s">
        <v>74</v>
      </c>
      <c r="R97" t="s">
        <v>74</v>
      </c>
      <c r="S97" t="s">
        <v>74</v>
      </c>
      <c r="T97" t="s">
        <v>74</v>
      </c>
      <c r="U97" t="s">
        <v>1839</v>
      </c>
      <c r="V97" t="s">
        <v>1840</v>
      </c>
      <c r="W97" t="s">
        <v>1841</v>
      </c>
      <c r="X97" t="s">
        <v>1842</v>
      </c>
      <c r="Y97" t="s">
        <v>1843</v>
      </c>
      <c r="Z97" t="s">
        <v>1844</v>
      </c>
      <c r="AA97" t="s">
        <v>1845</v>
      </c>
      <c r="AB97" t="s">
        <v>1846</v>
      </c>
      <c r="AC97" t="s">
        <v>74</v>
      </c>
      <c r="AD97" t="s">
        <v>74</v>
      </c>
      <c r="AE97" t="s">
        <v>74</v>
      </c>
      <c r="AF97" t="s">
        <v>74</v>
      </c>
      <c r="AG97">
        <v>100</v>
      </c>
      <c r="AH97">
        <v>83</v>
      </c>
      <c r="AI97">
        <v>84</v>
      </c>
      <c r="AJ97">
        <v>8</v>
      </c>
      <c r="AK97">
        <v>104</v>
      </c>
      <c r="AL97" t="s">
        <v>218</v>
      </c>
      <c r="AM97" t="s">
        <v>219</v>
      </c>
      <c r="AN97" t="s">
        <v>220</v>
      </c>
      <c r="AO97" t="s">
        <v>1847</v>
      </c>
      <c r="AP97" t="s">
        <v>1848</v>
      </c>
      <c r="AQ97" t="s">
        <v>74</v>
      </c>
      <c r="AR97" t="s">
        <v>1849</v>
      </c>
      <c r="AS97" t="s">
        <v>1850</v>
      </c>
      <c r="AT97" t="s">
        <v>256</v>
      </c>
      <c r="AU97">
        <v>2018</v>
      </c>
      <c r="AV97">
        <v>29</v>
      </c>
      <c r="AW97">
        <v>4</v>
      </c>
      <c r="AX97" t="s">
        <v>74</v>
      </c>
      <c r="AY97" t="s">
        <v>74</v>
      </c>
      <c r="AZ97" t="s">
        <v>74</v>
      </c>
      <c r="BA97" t="s">
        <v>74</v>
      </c>
      <c r="BB97">
        <v>750</v>
      </c>
      <c r="BC97">
        <v>768</v>
      </c>
      <c r="BD97" t="s">
        <v>74</v>
      </c>
      <c r="BE97" t="s">
        <v>1851</v>
      </c>
      <c r="BF97" t="str">
        <f>HYPERLINK("http://dx.doi.org/10.1111/1467-8551.12305","http://dx.doi.org/10.1111/1467-8551.12305")</f>
        <v>http://dx.doi.org/10.1111/1467-8551.12305</v>
      </c>
      <c r="BG97" t="s">
        <v>74</v>
      </c>
      <c r="BH97" t="s">
        <v>74</v>
      </c>
      <c r="BI97">
        <v>19</v>
      </c>
      <c r="BJ97" t="s">
        <v>93</v>
      </c>
      <c r="BK97" t="s">
        <v>94</v>
      </c>
      <c r="BL97" t="s">
        <v>95</v>
      </c>
      <c r="BM97" t="s">
        <v>1852</v>
      </c>
      <c r="BN97" t="s">
        <v>74</v>
      </c>
      <c r="BO97" t="s">
        <v>378</v>
      </c>
      <c r="BP97" t="s">
        <v>74</v>
      </c>
      <c r="BQ97" t="s">
        <v>74</v>
      </c>
      <c r="BR97" t="s">
        <v>97</v>
      </c>
      <c r="BS97" t="s">
        <v>1853</v>
      </c>
      <c r="BT97" t="str">
        <f>HYPERLINK("https%3A%2F%2Fwww.webofscience.com%2Fwos%2Fwoscc%2Ffull-record%2FWOS:000447123100009","View Full Record in Web of Science")</f>
        <v>View Full Record in Web of Science</v>
      </c>
    </row>
    <row r="98" spans="1:72" x14ac:dyDescent="0.25">
      <c r="A98" t="s">
        <v>72</v>
      </c>
      <c r="B98" t="s">
        <v>1854</v>
      </c>
      <c r="C98" t="s">
        <v>74</v>
      </c>
      <c r="D98" t="s">
        <v>74</v>
      </c>
      <c r="E98" t="s">
        <v>74</v>
      </c>
      <c r="F98" t="s">
        <v>1855</v>
      </c>
      <c r="G98" t="s">
        <v>74</v>
      </c>
      <c r="H98" t="s">
        <v>74</v>
      </c>
      <c r="I98" t="s">
        <v>1856</v>
      </c>
      <c r="J98" t="s">
        <v>758</v>
      </c>
      <c r="K98" t="s">
        <v>74</v>
      </c>
      <c r="L98" t="s">
        <v>74</v>
      </c>
      <c r="M98" t="s">
        <v>77</v>
      </c>
      <c r="N98" t="s">
        <v>78</v>
      </c>
      <c r="O98" t="s">
        <v>74</v>
      </c>
      <c r="P98" t="s">
        <v>74</v>
      </c>
      <c r="Q98" t="s">
        <v>74</v>
      </c>
      <c r="R98" t="s">
        <v>74</v>
      </c>
      <c r="S98" t="s">
        <v>74</v>
      </c>
      <c r="T98" t="s">
        <v>1857</v>
      </c>
      <c r="U98" t="s">
        <v>1858</v>
      </c>
      <c r="V98" t="s">
        <v>1859</v>
      </c>
      <c r="W98" t="s">
        <v>1860</v>
      </c>
      <c r="X98" t="s">
        <v>1861</v>
      </c>
      <c r="Y98" t="s">
        <v>1862</v>
      </c>
      <c r="Z98" t="s">
        <v>1863</v>
      </c>
      <c r="AA98" t="s">
        <v>1864</v>
      </c>
      <c r="AB98" t="s">
        <v>1865</v>
      </c>
      <c r="AC98" t="s">
        <v>74</v>
      </c>
      <c r="AD98" t="s">
        <v>74</v>
      </c>
      <c r="AE98" t="s">
        <v>74</v>
      </c>
      <c r="AF98" t="s">
        <v>74</v>
      </c>
      <c r="AG98">
        <v>91</v>
      </c>
      <c r="AH98">
        <v>83</v>
      </c>
      <c r="AI98">
        <v>84</v>
      </c>
      <c r="AJ98">
        <v>6</v>
      </c>
      <c r="AK98">
        <v>121</v>
      </c>
      <c r="AL98" t="s">
        <v>766</v>
      </c>
      <c r="AM98" t="s">
        <v>330</v>
      </c>
      <c r="AN98" t="s">
        <v>767</v>
      </c>
      <c r="AO98" t="s">
        <v>768</v>
      </c>
      <c r="AP98" t="s">
        <v>769</v>
      </c>
      <c r="AQ98" t="s">
        <v>74</v>
      </c>
      <c r="AR98" t="s">
        <v>770</v>
      </c>
      <c r="AS98" t="s">
        <v>771</v>
      </c>
      <c r="AT98" t="s">
        <v>375</v>
      </c>
      <c r="AU98">
        <v>2015</v>
      </c>
      <c r="AV98">
        <v>30</v>
      </c>
      <c r="AW98">
        <v>4</v>
      </c>
      <c r="AX98" t="s">
        <v>74</v>
      </c>
      <c r="AY98" t="s">
        <v>74</v>
      </c>
      <c r="AZ98" t="s">
        <v>74</v>
      </c>
      <c r="BA98" t="s">
        <v>74</v>
      </c>
      <c r="BB98">
        <v>657</v>
      </c>
      <c r="BC98">
        <v>675</v>
      </c>
      <c r="BD98" t="s">
        <v>74</v>
      </c>
      <c r="BE98" t="s">
        <v>1866</v>
      </c>
      <c r="BF98" t="str">
        <f>HYPERLINK("http://dx.doi.org/10.1007/s10869-014-9388-z","http://dx.doi.org/10.1007/s10869-014-9388-z")</f>
        <v>http://dx.doi.org/10.1007/s10869-014-9388-z</v>
      </c>
      <c r="BG98" t="s">
        <v>74</v>
      </c>
      <c r="BH98" t="s">
        <v>74</v>
      </c>
      <c r="BI98">
        <v>19</v>
      </c>
      <c r="BJ98" t="s">
        <v>773</v>
      </c>
      <c r="BK98" t="s">
        <v>94</v>
      </c>
      <c r="BL98" t="s">
        <v>227</v>
      </c>
      <c r="BM98" t="s">
        <v>1867</v>
      </c>
      <c r="BN98" t="s">
        <v>74</v>
      </c>
      <c r="BO98" t="s">
        <v>74</v>
      </c>
      <c r="BP98" t="s">
        <v>74</v>
      </c>
      <c r="BQ98" t="s">
        <v>74</v>
      </c>
      <c r="BR98" t="s">
        <v>97</v>
      </c>
      <c r="BS98" t="s">
        <v>1868</v>
      </c>
      <c r="BT98" t="str">
        <f>HYPERLINK("https%3A%2F%2Fwww.webofscience.com%2Fwos%2Fwoscc%2Ffull-record%2FWOS:000365760400003","View Full Record in Web of Science")</f>
        <v>View Full Record in Web of Science</v>
      </c>
    </row>
    <row r="99" spans="1:72" x14ac:dyDescent="0.25">
      <c r="A99" t="s">
        <v>72</v>
      </c>
      <c r="B99" t="s">
        <v>1869</v>
      </c>
      <c r="C99" t="s">
        <v>74</v>
      </c>
      <c r="D99" t="s">
        <v>74</v>
      </c>
      <c r="E99" t="s">
        <v>74</v>
      </c>
      <c r="F99" t="s">
        <v>1870</v>
      </c>
      <c r="G99" t="s">
        <v>74</v>
      </c>
      <c r="H99" t="s">
        <v>74</v>
      </c>
      <c r="I99" t="s">
        <v>1871</v>
      </c>
      <c r="J99" t="s">
        <v>424</v>
      </c>
      <c r="K99" t="s">
        <v>74</v>
      </c>
      <c r="L99" t="s">
        <v>74</v>
      </c>
      <c r="M99" t="s">
        <v>77</v>
      </c>
      <c r="N99" t="s">
        <v>78</v>
      </c>
      <c r="O99" t="s">
        <v>74</v>
      </c>
      <c r="P99" t="s">
        <v>74</v>
      </c>
      <c r="Q99" t="s">
        <v>74</v>
      </c>
      <c r="R99" t="s">
        <v>74</v>
      </c>
      <c r="S99" t="s">
        <v>74</v>
      </c>
      <c r="T99" t="s">
        <v>1872</v>
      </c>
      <c r="U99" t="s">
        <v>1873</v>
      </c>
      <c r="V99" t="s">
        <v>1874</v>
      </c>
      <c r="W99" t="s">
        <v>1875</v>
      </c>
      <c r="X99" t="s">
        <v>1876</v>
      </c>
      <c r="Y99" t="s">
        <v>1877</v>
      </c>
      <c r="Z99" t="s">
        <v>1878</v>
      </c>
      <c r="AA99" t="s">
        <v>1879</v>
      </c>
      <c r="AB99" t="s">
        <v>1880</v>
      </c>
      <c r="AC99" t="s">
        <v>74</v>
      </c>
      <c r="AD99" t="s">
        <v>74</v>
      </c>
      <c r="AE99" t="s">
        <v>74</v>
      </c>
      <c r="AF99" t="s">
        <v>74</v>
      </c>
      <c r="AG99">
        <v>43</v>
      </c>
      <c r="AH99">
        <v>83</v>
      </c>
      <c r="AI99">
        <v>88</v>
      </c>
      <c r="AJ99">
        <v>18</v>
      </c>
      <c r="AK99">
        <v>93</v>
      </c>
      <c r="AL99" t="s">
        <v>511</v>
      </c>
      <c r="AM99" t="s">
        <v>435</v>
      </c>
      <c r="AN99" t="s">
        <v>512</v>
      </c>
      <c r="AO99" t="s">
        <v>437</v>
      </c>
      <c r="AP99" t="s">
        <v>438</v>
      </c>
      <c r="AQ99" t="s">
        <v>74</v>
      </c>
      <c r="AR99" t="s">
        <v>439</v>
      </c>
      <c r="AS99" t="s">
        <v>440</v>
      </c>
      <c r="AT99" t="s">
        <v>200</v>
      </c>
      <c r="AU99">
        <v>2013</v>
      </c>
      <c r="AV99">
        <v>42</v>
      </c>
      <c r="AW99">
        <v>2</v>
      </c>
      <c r="AX99" t="s">
        <v>74</v>
      </c>
      <c r="AY99" t="s">
        <v>74</v>
      </c>
      <c r="AZ99" t="s">
        <v>74</v>
      </c>
      <c r="BA99" t="s">
        <v>74</v>
      </c>
      <c r="BB99">
        <v>340</v>
      </c>
      <c r="BC99">
        <v>352</v>
      </c>
      <c r="BD99" t="s">
        <v>74</v>
      </c>
      <c r="BE99" t="s">
        <v>1881</v>
      </c>
      <c r="BF99" t="str">
        <f>HYPERLINK("http://dx.doi.org/10.1016/j.respol.2012.08.003","http://dx.doi.org/10.1016/j.respol.2012.08.003")</f>
        <v>http://dx.doi.org/10.1016/j.respol.2012.08.003</v>
      </c>
      <c r="BG99" t="s">
        <v>74</v>
      </c>
      <c r="BH99" t="s">
        <v>74</v>
      </c>
      <c r="BI99">
        <v>13</v>
      </c>
      <c r="BJ99" t="s">
        <v>442</v>
      </c>
      <c r="BK99" t="s">
        <v>94</v>
      </c>
      <c r="BL99" t="s">
        <v>95</v>
      </c>
      <c r="BM99" t="s">
        <v>1882</v>
      </c>
      <c r="BN99" t="s">
        <v>74</v>
      </c>
      <c r="BO99" t="s">
        <v>74</v>
      </c>
      <c r="BP99" t="s">
        <v>74</v>
      </c>
      <c r="BQ99" t="s">
        <v>74</v>
      </c>
      <c r="BR99" t="s">
        <v>97</v>
      </c>
      <c r="BS99" t="s">
        <v>1883</v>
      </c>
      <c r="BT99" t="str">
        <f>HYPERLINK("https%3A%2F%2Fwww.webofscience.com%2Fwos%2Fwoscc%2Ffull-record%2FWOS:000316530400004","View Full Record in Web of Science")</f>
        <v>View Full Record in Web of Science</v>
      </c>
    </row>
    <row r="100" spans="1:72" x14ac:dyDescent="0.25">
      <c r="A100" t="s">
        <v>72</v>
      </c>
      <c r="B100" t="s">
        <v>1884</v>
      </c>
      <c r="C100" t="s">
        <v>74</v>
      </c>
      <c r="D100" t="s">
        <v>74</v>
      </c>
      <c r="E100" t="s">
        <v>74</v>
      </c>
      <c r="F100" t="s">
        <v>1885</v>
      </c>
      <c r="G100" t="s">
        <v>74</v>
      </c>
      <c r="H100" t="s">
        <v>74</v>
      </c>
      <c r="I100" t="s">
        <v>1886</v>
      </c>
      <c r="J100" t="s">
        <v>1600</v>
      </c>
      <c r="K100" t="s">
        <v>74</v>
      </c>
      <c r="L100" t="s">
        <v>74</v>
      </c>
      <c r="M100" t="s">
        <v>77</v>
      </c>
      <c r="N100" t="s">
        <v>78</v>
      </c>
      <c r="O100" t="s">
        <v>74</v>
      </c>
      <c r="P100" t="s">
        <v>74</v>
      </c>
      <c r="Q100" t="s">
        <v>74</v>
      </c>
      <c r="R100" t="s">
        <v>74</v>
      </c>
      <c r="S100" t="s">
        <v>74</v>
      </c>
      <c r="T100" t="s">
        <v>1887</v>
      </c>
      <c r="U100" t="s">
        <v>1888</v>
      </c>
      <c r="V100" t="s">
        <v>1889</v>
      </c>
      <c r="W100" t="s">
        <v>1890</v>
      </c>
      <c r="X100" t="s">
        <v>1891</v>
      </c>
      <c r="Y100" t="s">
        <v>1892</v>
      </c>
      <c r="Z100" t="s">
        <v>1893</v>
      </c>
      <c r="AA100" t="s">
        <v>74</v>
      </c>
      <c r="AB100" t="s">
        <v>74</v>
      </c>
      <c r="AC100" t="s">
        <v>74</v>
      </c>
      <c r="AD100" t="s">
        <v>74</v>
      </c>
      <c r="AE100" t="s">
        <v>74</v>
      </c>
      <c r="AF100" t="s">
        <v>74</v>
      </c>
      <c r="AG100">
        <v>73</v>
      </c>
      <c r="AH100">
        <v>82</v>
      </c>
      <c r="AI100">
        <v>84</v>
      </c>
      <c r="AJ100">
        <v>14</v>
      </c>
      <c r="AK100">
        <v>75</v>
      </c>
      <c r="AL100" t="s">
        <v>1099</v>
      </c>
      <c r="AM100" t="s">
        <v>305</v>
      </c>
      <c r="AN100" t="s">
        <v>1100</v>
      </c>
      <c r="AO100" t="s">
        <v>1610</v>
      </c>
      <c r="AP100" t="s">
        <v>1611</v>
      </c>
      <c r="AQ100" t="s">
        <v>74</v>
      </c>
      <c r="AR100" t="s">
        <v>1612</v>
      </c>
      <c r="AS100" t="s">
        <v>1613</v>
      </c>
      <c r="AT100" t="s">
        <v>1894</v>
      </c>
      <c r="AU100">
        <v>2019</v>
      </c>
      <c r="AV100">
        <v>30</v>
      </c>
      <c r="AW100">
        <v>18</v>
      </c>
      <c r="AX100" t="s">
        <v>74</v>
      </c>
      <c r="AY100" t="s">
        <v>74</v>
      </c>
      <c r="AZ100" t="s">
        <v>860</v>
      </c>
      <c r="BA100" t="s">
        <v>74</v>
      </c>
      <c r="BB100">
        <v>2661</v>
      </c>
      <c r="BC100">
        <v>2683</v>
      </c>
      <c r="BD100" t="s">
        <v>74</v>
      </c>
      <c r="BE100" t="s">
        <v>1895</v>
      </c>
      <c r="BF100" t="str">
        <f>HYPERLINK("http://dx.doi.org/10.1080/09585192.2017.1380680","http://dx.doi.org/10.1080/09585192.2017.1380680")</f>
        <v>http://dx.doi.org/10.1080/09585192.2017.1380680</v>
      </c>
      <c r="BG100" t="s">
        <v>74</v>
      </c>
      <c r="BH100" t="s">
        <v>74</v>
      </c>
      <c r="BI100">
        <v>23</v>
      </c>
      <c r="BJ100" t="s">
        <v>442</v>
      </c>
      <c r="BK100" t="s">
        <v>94</v>
      </c>
      <c r="BL100" t="s">
        <v>95</v>
      </c>
      <c r="BM100" t="s">
        <v>1896</v>
      </c>
      <c r="BN100" t="s">
        <v>74</v>
      </c>
      <c r="BO100" t="s">
        <v>1897</v>
      </c>
      <c r="BP100" t="s">
        <v>74</v>
      </c>
      <c r="BQ100" t="s">
        <v>74</v>
      </c>
      <c r="BR100" t="s">
        <v>97</v>
      </c>
      <c r="BS100" t="s">
        <v>1898</v>
      </c>
      <c r="BT100" t="str">
        <f>HYPERLINK("https%3A%2F%2Fwww.webofscience.com%2Fwos%2Fwoscc%2Ffull-record%2FWOS:000482940600004","View Full Record in Web of Science")</f>
        <v>View Full Record in Web of Science</v>
      </c>
    </row>
    <row r="101" spans="1:72" x14ac:dyDescent="0.25">
      <c r="A101" t="s">
        <v>72</v>
      </c>
      <c r="B101" t="s">
        <v>1899</v>
      </c>
      <c r="C101" t="s">
        <v>74</v>
      </c>
      <c r="D101" t="s">
        <v>74</v>
      </c>
      <c r="E101" t="s">
        <v>74</v>
      </c>
      <c r="F101" t="s">
        <v>1900</v>
      </c>
      <c r="G101" t="s">
        <v>74</v>
      </c>
      <c r="H101" t="s">
        <v>74</v>
      </c>
      <c r="I101" t="s">
        <v>1901</v>
      </c>
      <c r="J101" t="s">
        <v>155</v>
      </c>
      <c r="K101" t="s">
        <v>74</v>
      </c>
      <c r="L101" t="s">
        <v>74</v>
      </c>
      <c r="M101" t="s">
        <v>77</v>
      </c>
      <c r="N101" t="s">
        <v>78</v>
      </c>
      <c r="O101" t="s">
        <v>74</v>
      </c>
      <c r="P101" t="s">
        <v>74</v>
      </c>
      <c r="Q101" t="s">
        <v>74</v>
      </c>
      <c r="R101" t="s">
        <v>74</v>
      </c>
      <c r="S101" t="s">
        <v>74</v>
      </c>
      <c r="T101" t="s">
        <v>1902</v>
      </c>
      <c r="U101" t="s">
        <v>1903</v>
      </c>
      <c r="V101" t="s">
        <v>1904</v>
      </c>
      <c r="W101" t="s">
        <v>1905</v>
      </c>
      <c r="X101" t="s">
        <v>1906</v>
      </c>
      <c r="Y101" t="s">
        <v>1907</v>
      </c>
      <c r="Z101" t="s">
        <v>1908</v>
      </c>
      <c r="AA101" t="s">
        <v>74</v>
      </c>
      <c r="AB101" t="s">
        <v>74</v>
      </c>
      <c r="AC101" t="s">
        <v>74</v>
      </c>
      <c r="AD101" t="s">
        <v>74</v>
      </c>
      <c r="AE101" t="s">
        <v>74</v>
      </c>
      <c r="AF101" t="s">
        <v>74</v>
      </c>
      <c r="AG101">
        <v>87</v>
      </c>
      <c r="AH101">
        <v>82</v>
      </c>
      <c r="AI101">
        <v>86</v>
      </c>
      <c r="AJ101">
        <v>22</v>
      </c>
      <c r="AK101">
        <v>184</v>
      </c>
      <c r="AL101" t="s">
        <v>218</v>
      </c>
      <c r="AM101" t="s">
        <v>219</v>
      </c>
      <c r="AN101" t="s">
        <v>220</v>
      </c>
      <c r="AO101" t="s">
        <v>162</v>
      </c>
      <c r="AP101" t="s">
        <v>1909</v>
      </c>
      <c r="AQ101" t="s">
        <v>74</v>
      </c>
      <c r="AR101" t="s">
        <v>163</v>
      </c>
      <c r="AS101" t="s">
        <v>164</v>
      </c>
      <c r="AT101" t="s">
        <v>91</v>
      </c>
      <c r="AU101">
        <v>2015</v>
      </c>
      <c r="AV101">
        <v>52</v>
      </c>
      <c r="AW101">
        <v>4</v>
      </c>
      <c r="AX101" t="s">
        <v>74</v>
      </c>
      <c r="AY101" t="s">
        <v>74</v>
      </c>
      <c r="AZ101" t="s">
        <v>860</v>
      </c>
      <c r="BA101" t="s">
        <v>74</v>
      </c>
      <c r="BB101">
        <v>531</v>
      </c>
      <c r="BC101">
        <v>554</v>
      </c>
      <c r="BD101" t="s">
        <v>74</v>
      </c>
      <c r="BE101" t="s">
        <v>1910</v>
      </c>
      <c r="BF101" t="str">
        <f>HYPERLINK("http://dx.doi.org/10.1111/joms.12125","http://dx.doi.org/10.1111/joms.12125")</f>
        <v>http://dx.doi.org/10.1111/joms.12125</v>
      </c>
      <c r="BG101" t="s">
        <v>74</v>
      </c>
      <c r="BH101" t="s">
        <v>74</v>
      </c>
      <c r="BI101">
        <v>24</v>
      </c>
      <c r="BJ101" t="s">
        <v>93</v>
      </c>
      <c r="BK101" t="s">
        <v>94</v>
      </c>
      <c r="BL101" t="s">
        <v>95</v>
      </c>
      <c r="BM101" t="s">
        <v>1911</v>
      </c>
      <c r="BN101" t="s">
        <v>74</v>
      </c>
      <c r="BO101" t="s">
        <v>74</v>
      </c>
      <c r="BP101" t="s">
        <v>74</v>
      </c>
      <c r="BQ101" t="s">
        <v>74</v>
      </c>
      <c r="BR101" t="s">
        <v>97</v>
      </c>
      <c r="BS101" t="s">
        <v>1912</v>
      </c>
      <c r="BT101" t="str">
        <f>HYPERLINK("https%3A%2F%2Fwww.webofscience.com%2Fwos%2Fwoscc%2Ffull-record%2FWOS:000353954000004","View Full Record in Web of Science")</f>
        <v>View Full Record in Web of Science</v>
      </c>
    </row>
    <row r="102" spans="1:72" x14ac:dyDescent="0.25">
      <c r="A102" t="s">
        <v>72</v>
      </c>
      <c r="B102" t="s">
        <v>1913</v>
      </c>
      <c r="C102" t="s">
        <v>74</v>
      </c>
      <c r="D102" t="s">
        <v>74</v>
      </c>
      <c r="E102" t="s">
        <v>74</v>
      </c>
      <c r="F102" t="s">
        <v>1914</v>
      </c>
      <c r="G102" t="s">
        <v>74</v>
      </c>
      <c r="H102" t="s">
        <v>74</v>
      </c>
      <c r="I102" t="s">
        <v>1915</v>
      </c>
      <c r="J102" t="s">
        <v>1916</v>
      </c>
      <c r="K102" t="s">
        <v>74</v>
      </c>
      <c r="L102" t="s">
        <v>74</v>
      </c>
      <c r="M102" t="s">
        <v>77</v>
      </c>
      <c r="N102" t="s">
        <v>78</v>
      </c>
      <c r="O102" t="s">
        <v>74</v>
      </c>
      <c r="P102" t="s">
        <v>74</v>
      </c>
      <c r="Q102" t="s">
        <v>74</v>
      </c>
      <c r="R102" t="s">
        <v>74</v>
      </c>
      <c r="S102" t="s">
        <v>74</v>
      </c>
      <c r="T102" t="s">
        <v>1917</v>
      </c>
      <c r="U102" t="s">
        <v>1918</v>
      </c>
      <c r="V102" t="s">
        <v>1919</v>
      </c>
      <c r="W102" t="s">
        <v>1920</v>
      </c>
      <c r="X102" t="s">
        <v>1921</v>
      </c>
      <c r="Y102" t="s">
        <v>1922</v>
      </c>
      <c r="Z102" t="s">
        <v>1923</v>
      </c>
      <c r="AA102" t="s">
        <v>1924</v>
      </c>
      <c r="AB102" t="s">
        <v>1925</v>
      </c>
      <c r="AC102" t="s">
        <v>74</v>
      </c>
      <c r="AD102" t="s">
        <v>74</v>
      </c>
      <c r="AE102" t="s">
        <v>74</v>
      </c>
      <c r="AF102" t="s">
        <v>74</v>
      </c>
      <c r="AG102">
        <v>61</v>
      </c>
      <c r="AH102">
        <v>81</v>
      </c>
      <c r="AI102">
        <v>82</v>
      </c>
      <c r="AJ102">
        <v>5</v>
      </c>
      <c r="AK102">
        <v>136</v>
      </c>
      <c r="AL102" t="s">
        <v>665</v>
      </c>
      <c r="AM102" t="s">
        <v>666</v>
      </c>
      <c r="AN102" t="s">
        <v>667</v>
      </c>
      <c r="AO102" t="s">
        <v>1926</v>
      </c>
      <c r="AP102" t="s">
        <v>1927</v>
      </c>
      <c r="AQ102" t="s">
        <v>74</v>
      </c>
      <c r="AR102" t="s">
        <v>1928</v>
      </c>
      <c r="AS102" t="s">
        <v>1929</v>
      </c>
      <c r="AT102" t="s">
        <v>74</v>
      </c>
      <c r="AU102">
        <v>2013</v>
      </c>
      <c r="AV102">
        <v>51</v>
      </c>
      <c r="AW102" t="s">
        <v>1930</v>
      </c>
      <c r="AX102" t="s">
        <v>74</v>
      </c>
      <c r="AY102" t="s">
        <v>74</v>
      </c>
      <c r="AZ102" t="s">
        <v>74</v>
      </c>
      <c r="BA102" t="s">
        <v>74</v>
      </c>
      <c r="BB102">
        <v>248</v>
      </c>
      <c r="BC102">
        <v>266</v>
      </c>
      <c r="BD102" t="s">
        <v>74</v>
      </c>
      <c r="BE102" t="s">
        <v>1931</v>
      </c>
      <c r="BF102" t="str">
        <f>HYPERLINK("http://dx.doi.org/10.1108/00251741311301803","http://dx.doi.org/10.1108/00251741311301803")</f>
        <v>http://dx.doi.org/10.1108/00251741311301803</v>
      </c>
      <c r="BG102" t="s">
        <v>74</v>
      </c>
      <c r="BH102" t="s">
        <v>74</v>
      </c>
      <c r="BI102">
        <v>19</v>
      </c>
      <c r="BJ102" t="s">
        <v>93</v>
      </c>
      <c r="BK102" t="s">
        <v>94</v>
      </c>
      <c r="BL102" t="s">
        <v>95</v>
      </c>
      <c r="BM102" t="s">
        <v>1932</v>
      </c>
      <c r="BN102" t="s">
        <v>74</v>
      </c>
      <c r="BO102" t="s">
        <v>74</v>
      </c>
      <c r="BP102" t="s">
        <v>74</v>
      </c>
      <c r="BQ102" t="s">
        <v>74</v>
      </c>
      <c r="BR102" t="s">
        <v>97</v>
      </c>
      <c r="BS102" t="s">
        <v>1933</v>
      </c>
      <c r="BT102" t="str">
        <f>HYPERLINK("https%3A%2F%2Fwww.webofscience.com%2Fwos%2Fwoscc%2Ffull-record%2FWOS:000316153900014","View Full Record in Web of Science")</f>
        <v>View Full Record in Web of Science</v>
      </c>
    </row>
    <row r="103" spans="1:72" x14ac:dyDescent="0.25">
      <c r="A103" t="s">
        <v>72</v>
      </c>
      <c r="B103" t="s">
        <v>1934</v>
      </c>
      <c r="C103" t="s">
        <v>74</v>
      </c>
      <c r="D103" t="s">
        <v>74</v>
      </c>
      <c r="E103" t="s">
        <v>74</v>
      </c>
      <c r="F103" t="s">
        <v>1935</v>
      </c>
      <c r="G103" t="s">
        <v>74</v>
      </c>
      <c r="H103" t="s">
        <v>74</v>
      </c>
      <c r="I103" t="s">
        <v>1936</v>
      </c>
      <c r="J103" t="s">
        <v>1090</v>
      </c>
      <c r="K103" t="s">
        <v>74</v>
      </c>
      <c r="L103" t="s">
        <v>74</v>
      </c>
      <c r="M103" t="s">
        <v>77</v>
      </c>
      <c r="N103" t="s">
        <v>78</v>
      </c>
      <c r="O103" t="s">
        <v>74</v>
      </c>
      <c r="P103" t="s">
        <v>74</v>
      </c>
      <c r="Q103" t="s">
        <v>74</v>
      </c>
      <c r="R103" t="s">
        <v>74</v>
      </c>
      <c r="S103" t="s">
        <v>74</v>
      </c>
      <c r="T103" t="s">
        <v>74</v>
      </c>
      <c r="U103" t="s">
        <v>1937</v>
      </c>
      <c r="V103" t="s">
        <v>1938</v>
      </c>
      <c r="W103" t="s">
        <v>1939</v>
      </c>
      <c r="X103" t="s">
        <v>1940</v>
      </c>
      <c r="Y103" t="s">
        <v>1941</v>
      </c>
      <c r="Z103" t="s">
        <v>1942</v>
      </c>
      <c r="AA103" t="s">
        <v>1943</v>
      </c>
      <c r="AB103" t="s">
        <v>1944</v>
      </c>
      <c r="AC103" t="s">
        <v>74</v>
      </c>
      <c r="AD103" t="s">
        <v>74</v>
      </c>
      <c r="AE103" t="s">
        <v>74</v>
      </c>
      <c r="AF103" t="s">
        <v>74</v>
      </c>
      <c r="AG103">
        <v>85</v>
      </c>
      <c r="AH103">
        <v>80</v>
      </c>
      <c r="AI103">
        <v>81</v>
      </c>
      <c r="AJ103">
        <v>6</v>
      </c>
      <c r="AK103">
        <v>68</v>
      </c>
      <c r="AL103" t="s">
        <v>1099</v>
      </c>
      <c r="AM103" t="s">
        <v>305</v>
      </c>
      <c r="AN103" t="s">
        <v>1100</v>
      </c>
      <c r="AO103" t="s">
        <v>1101</v>
      </c>
      <c r="AP103" t="s">
        <v>1102</v>
      </c>
      <c r="AQ103" t="s">
        <v>74</v>
      </c>
      <c r="AR103" t="s">
        <v>1103</v>
      </c>
      <c r="AS103" t="s">
        <v>1104</v>
      </c>
      <c r="AT103" t="s">
        <v>74</v>
      </c>
      <c r="AU103">
        <v>2018</v>
      </c>
      <c r="AV103">
        <v>30</v>
      </c>
      <c r="AW103">
        <v>1</v>
      </c>
      <c r="AX103" t="s">
        <v>74</v>
      </c>
      <c r="AY103" t="s">
        <v>74</v>
      </c>
      <c r="AZ103" t="s">
        <v>74</v>
      </c>
      <c r="BA103" t="s">
        <v>74</v>
      </c>
      <c r="BB103">
        <v>1</v>
      </c>
      <c r="BC103">
        <v>16</v>
      </c>
      <c r="BD103" t="s">
        <v>74</v>
      </c>
      <c r="BE103" t="s">
        <v>1945</v>
      </c>
      <c r="BF103" t="str">
        <f>HYPERLINK("http://dx.doi.org/10.1080/10400419.2018.1411436","http://dx.doi.org/10.1080/10400419.2018.1411436")</f>
        <v>http://dx.doi.org/10.1080/10400419.2018.1411436</v>
      </c>
      <c r="BG103" t="s">
        <v>74</v>
      </c>
      <c r="BH103" t="s">
        <v>74</v>
      </c>
      <c r="BI103">
        <v>16</v>
      </c>
      <c r="BJ103" t="s">
        <v>1107</v>
      </c>
      <c r="BK103" t="s">
        <v>94</v>
      </c>
      <c r="BL103" t="s">
        <v>460</v>
      </c>
      <c r="BM103" t="s">
        <v>1946</v>
      </c>
      <c r="BN103" t="s">
        <v>74</v>
      </c>
      <c r="BO103" t="s">
        <v>378</v>
      </c>
      <c r="BP103" t="s">
        <v>74</v>
      </c>
      <c r="BQ103" t="s">
        <v>74</v>
      </c>
      <c r="BR103" t="s">
        <v>97</v>
      </c>
      <c r="BS103" t="s">
        <v>1947</v>
      </c>
      <c r="BT103" t="str">
        <f>HYPERLINK("https%3A%2F%2Fwww.webofscience.com%2Fwos%2Fwoscc%2Ffull-record%2FWOS:000423718400001","View Full Record in Web of Science")</f>
        <v>View Full Record in Web of Science</v>
      </c>
    </row>
    <row r="104" spans="1:72" x14ac:dyDescent="0.25">
      <c r="A104" t="s">
        <v>72</v>
      </c>
      <c r="B104" t="s">
        <v>1948</v>
      </c>
      <c r="C104" t="s">
        <v>74</v>
      </c>
      <c r="D104" t="s">
        <v>74</v>
      </c>
      <c r="E104" t="s">
        <v>74</v>
      </c>
      <c r="F104" t="s">
        <v>1949</v>
      </c>
      <c r="G104" t="s">
        <v>74</v>
      </c>
      <c r="H104" t="s">
        <v>74</v>
      </c>
      <c r="I104" t="s">
        <v>1950</v>
      </c>
      <c r="J104" t="s">
        <v>1951</v>
      </c>
      <c r="K104" t="s">
        <v>74</v>
      </c>
      <c r="L104" t="s">
        <v>74</v>
      </c>
      <c r="M104" t="s">
        <v>77</v>
      </c>
      <c r="N104" t="s">
        <v>78</v>
      </c>
      <c r="O104" t="s">
        <v>74</v>
      </c>
      <c r="P104" t="s">
        <v>74</v>
      </c>
      <c r="Q104" t="s">
        <v>74</v>
      </c>
      <c r="R104" t="s">
        <v>74</v>
      </c>
      <c r="S104" t="s">
        <v>74</v>
      </c>
      <c r="T104" t="s">
        <v>1952</v>
      </c>
      <c r="U104" t="s">
        <v>1953</v>
      </c>
      <c r="V104" t="s">
        <v>1954</v>
      </c>
      <c r="W104" t="s">
        <v>1955</v>
      </c>
      <c r="X104" t="s">
        <v>1956</v>
      </c>
      <c r="Y104" t="s">
        <v>1957</v>
      </c>
      <c r="Z104" t="s">
        <v>1958</v>
      </c>
      <c r="AA104" t="s">
        <v>1959</v>
      </c>
      <c r="AB104" t="s">
        <v>1960</v>
      </c>
      <c r="AC104" t="s">
        <v>1961</v>
      </c>
      <c r="AD104" t="s">
        <v>1961</v>
      </c>
      <c r="AE104" t="s">
        <v>1962</v>
      </c>
      <c r="AF104" t="s">
        <v>74</v>
      </c>
      <c r="AG104">
        <v>80</v>
      </c>
      <c r="AH104">
        <v>80</v>
      </c>
      <c r="AI104">
        <v>81</v>
      </c>
      <c r="AJ104">
        <v>10</v>
      </c>
      <c r="AK104">
        <v>105</v>
      </c>
      <c r="AL104" t="s">
        <v>1099</v>
      </c>
      <c r="AM104" t="s">
        <v>305</v>
      </c>
      <c r="AN104" t="s">
        <v>1100</v>
      </c>
      <c r="AO104" t="s">
        <v>1963</v>
      </c>
      <c r="AP104" t="s">
        <v>1964</v>
      </c>
      <c r="AQ104" t="s">
        <v>74</v>
      </c>
      <c r="AR104" t="s">
        <v>1965</v>
      </c>
      <c r="AS104" t="s">
        <v>1966</v>
      </c>
      <c r="AT104" t="s">
        <v>74</v>
      </c>
      <c r="AU104">
        <v>2017</v>
      </c>
      <c r="AV104">
        <v>26</v>
      </c>
      <c r="AW104">
        <v>4</v>
      </c>
      <c r="AX104" t="s">
        <v>74</v>
      </c>
      <c r="AY104" t="s">
        <v>74</v>
      </c>
      <c r="AZ104" t="s">
        <v>74</v>
      </c>
      <c r="BA104" t="s">
        <v>74</v>
      </c>
      <c r="BB104">
        <v>601</v>
      </c>
      <c r="BC104">
        <v>612</v>
      </c>
      <c r="BD104" t="s">
        <v>74</v>
      </c>
      <c r="BE104" t="s">
        <v>1967</v>
      </c>
      <c r="BF104" t="str">
        <f>HYPERLINK("http://dx.doi.org/10.1080/1359432X.2017.1332042","http://dx.doi.org/10.1080/1359432X.2017.1332042")</f>
        <v>http://dx.doi.org/10.1080/1359432X.2017.1332042</v>
      </c>
      <c r="BG104" t="s">
        <v>74</v>
      </c>
      <c r="BH104" t="s">
        <v>74</v>
      </c>
      <c r="BI104">
        <v>12</v>
      </c>
      <c r="BJ104" t="s">
        <v>202</v>
      </c>
      <c r="BK104" t="s">
        <v>94</v>
      </c>
      <c r="BL104" t="s">
        <v>203</v>
      </c>
      <c r="BM104" t="s">
        <v>1968</v>
      </c>
      <c r="BN104" t="s">
        <v>74</v>
      </c>
      <c r="BO104" t="s">
        <v>74</v>
      </c>
      <c r="BP104" t="s">
        <v>74</v>
      </c>
      <c r="BQ104" t="s">
        <v>74</v>
      </c>
      <c r="BR104" t="s">
        <v>97</v>
      </c>
      <c r="BS104" t="s">
        <v>1969</v>
      </c>
      <c r="BT104" t="str">
        <f>HYPERLINK("https%3A%2F%2Fwww.webofscience.com%2Fwos%2Fwoscc%2Ffull-record%2FWOS:000404588700009","View Full Record in Web of Science")</f>
        <v>View Full Record in Web of Science</v>
      </c>
    </row>
    <row r="105" spans="1:72" x14ac:dyDescent="0.25">
      <c r="A105" t="s">
        <v>72</v>
      </c>
      <c r="B105" t="s">
        <v>1970</v>
      </c>
      <c r="C105" t="s">
        <v>74</v>
      </c>
      <c r="D105" t="s">
        <v>74</v>
      </c>
      <c r="E105" t="s">
        <v>74</v>
      </c>
      <c r="F105" t="s">
        <v>1971</v>
      </c>
      <c r="G105" t="s">
        <v>74</v>
      </c>
      <c r="H105" t="s">
        <v>74</v>
      </c>
      <c r="I105" t="s">
        <v>1972</v>
      </c>
      <c r="J105" t="s">
        <v>1973</v>
      </c>
      <c r="K105" t="s">
        <v>74</v>
      </c>
      <c r="L105" t="s">
        <v>74</v>
      </c>
      <c r="M105" t="s">
        <v>77</v>
      </c>
      <c r="N105" t="s">
        <v>78</v>
      </c>
      <c r="O105" t="s">
        <v>74</v>
      </c>
      <c r="P105" t="s">
        <v>74</v>
      </c>
      <c r="Q105" t="s">
        <v>74</v>
      </c>
      <c r="R105" t="s">
        <v>74</v>
      </c>
      <c r="S105" t="s">
        <v>74</v>
      </c>
      <c r="T105" t="s">
        <v>1974</v>
      </c>
      <c r="U105" t="s">
        <v>1975</v>
      </c>
      <c r="V105" t="s">
        <v>1976</v>
      </c>
      <c r="W105" t="s">
        <v>1977</v>
      </c>
      <c r="X105" t="s">
        <v>1978</v>
      </c>
      <c r="Y105" t="s">
        <v>1979</v>
      </c>
      <c r="Z105" t="s">
        <v>1980</v>
      </c>
      <c r="AA105" t="s">
        <v>1981</v>
      </c>
      <c r="AB105" t="s">
        <v>1982</v>
      </c>
      <c r="AC105" t="s">
        <v>74</v>
      </c>
      <c r="AD105" t="s">
        <v>74</v>
      </c>
      <c r="AE105" t="s">
        <v>74</v>
      </c>
      <c r="AF105" t="s">
        <v>74</v>
      </c>
      <c r="AG105">
        <v>36</v>
      </c>
      <c r="AH105">
        <v>80</v>
      </c>
      <c r="AI105">
        <v>87</v>
      </c>
      <c r="AJ105">
        <v>0</v>
      </c>
      <c r="AK105">
        <v>21</v>
      </c>
      <c r="AL105" t="s">
        <v>1983</v>
      </c>
      <c r="AM105" t="s">
        <v>1984</v>
      </c>
      <c r="AN105" t="s">
        <v>1985</v>
      </c>
      <c r="AO105" t="s">
        <v>1986</v>
      </c>
      <c r="AP105" t="s">
        <v>1987</v>
      </c>
      <c r="AQ105" t="s">
        <v>74</v>
      </c>
      <c r="AR105" t="s">
        <v>1988</v>
      </c>
      <c r="AS105" t="s">
        <v>1989</v>
      </c>
      <c r="AT105" t="s">
        <v>74</v>
      </c>
      <c r="AU105">
        <v>2010</v>
      </c>
      <c r="AV105">
        <v>31</v>
      </c>
      <c r="AW105">
        <v>4</v>
      </c>
      <c r="AX105" t="s">
        <v>74</v>
      </c>
      <c r="AY105" t="s">
        <v>74</v>
      </c>
      <c r="AZ105" t="s">
        <v>74</v>
      </c>
      <c r="BA105" t="s">
        <v>74</v>
      </c>
      <c r="BB105">
        <v>194</v>
      </c>
      <c r="BC105">
        <v>201</v>
      </c>
      <c r="BD105" t="s">
        <v>74</v>
      </c>
      <c r="BE105" t="s">
        <v>1990</v>
      </c>
      <c r="BF105" t="str">
        <f>HYPERLINK("http://dx.doi.org/10.1027/0227-5910/a000052","http://dx.doi.org/10.1027/0227-5910/a000052")</f>
        <v>http://dx.doi.org/10.1027/0227-5910/a000052</v>
      </c>
      <c r="BG105" t="s">
        <v>74</v>
      </c>
      <c r="BH105" t="s">
        <v>74</v>
      </c>
      <c r="BI105">
        <v>8</v>
      </c>
      <c r="BJ105" t="s">
        <v>1991</v>
      </c>
      <c r="BK105" t="s">
        <v>94</v>
      </c>
      <c r="BL105" t="s">
        <v>1992</v>
      </c>
      <c r="BM105" t="s">
        <v>1993</v>
      </c>
      <c r="BN105">
        <v>20801749</v>
      </c>
      <c r="BO105" t="s">
        <v>74</v>
      </c>
      <c r="BP105" t="s">
        <v>74</v>
      </c>
      <c r="BQ105" t="s">
        <v>74</v>
      </c>
      <c r="BR105" t="s">
        <v>97</v>
      </c>
      <c r="BS105" t="s">
        <v>1994</v>
      </c>
      <c r="BT105" t="str">
        <f>HYPERLINK("https%3A%2F%2Fwww.webofscience.com%2Fwos%2Fwoscc%2Ffull-record%2FWOS:000281362600004","View Full Record in Web of Science")</f>
        <v>View Full Record in Web of Science</v>
      </c>
    </row>
    <row r="106" spans="1:72" x14ac:dyDescent="0.25">
      <c r="A106" t="s">
        <v>72</v>
      </c>
      <c r="B106" t="s">
        <v>1995</v>
      </c>
      <c r="C106" t="s">
        <v>74</v>
      </c>
      <c r="D106" t="s">
        <v>74</v>
      </c>
      <c r="E106" t="s">
        <v>74</v>
      </c>
      <c r="F106" t="s">
        <v>1996</v>
      </c>
      <c r="G106" t="s">
        <v>74</v>
      </c>
      <c r="H106" t="s">
        <v>74</v>
      </c>
      <c r="I106" t="s">
        <v>1997</v>
      </c>
      <c r="J106" t="s">
        <v>1998</v>
      </c>
      <c r="K106" t="s">
        <v>74</v>
      </c>
      <c r="L106" t="s">
        <v>74</v>
      </c>
      <c r="M106" t="s">
        <v>77</v>
      </c>
      <c r="N106" t="s">
        <v>78</v>
      </c>
      <c r="O106" t="s">
        <v>74</v>
      </c>
      <c r="P106" t="s">
        <v>74</v>
      </c>
      <c r="Q106" t="s">
        <v>74</v>
      </c>
      <c r="R106" t="s">
        <v>74</v>
      </c>
      <c r="S106" t="s">
        <v>74</v>
      </c>
      <c r="T106" t="s">
        <v>1999</v>
      </c>
      <c r="U106" t="s">
        <v>2000</v>
      </c>
      <c r="V106" t="s">
        <v>2001</v>
      </c>
      <c r="W106" t="s">
        <v>2002</v>
      </c>
      <c r="X106" t="s">
        <v>2003</v>
      </c>
      <c r="Y106" t="s">
        <v>2004</v>
      </c>
      <c r="Z106" t="s">
        <v>2005</v>
      </c>
      <c r="AA106" t="s">
        <v>2006</v>
      </c>
      <c r="AB106" t="s">
        <v>2007</v>
      </c>
      <c r="AC106" t="s">
        <v>2008</v>
      </c>
      <c r="AD106" t="s">
        <v>2003</v>
      </c>
      <c r="AE106" t="s">
        <v>2009</v>
      </c>
      <c r="AF106" t="s">
        <v>74</v>
      </c>
      <c r="AG106">
        <v>57</v>
      </c>
      <c r="AH106">
        <v>79</v>
      </c>
      <c r="AI106">
        <v>81</v>
      </c>
      <c r="AJ106">
        <v>4</v>
      </c>
      <c r="AK106">
        <v>128</v>
      </c>
      <c r="AL106" t="s">
        <v>1099</v>
      </c>
      <c r="AM106" t="s">
        <v>305</v>
      </c>
      <c r="AN106" t="s">
        <v>1100</v>
      </c>
      <c r="AO106" t="s">
        <v>2010</v>
      </c>
      <c r="AP106" t="s">
        <v>2011</v>
      </c>
      <c r="AQ106" t="s">
        <v>74</v>
      </c>
      <c r="AR106" t="s">
        <v>2012</v>
      </c>
      <c r="AS106" t="s">
        <v>2013</v>
      </c>
      <c r="AT106" t="s">
        <v>405</v>
      </c>
      <c r="AU106">
        <v>2017</v>
      </c>
      <c r="AV106">
        <v>29</v>
      </c>
      <c r="AW106">
        <v>2</v>
      </c>
      <c r="AX106" t="s">
        <v>74</v>
      </c>
      <c r="AY106" t="s">
        <v>74</v>
      </c>
      <c r="AZ106" t="s">
        <v>74</v>
      </c>
      <c r="BA106" t="s">
        <v>74</v>
      </c>
      <c r="BB106">
        <v>219</v>
      </c>
      <c r="BC106">
        <v>232</v>
      </c>
      <c r="BD106" t="s">
        <v>74</v>
      </c>
      <c r="BE106" t="s">
        <v>2014</v>
      </c>
      <c r="BF106" t="str">
        <f>HYPERLINK("http://dx.doi.org/10.1080/09537325.2016.1211265","http://dx.doi.org/10.1080/09537325.2016.1211265")</f>
        <v>http://dx.doi.org/10.1080/09537325.2016.1211265</v>
      </c>
      <c r="BG106" t="s">
        <v>74</v>
      </c>
      <c r="BH106" t="s">
        <v>74</v>
      </c>
      <c r="BI106">
        <v>14</v>
      </c>
      <c r="BJ106" t="s">
        <v>2015</v>
      </c>
      <c r="BK106" t="s">
        <v>94</v>
      </c>
      <c r="BL106" t="s">
        <v>2016</v>
      </c>
      <c r="BM106" t="s">
        <v>2017</v>
      </c>
      <c r="BN106" t="s">
        <v>74</v>
      </c>
      <c r="BO106" t="s">
        <v>74</v>
      </c>
      <c r="BP106" t="s">
        <v>74</v>
      </c>
      <c r="BQ106" t="s">
        <v>74</v>
      </c>
      <c r="BR106" t="s">
        <v>97</v>
      </c>
      <c r="BS106" t="s">
        <v>2018</v>
      </c>
      <c r="BT106" t="str">
        <f>HYPERLINK("https%3A%2F%2Fwww.webofscience.com%2Fwos%2Fwoscc%2Ffull-record%2FWOS:000392434500008","View Full Record in Web of Science")</f>
        <v>View Full Record in Web of Science</v>
      </c>
    </row>
    <row r="107" spans="1:72" x14ac:dyDescent="0.25">
      <c r="A107" t="s">
        <v>72</v>
      </c>
      <c r="B107" t="s">
        <v>2019</v>
      </c>
      <c r="C107" t="s">
        <v>74</v>
      </c>
      <c r="D107" t="s">
        <v>74</v>
      </c>
      <c r="E107" t="s">
        <v>74</v>
      </c>
      <c r="F107" t="s">
        <v>2020</v>
      </c>
      <c r="G107" t="s">
        <v>74</v>
      </c>
      <c r="H107" t="s">
        <v>74</v>
      </c>
      <c r="I107" t="s">
        <v>2021</v>
      </c>
      <c r="J107" t="s">
        <v>2022</v>
      </c>
      <c r="K107" t="s">
        <v>74</v>
      </c>
      <c r="L107" t="s">
        <v>74</v>
      </c>
      <c r="M107" t="s">
        <v>77</v>
      </c>
      <c r="N107" t="s">
        <v>78</v>
      </c>
      <c r="O107" t="s">
        <v>74</v>
      </c>
      <c r="P107" t="s">
        <v>74</v>
      </c>
      <c r="Q107" t="s">
        <v>74</v>
      </c>
      <c r="R107" t="s">
        <v>74</v>
      </c>
      <c r="S107" t="s">
        <v>74</v>
      </c>
      <c r="T107" t="s">
        <v>2023</v>
      </c>
      <c r="U107" t="s">
        <v>2024</v>
      </c>
      <c r="V107" t="s">
        <v>2025</v>
      </c>
      <c r="W107" t="s">
        <v>2026</v>
      </c>
      <c r="X107" t="s">
        <v>2027</v>
      </c>
      <c r="Y107" t="s">
        <v>2028</v>
      </c>
      <c r="Z107" t="s">
        <v>2029</v>
      </c>
      <c r="AA107" t="s">
        <v>2030</v>
      </c>
      <c r="AB107" t="s">
        <v>2031</v>
      </c>
      <c r="AC107" t="s">
        <v>74</v>
      </c>
      <c r="AD107" t="s">
        <v>74</v>
      </c>
      <c r="AE107" t="s">
        <v>74</v>
      </c>
      <c r="AF107" t="s">
        <v>74</v>
      </c>
      <c r="AG107">
        <v>51</v>
      </c>
      <c r="AH107">
        <v>79</v>
      </c>
      <c r="AI107">
        <v>81</v>
      </c>
      <c r="AJ107">
        <v>1</v>
      </c>
      <c r="AK107">
        <v>33</v>
      </c>
      <c r="AL107" t="s">
        <v>2032</v>
      </c>
      <c r="AM107" t="s">
        <v>666</v>
      </c>
      <c r="AN107" t="s">
        <v>667</v>
      </c>
      <c r="AO107" t="s">
        <v>2033</v>
      </c>
      <c r="AP107" t="s">
        <v>74</v>
      </c>
      <c r="AQ107" t="s">
        <v>74</v>
      </c>
      <c r="AR107" t="s">
        <v>2034</v>
      </c>
      <c r="AS107" t="s">
        <v>2035</v>
      </c>
      <c r="AT107" t="s">
        <v>74</v>
      </c>
      <c r="AU107">
        <v>2009</v>
      </c>
      <c r="AV107">
        <v>111</v>
      </c>
      <c r="AW107">
        <v>8</v>
      </c>
      <c r="AX107" t="s">
        <v>74</v>
      </c>
      <c r="AY107" t="s">
        <v>74</v>
      </c>
      <c r="AZ107" t="s">
        <v>74</v>
      </c>
      <c r="BA107" t="s">
        <v>74</v>
      </c>
      <c r="BB107">
        <v>820</v>
      </c>
      <c r="BC107">
        <v>838</v>
      </c>
      <c r="BD107" t="s">
        <v>74</v>
      </c>
      <c r="BE107" t="s">
        <v>2036</v>
      </c>
      <c r="BF107" t="str">
        <f>HYPERLINK("http://dx.doi.org/10.1108/00070700910980946","http://dx.doi.org/10.1108/00070700910980946")</f>
        <v>http://dx.doi.org/10.1108/00070700910980946</v>
      </c>
      <c r="BG107" t="s">
        <v>74</v>
      </c>
      <c r="BH107" t="s">
        <v>74</v>
      </c>
      <c r="BI107">
        <v>19</v>
      </c>
      <c r="BJ107" t="s">
        <v>2037</v>
      </c>
      <c r="BK107" t="s">
        <v>147</v>
      </c>
      <c r="BL107" t="s">
        <v>2038</v>
      </c>
      <c r="BM107" t="s">
        <v>2039</v>
      </c>
      <c r="BN107" t="s">
        <v>74</v>
      </c>
      <c r="BO107" t="s">
        <v>74</v>
      </c>
      <c r="BP107" t="s">
        <v>74</v>
      </c>
      <c r="BQ107" t="s">
        <v>74</v>
      </c>
      <c r="BR107" t="s">
        <v>97</v>
      </c>
      <c r="BS107" t="s">
        <v>2040</v>
      </c>
      <c r="BT107" t="str">
        <f>HYPERLINK("https%3A%2F%2Fwww.webofscience.com%2Fwos%2Fwoscc%2Ffull-record%2FWOS:000271594500007","View Full Record in Web of Science")</f>
        <v>View Full Record in Web of Science</v>
      </c>
    </row>
    <row r="108" spans="1:72" x14ac:dyDescent="0.25">
      <c r="A108" t="s">
        <v>72</v>
      </c>
      <c r="B108" t="s">
        <v>2041</v>
      </c>
      <c r="C108" t="s">
        <v>74</v>
      </c>
      <c r="D108" t="s">
        <v>74</v>
      </c>
      <c r="E108" t="s">
        <v>74</v>
      </c>
      <c r="F108" t="s">
        <v>2042</v>
      </c>
      <c r="G108" t="s">
        <v>74</v>
      </c>
      <c r="H108" t="s">
        <v>74</v>
      </c>
      <c r="I108" t="s">
        <v>2043</v>
      </c>
      <c r="J108" t="s">
        <v>592</v>
      </c>
      <c r="K108" t="s">
        <v>74</v>
      </c>
      <c r="L108" t="s">
        <v>74</v>
      </c>
      <c r="M108" t="s">
        <v>77</v>
      </c>
      <c r="N108" t="s">
        <v>78</v>
      </c>
      <c r="O108" t="s">
        <v>74</v>
      </c>
      <c r="P108" t="s">
        <v>74</v>
      </c>
      <c r="Q108" t="s">
        <v>74</v>
      </c>
      <c r="R108" t="s">
        <v>74</v>
      </c>
      <c r="S108" t="s">
        <v>74</v>
      </c>
      <c r="T108" t="s">
        <v>2044</v>
      </c>
      <c r="U108" t="s">
        <v>2045</v>
      </c>
      <c r="V108" t="s">
        <v>2046</v>
      </c>
      <c r="W108" t="s">
        <v>2047</v>
      </c>
      <c r="X108" t="s">
        <v>2048</v>
      </c>
      <c r="Y108" t="s">
        <v>2049</v>
      </c>
      <c r="Z108" t="s">
        <v>2050</v>
      </c>
      <c r="AA108" t="s">
        <v>2051</v>
      </c>
      <c r="AB108" t="s">
        <v>2052</v>
      </c>
      <c r="AC108" t="s">
        <v>74</v>
      </c>
      <c r="AD108" t="s">
        <v>74</v>
      </c>
      <c r="AE108" t="s">
        <v>74</v>
      </c>
      <c r="AF108" t="s">
        <v>74</v>
      </c>
      <c r="AG108">
        <v>96</v>
      </c>
      <c r="AH108">
        <v>78</v>
      </c>
      <c r="AI108">
        <v>84</v>
      </c>
      <c r="AJ108">
        <v>8</v>
      </c>
      <c r="AK108">
        <v>116</v>
      </c>
      <c r="AL108" t="s">
        <v>602</v>
      </c>
      <c r="AM108" t="s">
        <v>160</v>
      </c>
      <c r="AN108" t="s">
        <v>603</v>
      </c>
      <c r="AO108" t="s">
        <v>604</v>
      </c>
      <c r="AP108" t="s">
        <v>605</v>
      </c>
      <c r="AQ108" t="s">
        <v>74</v>
      </c>
      <c r="AR108" t="s">
        <v>606</v>
      </c>
      <c r="AS108" t="s">
        <v>607</v>
      </c>
      <c r="AT108" t="s">
        <v>256</v>
      </c>
      <c r="AU108">
        <v>2017</v>
      </c>
      <c r="AV108">
        <v>62</v>
      </c>
      <c r="AW108" t="s">
        <v>74</v>
      </c>
      <c r="AX108" t="s">
        <v>74</v>
      </c>
      <c r="AY108" t="s">
        <v>74</v>
      </c>
      <c r="AZ108" t="s">
        <v>74</v>
      </c>
      <c r="BA108" t="s">
        <v>74</v>
      </c>
      <c r="BB108">
        <v>196</v>
      </c>
      <c r="BC108">
        <v>207</v>
      </c>
      <c r="BD108" t="s">
        <v>74</v>
      </c>
      <c r="BE108" t="s">
        <v>2053</v>
      </c>
      <c r="BF108" t="str">
        <f>HYPERLINK("http://dx.doi.org/10.1016/j.tourman.2017.04.001","http://dx.doi.org/10.1016/j.tourman.2017.04.001")</f>
        <v>http://dx.doi.org/10.1016/j.tourman.2017.04.001</v>
      </c>
      <c r="BG108" t="s">
        <v>74</v>
      </c>
      <c r="BH108" t="s">
        <v>74</v>
      </c>
      <c r="BI108">
        <v>12</v>
      </c>
      <c r="BJ108" t="s">
        <v>609</v>
      </c>
      <c r="BK108" t="s">
        <v>94</v>
      </c>
      <c r="BL108" t="s">
        <v>610</v>
      </c>
      <c r="BM108" t="s">
        <v>2054</v>
      </c>
      <c r="BN108" t="s">
        <v>74</v>
      </c>
      <c r="BO108" t="s">
        <v>408</v>
      </c>
      <c r="BP108" t="s">
        <v>74</v>
      </c>
      <c r="BQ108" t="s">
        <v>74</v>
      </c>
      <c r="BR108" t="s">
        <v>97</v>
      </c>
      <c r="BS108" t="s">
        <v>2055</v>
      </c>
      <c r="BT108" t="str">
        <f>HYPERLINK("https%3A%2F%2Fwww.webofscience.com%2Fwos%2Fwoscc%2Ffull-record%2FWOS:000403984600019","View Full Record in Web of Science")</f>
        <v>View Full Record in Web of Science</v>
      </c>
    </row>
    <row r="109" spans="1:72" x14ac:dyDescent="0.25">
      <c r="A109" t="s">
        <v>72</v>
      </c>
      <c r="B109" t="s">
        <v>2056</v>
      </c>
      <c r="C109" t="s">
        <v>74</v>
      </c>
      <c r="D109" t="s">
        <v>74</v>
      </c>
      <c r="E109" t="s">
        <v>74</v>
      </c>
      <c r="F109" t="s">
        <v>2057</v>
      </c>
      <c r="G109" t="s">
        <v>74</v>
      </c>
      <c r="H109" t="s">
        <v>74</v>
      </c>
      <c r="I109" t="s">
        <v>2058</v>
      </c>
      <c r="J109" t="s">
        <v>2059</v>
      </c>
      <c r="K109" t="s">
        <v>74</v>
      </c>
      <c r="L109" t="s">
        <v>74</v>
      </c>
      <c r="M109" t="s">
        <v>77</v>
      </c>
      <c r="N109" t="s">
        <v>78</v>
      </c>
      <c r="O109" t="s">
        <v>74</v>
      </c>
      <c r="P109" t="s">
        <v>74</v>
      </c>
      <c r="Q109" t="s">
        <v>74</v>
      </c>
      <c r="R109" t="s">
        <v>74</v>
      </c>
      <c r="S109" t="s">
        <v>74</v>
      </c>
      <c r="T109" t="s">
        <v>2060</v>
      </c>
      <c r="U109" t="s">
        <v>2061</v>
      </c>
      <c r="V109" t="s">
        <v>2062</v>
      </c>
      <c r="W109" t="s">
        <v>2063</v>
      </c>
      <c r="X109" t="s">
        <v>2064</v>
      </c>
      <c r="Y109" t="s">
        <v>2065</v>
      </c>
      <c r="Z109" t="s">
        <v>2066</v>
      </c>
      <c r="AA109" t="s">
        <v>74</v>
      </c>
      <c r="AB109" t="s">
        <v>74</v>
      </c>
      <c r="AC109" t="s">
        <v>74</v>
      </c>
      <c r="AD109" t="s">
        <v>74</v>
      </c>
      <c r="AE109" t="s">
        <v>74</v>
      </c>
      <c r="AF109" t="s">
        <v>74</v>
      </c>
      <c r="AG109">
        <v>54</v>
      </c>
      <c r="AH109">
        <v>78</v>
      </c>
      <c r="AI109">
        <v>79</v>
      </c>
      <c r="AJ109">
        <v>4</v>
      </c>
      <c r="AK109">
        <v>103</v>
      </c>
      <c r="AL109" t="s">
        <v>2067</v>
      </c>
      <c r="AM109" t="s">
        <v>2068</v>
      </c>
      <c r="AN109" t="s">
        <v>2069</v>
      </c>
      <c r="AO109" t="s">
        <v>2070</v>
      </c>
      <c r="AP109" t="s">
        <v>2071</v>
      </c>
      <c r="AQ109" t="s">
        <v>74</v>
      </c>
      <c r="AR109" t="s">
        <v>2072</v>
      </c>
      <c r="AS109" t="s">
        <v>2073</v>
      </c>
      <c r="AT109" t="s">
        <v>74</v>
      </c>
      <c r="AU109">
        <v>2013</v>
      </c>
      <c r="AV109">
        <v>41</v>
      </c>
      <c r="AW109">
        <v>1</v>
      </c>
      <c r="AX109" t="s">
        <v>74</v>
      </c>
      <c r="AY109" t="s">
        <v>74</v>
      </c>
      <c r="AZ109" t="s">
        <v>74</v>
      </c>
      <c r="BA109" t="s">
        <v>74</v>
      </c>
      <c r="BB109">
        <v>143</v>
      </c>
      <c r="BC109">
        <v>156</v>
      </c>
      <c r="BD109" t="s">
        <v>74</v>
      </c>
      <c r="BE109" t="s">
        <v>2074</v>
      </c>
      <c r="BF109" t="str">
        <f>HYPERLINK("http://dx.doi.org/10.2224/sbp.2013.41.1.143","http://dx.doi.org/10.2224/sbp.2013.41.1.143")</f>
        <v>http://dx.doi.org/10.2224/sbp.2013.41.1.143</v>
      </c>
      <c r="BG109" t="s">
        <v>74</v>
      </c>
      <c r="BH109" t="s">
        <v>74</v>
      </c>
      <c r="BI109">
        <v>14</v>
      </c>
      <c r="BJ109" t="s">
        <v>459</v>
      </c>
      <c r="BK109" t="s">
        <v>94</v>
      </c>
      <c r="BL109" t="s">
        <v>460</v>
      </c>
      <c r="BM109" t="s">
        <v>2075</v>
      </c>
      <c r="BN109" t="s">
        <v>74</v>
      </c>
      <c r="BO109" t="s">
        <v>74</v>
      </c>
      <c r="BP109" t="s">
        <v>74</v>
      </c>
      <c r="BQ109" t="s">
        <v>74</v>
      </c>
      <c r="BR109" t="s">
        <v>97</v>
      </c>
      <c r="BS109" t="s">
        <v>2076</v>
      </c>
      <c r="BT109" t="str">
        <f>HYPERLINK("https%3A%2F%2Fwww.webofscience.com%2Fwos%2Fwoscc%2Ffull-record%2FWOS:000316054200014","View Full Record in Web of Science")</f>
        <v>View Full Record in Web of Science</v>
      </c>
    </row>
    <row r="110" spans="1:72" x14ac:dyDescent="0.25">
      <c r="A110" t="s">
        <v>72</v>
      </c>
      <c r="B110" t="s">
        <v>2077</v>
      </c>
      <c r="C110" t="s">
        <v>74</v>
      </c>
      <c r="D110" t="s">
        <v>74</v>
      </c>
      <c r="E110" t="s">
        <v>74</v>
      </c>
      <c r="F110" t="s">
        <v>2078</v>
      </c>
      <c r="G110" t="s">
        <v>74</v>
      </c>
      <c r="H110" t="s">
        <v>74</v>
      </c>
      <c r="I110" t="s">
        <v>2079</v>
      </c>
      <c r="J110" t="s">
        <v>424</v>
      </c>
      <c r="K110" t="s">
        <v>74</v>
      </c>
      <c r="L110" t="s">
        <v>74</v>
      </c>
      <c r="M110" t="s">
        <v>77</v>
      </c>
      <c r="N110" t="s">
        <v>78</v>
      </c>
      <c r="O110" t="s">
        <v>74</v>
      </c>
      <c r="P110" t="s">
        <v>74</v>
      </c>
      <c r="Q110" t="s">
        <v>74</v>
      </c>
      <c r="R110" t="s">
        <v>74</v>
      </c>
      <c r="S110" t="s">
        <v>74</v>
      </c>
      <c r="T110" t="s">
        <v>2080</v>
      </c>
      <c r="U110" t="s">
        <v>2081</v>
      </c>
      <c r="V110" t="s">
        <v>2082</v>
      </c>
      <c r="W110" t="s">
        <v>2083</v>
      </c>
      <c r="X110" t="s">
        <v>2084</v>
      </c>
      <c r="Y110" t="s">
        <v>2085</v>
      </c>
      <c r="Z110" t="s">
        <v>2086</v>
      </c>
      <c r="AA110" t="s">
        <v>2087</v>
      </c>
      <c r="AB110" t="s">
        <v>2088</v>
      </c>
      <c r="AC110" t="s">
        <v>74</v>
      </c>
      <c r="AD110" t="s">
        <v>74</v>
      </c>
      <c r="AE110" t="s">
        <v>74</v>
      </c>
      <c r="AF110" t="s">
        <v>74</v>
      </c>
      <c r="AG110">
        <v>56</v>
      </c>
      <c r="AH110">
        <v>78</v>
      </c>
      <c r="AI110">
        <v>84</v>
      </c>
      <c r="AJ110">
        <v>6</v>
      </c>
      <c r="AK110">
        <v>105</v>
      </c>
      <c r="AL110" t="s">
        <v>434</v>
      </c>
      <c r="AM110" t="s">
        <v>435</v>
      </c>
      <c r="AN110" t="s">
        <v>436</v>
      </c>
      <c r="AO110" t="s">
        <v>437</v>
      </c>
      <c r="AP110" t="s">
        <v>438</v>
      </c>
      <c r="AQ110" t="s">
        <v>74</v>
      </c>
      <c r="AR110" t="s">
        <v>439</v>
      </c>
      <c r="AS110" t="s">
        <v>440</v>
      </c>
      <c r="AT110" t="s">
        <v>405</v>
      </c>
      <c r="AU110">
        <v>2012</v>
      </c>
      <c r="AV110">
        <v>41</v>
      </c>
      <c r="AW110">
        <v>1</v>
      </c>
      <c r="AX110" t="s">
        <v>74</v>
      </c>
      <c r="AY110" t="s">
        <v>74</v>
      </c>
      <c r="AZ110" t="s">
        <v>74</v>
      </c>
      <c r="BA110" t="s">
        <v>74</v>
      </c>
      <c r="BB110">
        <v>178</v>
      </c>
      <c r="BC110">
        <v>189</v>
      </c>
      <c r="BD110" t="s">
        <v>74</v>
      </c>
      <c r="BE110" t="s">
        <v>2089</v>
      </c>
      <c r="BF110" t="str">
        <f>HYPERLINK("http://dx.doi.org/10.1016/j.respol.2011.07.005","http://dx.doi.org/10.1016/j.respol.2011.07.005")</f>
        <v>http://dx.doi.org/10.1016/j.respol.2011.07.005</v>
      </c>
      <c r="BG110" t="s">
        <v>74</v>
      </c>
      <c r="BH110" t="s">
        <v>74</v>
      </c>
      <c r="BI110">
        <v>12</v>
      </c>
      <c r="BJ110" t="s">
        <v>442</v>
      </c>
      <c r="BK110" t="s">
        <v>94</v>
      </c>
      <c r="BL110" t="s">
        <v>95</v>
      </c>
      <c r="BM110" t="s">
        <v>2090</v>
      </c>
      <c r="BN110" t="s">
        <v>74</v>
      </c>
      <c r="BO110" t="s">
        <v>74</v>
      </c>
      <c r="BP110" t="s">
        <v>74</v>
      </c>
      <c r="BQ110" t="s">
        <v>74</v>
      </c>
      <c r="BR110" t="s">
        <v>97</v>
      </c>
      <c r="BS110" t="s">
        <v>2091</v>
      </c>
      <c r="BT110" t="str">
        <f>HYPERLINK("https%3A%2F%2Fwww.webofscience.com%2Fwos%2Fwoscc%2Ffull-record%2FWOS:000298909700014","View Full Record in Web of Science")</f>
        <v>View Full Record in Web of Science</v>
      </c>
    </row>
    <row r="111" spans="1:72" x14ac:dyDescent="0.25">
      <c r="A111" t="s">
        <v>72</v>
      </c>
      <c r="B111" t="s">
        <v>2092</v>
      </c>
      <c r="C111" t="s">
        <v>74</v>
      </c>
      <c r="D111" t="s">
        <v>74</v>
      </c>
      <c r="E111" t="s">
        <v>74</v>
      </c>
      <c r="F111" t="s">
        <v>2092</v>
      </c>
      <c r="G111" t="s">
        <v>74</v>
      </c>
      <c r="H111" t="s">
        <v>74</v>
      </c>
      <c r="I111" t="s">
        <v>2093</v>
      </c>
      <c r="J111" t="s">
        <v>2094</v>
      </c>
      <c r="K111" t="s">
        <v>74</v>
      </c>
      <c r="L111" t="s">
        <v>74</v>
      </c>
      <c r="M111" t="s">
        <v>77</v>
      </c>
      <c r="N111" t="s">
        <v>78</v>
      </c>
      <c r="O111" t="s">
        <v>74</v>
      </c>
      <c r="P111" t="s">
        <v>74</v>
      </c>
      <c r="Q111" t="s">
        <v>74</v>
      </c>
      <c r="R111" t="s">
        <v>74</v>
      </c>
      <c r="S111" t="s">
        <v>74</v>
      </c>
      <c r="T111" t="s">
        <v>74</v>
      </c>
      <c r="U111" t="s">
        <v>74</v>
      </c>
      <c r="V111" t="s">
        <v>74</v>
      </c>
      <c r="W111" t="s">
        <v>2095</v>
      </c>
      <c r="X111" t="s">
        <v>2096</v>
      </c>
      <c r="Y111" t="s">
        <v>2097</v>
      </c>
      <c r="Z111" t="s">
        <v>74</v>
      </c>
      <c r="AA111" t="s">
        <v>74</v>
      </c>
      <c r="AB111" t="s">
        <v>2098</v>
      </c>
      <c r="AC111" t="s">
        <v>2099</v>
      </c>
      <c r="AD111" t="s">
        <v>2100</v>
      </c>
      <c r="AE111" t="s">
        <v>74</v>
      </c>
      <c r="AF111" t="s">
        <v>74</v>
      </c>
      <c r="AG111">
        <v>30</v>
      </c>
      <c r="AH111">
        <v>78</v>
      </c>
      <c r="AI111">
        <v>78</v>
      </c>
      <c r="AJ111">
        <v>0</v>
      </c>
      <c r="AK111">
        <v>15</v>
      </c>
      <c r="AL111" t="s">
        <v>2101</v>
      </c>
      <c r="AM111" t="s">
        <v>2102</v>
      </c>
      <c r="AN111" t="s">
        <v>2103</v>
      </c>
      <c r="AO111" t="s">
        <v>2104</v>
      </c>
      <c r="AP111" t="s">
        <v>74</v>
      </c>
      <c r="AQ111" t="s">
        <v>74</v>
      </c>
      <c r="AR111" t="s">
        <v>2105</v>
      </c>
      <c r="AS111" t="s">
        <v>2106</v>
      </c>
      <c r="AT111" t="s">
        <v>74</v>
      </c>
      <c r="AU111">
        <v>1990</v>
      </c>
      <c r="AV111">
        <v>54</v>
      </c>
      <c r="AW111" t="s">
        <v>1478</v>
      </c>
      <c r="AX111" t="s">
        <v>74</v>
      </c>
      <c r="AY111" t="s">
        <v>74</v>
      </c>
      <c r="AZ111" t="s">
        <v>74</v>
      </c>
      <c r="BA111" t="s">
        <v>74</v>
      </c>
      <c r="BB111">
        <v>155</v>
      </c>
      <c r="BC111">
        <v>165</v>
      </c>
      <c r="BD111" t="s">
        <v>74</v>
      </c>
      <c r="BE111" t="s">
        <v>2107</v>
      </c>
      <c r="BF111" t="str">
        <f>HYPERLINK("http://dx.doi.org/10.1159/000156439","http://dx.doi.org/10.1159/000156439")</f>
        <v>http://dx.doi.org/10.1159/000156439</v>
      </c>
      <c r="BG111" t="s">
        <v>74</v>
      </c>
      <c r="BH111" t="s">
        <v>74</v>
      </c>
      <c r="BI111">
        <v>11</v>
      </c>
      <c r="BJ111" t="s">
        <v>2108</v>
      </c>
      <c r="BK111" t="s">
        <v>147</v>
      </c>
      <c r="BL111" t="s">
        <v>2108</v>
      </c>
      <c r="BM111" t="s">
        <v>2109</v>
      </c>
      <c r="BN111">
        <v>2202617</v>
      </c>
      <c r="BO111" t="s">
        <v>74</v>
      </c>
      <c r="BP111" t="s">
        <v>74</v>
      </c>
      <c r="BQ111" t="s">
        <v>74</v>
      </c>
      <c r="BR111" t="s">
        <v>97</v>
      </c>
      <c r="BS111" t="s">
        <v>2110</v>
      </c>
      <c r="BT111" t="str">
        <f>HYPERLINK("https%3A%2F%2Fwww.webofscience.com%2Fwos%2Fwoscc%2Ffull-record%2FWOS:A1990DP30000007","View Full Record in Web of Science")</f>
        <v>View Full Record in Web of Science</v>
      </c>
    </row>
    <row r="112" spans="1:72" x14ac:dyDescent="0.25">
      <c r="A112" t="s">
        <v>72</v>
      </c>
      <c r="B112" t="s">
        <v>2111</v>
      </c>
      <c r="C112" t="s">
        <v>74</v>
      </c>
      <c r="D112" t="s">
        <v>74</v>
      </c>
      <c r="E112" t="s">
        <v>74</v>
      </c>
      <c r="F112" t="s">
        <v>2112</v>
      </c>
      <c r="G112" t="s">
        <v>74</v>
      </c>
      <c r="H112" t="s">
        <v>74</v>
      </c>
      <c r="I112" t="s">
        <v>2113</v>
      </c>
      <c r="J112" t="s">
        <v>2114</v>
      </c>
      <c r="K112" t="s">
        <v>74</v>
      </c>
      <c r="L112" t="s">
        <v>74</v>
      </c>
      <c r="M112" t="s">
        <v>77</v>
      </c>
      <c r="N112" t="s">
        <v>78</v>
      </c>
      <c r="O112" t="s">
        <v>74</v>
      </c>
      <c r="P112" t="s">
        <v>74</v>
      </c>
      <c r="Q112" t="s">
        <v>74</v>
      </c>
      <c r="R112" t="s">
        <v>74</v>
      </c>
      <c r="S112" t="s">
        <v>74</v>
      </c>
      <c r="T112" t="s">
        <v>2115</v>
      </c>
      <c r="U112" t="s">
        <v>2116</v>
      </c>
      <c r="V112" t="s">
        <v>2117</v>
      </c>
      <c r="W112" t="s">
        <v>2118</v>
      </c>
      <c r="X112" t="s">
        <v>2119</v>
      </c>
      <c r="Y112" t="s">
        <v>2120</v>
      </c>
      <c r="Z112" t="s">
        <v>2121</v>
      </c>
      <c r="AA112" t="s">
        <v>2122</v>
      </c>
      <c r="AB112" t="s">
        <v>2123</v>
      </c>
      <c r="AC112" t="s">
        <v>74</v>
      </c>
      <c r="AD112" t="s">
        <v>74</v>
      </c>
      <c r="AE112" t="s">
        <v>74</v>
      </c>
      <c r="AF112" t="s">
        <v>74</v>
      </c>
      <c r="AG112">
        <v>42</v>
      </c>
      <c r="AH112">
        <v>76</v>
      </c>
      <c r="AI112">
        <v>76</v>
      </c>
      <c r="AJ112">
        <v>4</v>
      </c>
      <c r="AK112">
        <v>66</v>
      </c>
      <c r="AL112" t="s">
        <v>218</v>
      </c>
      <c r="AM112" t="s">
        <v>219</v>
      </c>
      <c r="AN112" t="s">
        <v>220</v>
      </c>
      <c r="AO112" t="s">
        <v>2124</v>
      </c>
      <c r="AP112" t="s">
        <v>2125</v>
      </c>
      <c r="AQ112" t="s">
        <v>74</v>
      </c>
      <c r="AR112" t="s">
        <v>2126</v>
      </c>
      <c r="AS112" t="s">
        <v>2127</v>
      </c>
      <c r="AT112" t="s">
        <v>792</v>
      </c>
      <c r="AU112">
        <v>2019</v>
      </c>
      <c r="AV112">
        <v>29</v>
      </c>
      <c r="AW112">
        <v>3</v>
      </c>
      <c r="AX112" t="s">
        <v>74</v>
      </c>
      <c r="AY112" t="s">
        <v>74</v>
      </c>
      <c r="AZ112" t="s">
        <v>74</v>
      </c>
      <c r="BA112" t="s">
        <v>74</v>
      </c>
      <c r="BB112">
        <v>509</v>
      </c>
      <c r="BC112">
        <v>526</v>
      </c>
      <c r="BD112" t="s">
        <v>74</v>
      </c>
      <c r="BE112" t="s">
        <v>2128</v>
      </c>
      <c r="BF112" t="str">
        <f>HYPERLINK("http://dx.doi.org/10.1111/1748-8583.12203","http://dx.doi.org/10.1111/1748-8583.12203")</f>
        <v>http://dx.doi.org/10.1111/1748-8583.12203</v>
      </c>
      <c r="BG112" t="s">
        <v>74</v>
      </c>
      <c r="BH112" t="s">
        <v>74</v>
      </c>
      <c r="BI112">
        <v>18</v>
      </c>
      <c r="BJ112" t="s">
        <v>673</v>
      </c>
      <c r="BK112" t="s">
        <v>94</v>
      </c>
      <c r="BL112" t="s">
        <v>95</v>
      </c>
      <c r="BM112" t="s">
        <v>2129</v>
      </c>
      <c r="BN112" t="s">
        <v>74</v>
      </c>
      <c r="BO112" t="s">
        <v>2130</v>
      </c>
      <c r="BP112" t="s">
        <v>74</v>
      </c>
      <c r="BQ112" t="s">
        <v>74</v>
      </c>
      <c r="BR112" t="s">
        <v>97</v>
      </c>
      <c r="BS112" t="s">
        <v>2131</v>
      </c>
      <c r="BT112" t="str">
        <f>HYPERLINK("https%3A%2F%2Fwww.webofscience.com%2Fwos%2Fwoscc%2Ffull-record%2FWOS:000475630900011","View Full Record in Web of Science")</f>
        <v>View Full Record in Web of Science</v>
      </c>
    </row>
    <row r="113" spans="1:72" x14ac:dyDescent="0.25">
      <c r="A113" t="s">
        <v>72</v>
      </c>
      <c r="B113" t="s">
        <v>2132</v>
      </c>
      <c r="C113" t="s">
        <v>74</v>
      </c>
      <c r="D113" t="s">
        <v>74</v>
      </c>
      <c r="E113" t="s">
        <v>74</v>
      </c>
      <c r="F113" t="s">
        <v>2133</v>
      </c>
      <c r="G113" t="s">
        <v>74</v>
      </c>
      <c r="H113" t="s">
        <v>74</v>
      </c>
      <c r="I113" t="s">
        <v>2134</v>
      </c>
      <c r="J113" t="s">
        <v>779</v>
      </c>
      <c r="K113" t="s">
        <v>74</v>
      </c>
      <c r="L113" t="s">
        <v>74</v>
      </c>
      <c r="M113" t="s">
        <v>77</v>
      </c>
      <c r="N113" t="s">
        <v>78</v>
      </c>
      <c r="O113" t="s">
        <v>74</v>
      </c>
      <c r="P113" t="s">
        <v>74</v>
      </c>
      <c r="Q113" t="s">
        <v>74</v>
      </c>
      <c r="R113" t="s">
        <v>74</v>
      </c>
      <c r="S113" t="s">
        <v>74</v>
      </c>
      <c r="T113" t="s">
        <v>74</v>
      </c>
      <c r="U113" t="s">
        <v>2135</v>
      </c>
      <c r="V113" t="s">
        <v>2136</v>
      </c>
      <c r="W113" t="s">
        <v>2137</v>
      </c>
      <c r="X113" t="s">
        <v>2138</v>
      </c>
      <c r="Y113" t="s">
        <v>2139</v>
      </c>
      <c r="Z113" t="s">
        <v>2140</v>
      </c>
      <c r="AA113" t="s">
        <v>74</v>
      </c>
      <c r="AB113" t="s">
        <v>74</v>
      </c>
      <c r="AC113" t="s">
        <v>74</v>
      </c>
      <c r="AD113" t="s">
        <v>74</v>
      </c>
      <c r="AE113" t="s">
        <v>74</v>
      </c>
      <c r="AF113" t="s">
        <v>74</v>
      </c>
      <c r="AG113">
        <v>99</v>
      </c>
      <c r="AH113">
        <v>76</v>
      </c>
      <c r="AI113">
        <v>77</v>
      </c>
      <c r="AJ113">
        <v>4</v>
      </c>
      <c r="AK113">
        <v>158</v>
      </c>
      <c r="AL113" t="s">
        <v>218</v>
      </c>
      <c r="AM113" t="s">
        <v>219</v>
      </c>
      <c r="AN113" t="s">
        <v>220</v>
      </c>
      <c r="AO113" t="s">
        <v>789</v>
      </c>
      <c r="AP113" t="s">
        <v>1320</v>
      </c>
      <c r="AQ113" t="s">
        <v>74</v>
      </c>
      <c r="AR113" t="s">
        <v>790</v>
      </c>
      <c r="AS113" t="s">
        <v>791</v>
      </c>
      <c r="AT113" t="s">
        <v>584</v>
      </c>
      <c r="AU113">
        <v>2014</v>
      </c>
      <c r="AV113">
        <v>31</v>
      </c>
      <c r="AW113">
        <v>6</v>
      </c>
      <c r="AX113" t="s">
        <v>74</v>
      </c>
      <c r="AY113" t="s">
        <v>74</v>
      </c>
      <c r="AZ113" t="s">
        <v>74</v>
      </c>
      <c r="BA113" t="s">
        <v>74</v>
      </c>
      <c r="BB113">
        <v>1254</v>
      </c>
      <c r="BC113">
        <v>1267</v>
      </c>
      <c r="BD113" t="s">
        <v>74</v>
      </c>
      <c r="BE113" t="s">
        <v>2141</v>
      </c>
      <c r="BF113" t="str">
        <f>HYPERLINK("http://dx.doi.org/10.1111/jpim.12149","http://dx.doi.org/10.1111/jpim.12149")</f>
        <v>http://dx.doi.org/10.1111/jpim.12149</v>
      </c>
      <c r="BG113" t="s">
        <v>74</v>
      </c>
      <c r="BH113" t="s">
        <v>74</v>
      </c>
      <c r="BI113">
        <v>14</v>
      </c>
      <c r="BJ113" t="s">
        <v>794</v>
      </c>
      <c r="BK113" t="s">
        <v>147</v>
      </c>
      <c r="BL113" t="s">
        <v>795</v>
      </c>
      <c r="BM113" t="s">
        <v>2142</v>
      </c>
      <c r="BN113" t="s">
        <v>74</v>
      </c>
      <c r="BO113" t="s">
        <v>74</v>
      </c>
      <c r="BP113" t="s">
        <v>74</v>
      </c>
      <c r="BQ113" t="s">
        <v>74</v>
      </c>
      <c r="BR113" t="s">
        <v>97</v>
      </c>
      <c r="BS113" t="s">
        <v>2143</v>
      </c>
      <c r="BT113" t="str">
        <f>HYPERLINK("https%3A%2F%2Fwww.webofscience.com%2Fwos%2Fwoscc%2Ffull-record%2FWOS:000343863400009","View Full Record in Web of Science")</f>
        <v>View Full Record in Web of Science</v>
      </c>
    </row>
    <row r="114" spans="1:72" x14ac:dyDescent="0.25">
      <c r="A114" t="s">
        <v>72</v>
      </c>
      <c r="B114" t="s">
        <v>2144</v>
      </c>
      <c r="C114" t="s">
        <v>74</v>
      </c>
      <c r="D114" t="s">
        <v>74</v>
      </c>
      <c r="E114" t="s">
        <v>74</v>
      </c>
      <c r="F114" t="s">
        <v>2145</v>
      </c>
      <c r="G114" t="s">
        <v>74</v>
      </c>
      <c r="H114" t="s">
        <v>74</v>
      </c>
      <c r="I114" t="s">
        <v>2146</v>
      </c>
      <c r="J114" t="s">
        <v>2147</v>
      </c>
      <c r="K114" t="s">
        <v>74</v>
      </c>
      <c r="L114" t="s">
        <v>74</v>
      </c>
      <c r="M114" t="s">
        <v>77</v>
      </c>
      <c r="N114" t="s">
        <v>78</v>
      </c>
      <c r="O114" t="s">
        <v>74</v>
      </c>
      <c r="P114" t="s">
        <v>74</v>
      </c>
      <c r="Q114" t="s">
        <v>74</v>
      </c>
      <c r="R114" t="s">
        <v>74</v>
      </c>
      <c r="S114" t="s">
        <v>74</v>
      </c>
      <c r="T114" t="s">
        <v>2148</v>
      </c>
      <c r="U114" t="s">
        <v>2149</v>
      </c>
      <c r="V114" t="s">
        <v>2150</v>
      </c>
      <c r="W114" t="s">
        <v>2151</v>
      </c>
      <c r="X114" t="s">
        <v>662</v>
      </c>
      <c r="Y114" t="s">
        <v>472</v>
      </c>
      <c r="Z114" t="s">
        <v>2152</v>
      </c>
      <c r="AA114" t="s">
        <v>2153</v>
      </c>
      <c r="AB114" t="s">
        <v>2154</v>
      </c>
      <c r="AC114" t="s">
        <v>74</v>
      </c>
      <c r="AD114" t="s">
        <v>74</v>
      </c>
      <c r="AE114" t="s">
        <v>74</v>
      </c>
      <c r="AF114" t="s">
        <v>74</v>
      </c>
      <c r="AG114">
        <v>102</v>
      </c>
      <c r="AH114">
        <v>76</v>
      </c>
      <c r="AI114">
        <v>80</v>
      </c>
      <c r="AJ114">
        <v>5</v>
      </c>
      <c r="AK114">
        <v>102</v>
      </c>
      <c r="AL114" t="s">
        <v>577</v>
      </c>
      <c r="AM114" t="s">
        <v>578</v>
      </c>
      <c r="AN114" t="s">
        <v>579</v>
      </c>
      <c r="AO114" t="s">
        <v>2155</v>
      </c>
      <c r="AP114" t="s">
        <v>2156</v>
      </c>
      <c r="AQ114" t="s">
        <v>74</v>
      </c>
      <c r="AR114" t="s">
        <v>2157</v>
      </c>
      <c r="AS114" t="s">
        <v>2158</v>
      </c>
      <c r="AT114" t="s">
        <v>122</v>
      </c>
      <c r="AU114">
        <v>2011</v>
      </c>
      <c r="AV114">
        <v>78</v>
      </c>
      <c r="AW114">
        <v>2</v>
      </c>
      <c r="AX114" t="s">
        <v>74</v>
      </c>
      <c r="AY114" t="s">
        <v>74</v>
      </c>
      <c r="AZ114" t="s">
        <v>74</v>
      </c>
      <c r="BA114" t="s">
        <v>74</v>
      </c>
      <c r="BB114">
        <v>290</v>
      </c>
      <c r="BC114">
        <v>304</v>
      </c>
      <c r="BD114" t="s">
        <v>74</v>
      </c>
      <c r="BE114" t="s">
        <v>2159</v>
      </c>
      <c r="BF114" t="str">
        <f>HYPERLINK("http://dx.doi.org/10.1016/j.jvb.2010.09.005","http://dx.doi.org/10.1016/j.jvb.2010.09.005")</f>
        <v>http://dx.doi.org/10.1016/j.jvb.2010.09.005</v>
      </c>
      <c r="BG114" t="s">
        <v>74</v>
      </c>
      <c r="BH114" t="s">
        <v>74</v>
      </c>
      <c r="BI114">
        <v>15</v>
      </c>
      <c r="BJ114" t="s">
        <v>692</v>
      </c>
      <c r="BK114" t="s">
        <v>94</v>
      </c>
      <c r="BL114" t="s">
        <v>460</v>
      </c>
      <c r="BM114" t="s">
        <v>2160</v>
      </c>
      <c r="BN114" t="s">
        <v>74</v>
      </c>
      <c r="BO114" t="s">
        <v>74</v>
      </c>
      <c r="BP114" t="s">
        <v>74</v>
      </c>
      <c r="BQ114" t="s">
        <v>74</v>
      </c>
      <c r="BR114" t="s">
        <v>97</v>
      </c>
      <c r="BS114" t="s">
        <v>2161</v>
      </c>
      <c r="BT114" t="str">
        <f>HYPERLINK("https%3A%2F%2Fwww.webofscience.com%2Fwos%2Fwoscc%2Ffull-record%2FWOS:000288474700015","View Full Record in Web of Science")</f>
        <v>View Full Record in Web of Science</v>
      </c>
    </row>
    <row r="115" spans="1:72" x14ac:dyDescent="0.25">
      <c r="A115" t="s">
        <v>72</v>
      </c>
      <c r="B115" t="s">
        <v>2162</v>
      </c>
      <c r="C115" t="s">
        <v>74</v>
      </c>
      <c r="D115" t="s">
        <v>74</v>
      </c>
      <c r="E115" t="s">
        <v>74</v>
      </c>
      <c r="F115" t="s">
        <v>2163</v>
      </c>
      <c r="G115" t="s">
        <v>74</v>
      </c>
      <c r="H115" t="s">
        <v>74</v>
      </c>
      <c r="I115" t="s">
        <v>2164</v>
      </c>
      <c r="J115" t="s">
        <v>1290</v>
      </c>
      <c r="K115" t="s">
        <v>74</v>
      </c>
      <c r="L115" t="s">
        <v>74</v>
      </c>
      <c r="M115" t="s">
        <v>77</v>
      </c>
      <c r="N115" t="s">
        <v>78</v>
      </c>
      <c r="O115" t="s">
        <v>74</v>
      </c>
      <c r="P115" t="s">
        <v>74</v>
      </c>
      <c r="Q115" t="s">
        <v>74</v>
      </c>
      <c r="R115" t="s">
        <v>74</v>
      </c>
      <c r="S115" t="s">
        <v>74</v>
      </c>
      <c r="T115" t="s">
        <v>2165</v>
      </c>
      <c r="U115" t="s">
        <v>2166</v>
      </c>
      <c r="V115" t="s">
        <v>2167</v>
      </c>
      <c r="W115" t="s">
        <v>2168</v>
      </c>
      <c r="X115" t="s">
        <v>2169</v>
      </c>
      <c r="Y115" t="s">
        <v>2170</v>
      </c>
      <c r="Z115" t="s">
        <v>2171</v>
      </c>
      <c r="AA115" t="s">
        <v>2172</v>
      </c>
      <c r="AB115" t="s">
        <v>2173</v>
      </c>
      <c r="AC115" t="s">
        <v>74</v>
      </c>
      <c r="AD115" t="s">
        <v>74</v>
      </c>
      <c r="AE115" t="s">
        <v>74</v>
      </c>
      <c r="AF115" t="s">
        <v>74</v>
      </c>
      <c r="AG115">
        <v>86</v>
      </c>
      <c r="AH115">
        <v>73</v>
      </c>
      <c r="AI115">
        <v>74</v>
      </c>
      <c r="AJ115">
        <v>30</v>
      </c>
      <c r="AK115">
        <v>108</v>
      </c>
      <c r="AL115" t="s">
        <v>665</v>
      </c>
      <c r="AM115" t="s">
        <v>666</v>
      </c>
      <c r="AN115" t="s">
        <v>667</v>
      </c>
      <c r="AO115" t="s">
        <v>1300</v>
      </c>
      <c r="AP115" t="s">
        <v>1301</v>
      </c>
      <c r="AQ115" t="s">
        <v>74</v>
      </c>
      <c r="AR115" t="s">
        <v>1302</v>
      </c>
      <c r="AS115" t="s">
        <v>1303</v>
      </c>
      <c r="AT115" t="s">
        <v>2174</v>
      </c>
      <c r="AU115">
        <v>2020</v>
      </c>
      <c r="AV115">
        <v>32</v>
      </c>
      <c r="AW115">
        <v>8</v>
      </c>
      <c r="AX115" t="s">
        <v>74</v>
      </c>
      <c r="AY115" t="s">
        <v>74</v>
      </c>
      <c r="AZ115" t="s">
        <v>74</v>
      </c>
      <c r="BA115" t="s">
        <v>74</v>
      </c>
      <c r="BB115">
        <v>2497</v>
      </c>
      <c r="BC115">
        <v>2517</v>
      </c>
      <c r="BD115" t="s">
        <v>74</v>
      </c>
      <c r="BE115" t="s">
        <v>2175</v>
      </c>
      <c r="BF115" t="str">
        <f>HYPERLINK("http://dx.doi.org/10.1108/IJCHM-03-2020-0219","http://dx.doi.org/10.1108/IJCHM-03-2020-0219")</f>
        <v>http://dx.doi.org/10.1108/IJCHM-03-2020-0219</v>
      </c>
      <c r="BG115" t="s">
        <v>74</v>
      </c>
      <c r="BH115" t="s">
        <v>2176</v>
      </c>
      <c r="BI115">
        <v>21</v>
      </c>
      <c r="BJ115" t="s">
        <v>1305</v>
      </c>
      <c r="BK115" t="s">
        <v>94</v>
      </c>
      <c r="BL115" t="s">
        <v>1306</v>
      </c>
      <c r="BM115" t="s">
        <v>2177</v>
      </c>
      <c r="BN115" t="s">
        <v>74</v>
      </c>
      <c r="BO115" t="s">
        <v>74</v>
      </c>
      <c r="BP115" t="s">
        <v>150</v>
      </c>
      <c r="BQ115" t="s">
        <v>151</v>
      </c>
      <c r="BR115" t="s">
        <v>97</v>
      </c>
      <c r="BS115" t="s">
        <v>2178</v>
      </c>
      <c r="BT115" t="str">
        <f>HYPERLINK("https%3A%2F%2Fwww.webofscience.com%2Fwos%2Fwoscc%2Ffull-record%2FWOS:000541585700001","View Full Record in Web of Science")</f>
        <v>View Full Record in Web of Science</v>
      </c>
    </row>
    <row r="116" spans="1:72" x14ac:dyDescent="0.25">
      <c r="A116" t="s">
        <v>72</v>
      </c>
      <c r="B116" t="s">
        <v>2179</v>
      </c>
      <c r="C116" t="s">
        <v>74</v>
      </c>
      <c r="D116" t="s">
        <v>74</v>
      </c>
      <c r="E116" t="s">
        <v>74</v>
      </c>
      <c r="F116" t="s">
        <v>2180</v>
      </c>
      <c r="G116" t="s">
        <v>74</v>
      </c>
      <c r="H116" t="s">
        <v>74</v>
      </c>
      <c r="I116" t="s">
        <v>2181</v>
      </c>
      <c r="J116" t="s">
        <v>2182</v>
      </c>
      <c r="K116" t="s">
        <v>74</v>
      </c>
      <c r="L116" t="s">
        <v>74</v>
      </c>
      <c r="M116" t="s">
        <v>77</v>
      </c>
      <c r="N116" t="s">
        <v>78</v>
      </c>
      <c r="O116" t="s">
        <v>74</v>
      </c>
      <c r="P116" t="s">
        <v>74</v>
      </c>
      <c r="Q116" t="s">
        <v>74</v>
      </c>
      <c r="R116" t="s">
        <v>74</v>
      </c>
      <c r="S116" t="s">
        <v>74</v>
      </c>
      <c r="T116" t="s">
        <v>2183</v>
      </c>
      <c r="U116" t="s">
        <v>2184</v>
      </c>
      <c r="V116" t="s">
        <v>2185</v>
      </c>
      <c r="W116" t="s">
        <v>2186</v>
      </c>
      <c r="X116" t="s">
        <v>2187</v>
      </c>
      <c r="Y116" t="s">
        <v>2188</v>
      </c>
      <c r="Z116" t="s">
        <v>2189</v>
      </c>
      <c r="AA116" t="s">
        <v>2190</v>
      </c>
      <c r="AB116" t="s">
        <v>2191</v>
      </c>
      <c r="AC116" t="s">
        <v>74</v>
      </c>
      <c r="AD116" t="s">
        <v>74</v>
      </c>
      <c r="AE116" t="s">
        <v>74</v>
      </c>
      <c r="AF116" t="s">
        <v>74</v>
      </c>
      <c r="AG116">
        <v>70</v>
      </c>
      <c r="AH116">
        <v>73</v>
      </c>
      <c r="AI116">
        <v>78</v>
      </c>
      <c r="AJ116">
        <v>4</v>
      </c>
      <c r="AK116">
        <v>127</v>
      </c>
      <c r="AL116" t="s">
        <v>665</v>
      </c>
      <c r="AM116" t="s">
        <v>666</v>
      </c>
      <c r="AN116" t="s">
        <v>667</v>
      </c>
      <c r="AO116" t="s">
        <v>2192</v>
      </c>
      <c r="AP116" t="s">
        <v>2193</v>
      </c>
      <c r="AQ116" t="s">
        <v>74</v>
      </c>
      <c r="AR116" t="s">
        <v>2194</v>
      </c>
      <c r="AS116" t="s">
        <v>2195</v>
      </c>
      <c r="AT116" t="s">
        <v>74</v>
      </c>
      <c r="AU116">
        <v>2014</v>
      </c>
      <c r="AV116">
        <v>29</v>
      </c>
      <c r="AW116">
        <v>2</v>
      </c>
      <c r="AX116" t="s">
        <v>74</v>
      </c>
      <c r="AY116" t="s">
        <v>74</v>
      </c>
      <c r="AZ116" t="s">
        <v>74</v>
      </c>
      <c r="BA116" t="s">
        <v>74</v>
      </c>
      <c r="BB116">
        <v>106</v>
      </c>
      <c r="BC116">
        <v>121</v>
      </c>
      <c r="BD116" t="s">
        <v>74</v>
      </c>
      <c r="BE116" t="s">
        <v>2196</v>
      </c>
      <c r="BF116" t="str">
        <f>HYPERLINK("http://dx.doi.org/10.1108/JMP-06-2012-0169","http://dx.doi.org/10.1108/JMP-06-2012-0169")</f>
        <v>http://dx.doi.org/10.1108/JMP-06-2012-0169</v>
      </c>
      <c r="BG116" t="s">
        <v>74</v>
      </c>
      <c r="BH116" t="s">
        <v>74</v>
      </c>
      <c r="BI116">
        <v>16</v>
      </c>
      <c r="BJ116" t="s">
        <v>202</v>
      </c>
      <c r="BK116" t="s">
        <v>94</v>
      </c>
      <c r="BL116" t="s">
        <v>203</v>
      </c>
      <c r="BM116" t="s">
        <v>2197</v>
      </c>
      <c r="BN116" t="s">
        <v>74</v>
      </c>
      <c r="BO116" t="s">
        <v>74</v>
      </c>
      <c r="BP116" t="s">
        <v>74</v>
      </c>
      <c r="BQ116" t="s">
        <v>74</v>
      </c>
      <c r="BR116" t="s">
        <v>97</v>
      </c>
      <c r="BS116" t="s">
        <v>2198</v>
      </c>
      <c r="BT116" t="str">
        <f>HYPERLINK("https%3A%2F%2Fwww.webofscience.com%2Fwos%2Fwoscc%2Ffull-record%2FWOS:000332820400001","View Full Record in Web of Science")</f>
        <v>View Full Record in Web of Science</v>
      </c>
    </row>
    <row r="117" spans="1:72" x14ac:dyDescent="0.25">
      <c r="A117" t="s">
        <v>72</v>
      </c>
      <c r="B117" t="s">
        <v>2199</v>
      </c>
      <c r="C117" t="s">
        <v>74</v>
      </c>
      <c r="D117" t="s">
        <v>74</v>
      </c>
      <c r="E117" t="s">
        <v>74</v>
      </c>
      <c r="F117" t="s">
        <v>2200</v>
      </c>
      <c r="G117" t="s">
        <v>74</v>
      </c>
      <c r="H117" t="s">
        <v>74</v>
      </c>
      <c r="I117" t="s">
        <v>2201</v>
      </c>
      <c r="J117" t="s">
        <v>343</v>
      </c>
      <c r="K117" t="s">
        <v>74</v>
      </c>
      <c r="L117" t="s">
        <v>74</v>
      </c>
      <c r="M117" t="s">
        <v>77</v>
      </c>
      <c r="N117" t="s">
        <v>78</v>
      </c>
      <c r="O117" t="s">
        <v>74</v>
      </c>
      <c r="P117" t="s">
        <v>74</v>
      </c>
      <c r="Q117" t="s">
        <v>74</v>
      </c>
      <c r="R117" t="s">
        <v>74</v>
      </c>
      <c r="S117" t="s">
        <v>74</v>
      </c>
      <c r="T117" t="s">
        <v>2202</v>
      </c>
      <c r="U117" t="s">
        <v>2203</v>
      </c>
      <c r="V117" t="s">
        <v>2204</v>
      </c>
      <c r="W117" t="s">
        <v>2205</v>
      </c>
      <c r="X117" t="s">
        <v>2206</v>
      </c>
      <c r="Y117" t="s">
        <v>2207</v>
      </c>
      <c r="Z117" t="s">
        <v>2208</v>
      </c>
      <c r="AA117" t="s">
        <v>2209</v>
      </c>
      <c r="AB117" t="s">
        <v>74</v>
      </c>
      <c r="AC117" t="s">
        <v>74</v>
      </c>
      <c r="AD117" t="s">
        <v>74</v>
      </c>
      <c r="AE117" t="s">
        <v>74</v>
      </c>
      <c r="AF117" t="s">
        <v>74</v>
      </c>
      <c r="AG117">
        <v>90</v>
      </c>
      <c r="AH117">
        <v>72</v>
      </c>
      <c r="AI117">
        <v>76</v>
      </c>
      <c r="AJ117">
        <v>29</v>
      </c>
      <c r="AK117">
        <v>194</v>
      </c>
      <c r="AL117" t="s">
        <v>350</v>
      </c>
      <c r="AM117" t="s">
        <v>351</v>
      </c>
      <c r="AN117" t="s">
        <v>352</v>
      </c>
      <c r="AO117" t="s">
        <v>353</v>
      </c>
      <c r="AP117" t="s">
        <v>354</v>
      </c>
      <c r="AQ117" t="s">
        <v>74</v>
      </c>
      <c r="AR117" t="s">
        <v>355</v>
      </c>
      <c r="AS117" t="s">
        <v>356</v>
      </c>
      <c r="AT117" t="s">
        <v>122</v>
      </c>
      <c r="AU117">
        <v>2018</v>
      </c>
      <c r="AV117">
        <v>44</v>
      </c>
      <c r="AW117">
        <v>4</v>
      </c>
      <c r="AX117" t="s">
        <v>74</v>
      </c>
      <c r="AY117" t="s">
        <v>74</v>
      </c>
      <c r="AZ117" t="s">
        <v>74</v>
      </c>
      <c r="BA117" t="s">
        <v>74</v>
      </c>
      <c r="BB117">
        <v>1678</v>
      </c>
      <c r="BC117">
        <v>1702</v>
      </c>
      <c r="BD117" t="s">
        <v>74</v>
      </c>
      <c r="BE117" t="s">
        <v>2210</v>
      </c>
      <c r="BF117" t="str">
        <f>HYPERLINK("http://dx.doi.org/10.1177/0149206315618013","http://dx.doi.org/10.1177/0149206315618013")</f>
        <v>http://dx.doi.org/10.1177/0149206315618013</v>
      </c>
      <c r="BG117" t="s">
        <v>74</v>
      </c>
      <c r="BH117" t="s">
        <v>74</v>
      </c>
      <c r="BI117">
        <v>25</v>
      </c>
      <c r="BJ117" t="s">
        <v>226</v>
      </c>
      <c r="BK117" t="s">
        <v>94</v>
      </c>
      <c r="BL117" t="s">
        <v>227</v>
      </c>
      <c r="BM117" t="s">
        <v>2211</v>
      </c>
      <c r="BN117" t="s">
        <v>74</v>
      </c>
      <c r="BO117" t="s">
        <v>718</v>
      </c>
      <c r="BP117" t="s">
        <v>74</v>
      </c>
      <c r="BQ117" t="s">
        <v>74</v>
      </c>
      <c r="BR117" t="s">
        <v>97</v>
      </c>
      <c r="BS117" t="s">
        <v>2212</v>
      </c>
      <c r="BT117" t="str">
        <f>HYPERLINK("https%3A%2F%2Fwww.webofscience.com%2Fwos%2Fwoscc%2Ffull-record%2FWOS:000429879200019","View Full Record in Web of Science")</f>
        <v>View Full Record in Web of Science</v>
      </c>
    </row>
    <row r="118" spans="1:72" x14ac:dyDescent="0.25">
      <c r="A118" t="s">
        <v>72</v>
      </c>
      <c r="B118" t="s">
        <v>2213</v>
      </c>
      <c r="C118" t="s">
        <v>74</v>
      </c>
      <c r="D118" t="s">
        <v>74</v>
      </c>
      <c r="E118" t="s">
        <v>74</v>
      </c>
      <c r="F118" t="s">
        <v>2214</v>
      </c>
      <c r="G118" t="s">
        <v>74</v>
      </c>
      <c r="H118" t="s">
        <v>74</v>
      </c>
      <c r="I118" t="s">
        <v>2215</v>
      </c>
      <c r="J118" t="s">
        <v>657</v>
      </c>
      <c r="K118" t="s">
        <v>74</v>
      </c>
      <c r="L118" t="s">
        <v>74</v>
      </c>
      <c r="M118" t="s">
        <v>77</v>
      </c>
      <c r="N118" t="s">
        <v>78</v>
      </c>
      <c r="O118" t="s">
        <v>74</v>
      </c>
      <c r="P118" t="s">
        <v>74</v>
      </c>
      <c r="Q118" t="s">
        <v>74</v>
      </c>
      <c r="R118" t="s">
        <v>74</v>
      </c>
      <c r="S118" t="s">
        <v>74</v>
      </c>
      <c r="T118" t="s">
        <v>2216</v>
      </c>
      <c r="U118" t="s">
        <v>2217</v>
      </c>
      <c r="V118" t="s">
        <v>2218</v>
      </c>
      <c r="W118" t="s">
        <v>2219</v>
      </c>
      <c r="X118" t="s">
        <v>923</v>
      </c>
      <c r="Y118" t="s">
        <v>2220</v>
      </c>
      <c r="Z118" t="s">
        <v>2221</v>
      </c>
      <c r="AA118" t="s">
        <v>74</v>
      </c>
      <c r="AB118" t="s">
        <v>74</v>
      </c>
      <c r="AC118" t="s">
        <v>74</v>
      </c>
      <c r="AD118" t="s">
        <v>74</v>
      </c>
      <c r="AE118" t="s">
        <v>74</v>
      </c>
      <c r="AF118" t="s">
        <v>74</v>
      </c>
      <c r="AG118">
        <v>77</v>
      </c>
      <c r="AH118">
        <v>72</v>
      </c>
      <c r="AI118">
        <v>75</v>
      </c>
      <c r="AJ118">
        <v>5</v>
      </c>
      <c r="AK118">
        <v>103</v>
      </c>
      <c r="AL118" t="s">
        <v>665</v>
      </c>
      <c r="AM118" t="s">
        <v>666</v>
      </c>
      <c r="AN118" t="s">
        <v>667</v>
      </c>
      <c r="AO118" t="s">
        <v>668</v>
      </c>
      <c r="AP118" t="s">
        <v>669</v>
      </c>
      <c r="AQ118" t="s">
        <v>74</v>
      </c>
      <c r="AR118" t="s">
        <v>670</v>
      </c>
      <c r="AS118" t="s">
        <v>671</v>
      </c>
      <c r="AT118" t="s">
        <v>74</v>
      </c>
      <c r="AU118">
        <v>2017</v>
      </c>
      <c r="AV118">
        <v>38</v>
      </c>
      <c r="AW118">
        <v>2</v>
      </c>
      <c r="AX118" t="s">
        <v>74</v>
      </c>
      <c r="AY118" t="s">
        <v>74</v>
      </c>
      <c r="AZ118" t="s">
        <v>74</v>
      </c>
      <c r="BA118" t="s">
        <v>74</v>
      </c>
      <c r="BB118">
        <v>242</v>
      </c>
      <c r="BC118">
        <v>258</v>
      </c>
      <c r="BD118" t="s">
        <v>74</v>
      </c>
      <c r="BE118" t="s">
        <v>2222</v>
      </c>
      <c r="BF118" t="str">
        <f>HYPERLINK("http://dx.doi.org/10.1108/IJM-04-2015-0060","http://dx.doi.org/10.1108/IJM-04-2015-0060")</f>
        <v>http://dx.doi.org/10.1108/IJM-04-2015-0060</v>
      </c>
      <c r="BG118" t="s">
        <v>74</v>
      </c>
      <c r="BH118" t="s">
        <v>74</v>
      </c>
      <c r="BI118">
        <v>17</v>
      </c>
      <c r="BJ118" t="s">
        <v>673</v>
      </c>
      <c r="BK118" t="s">
        <v>94</v>
      </c>
      <c r="BL118" t="s">
        <v>95</v>
      </c>
      <c r="BM118" t="s">
        <v>2223</v>
      </c>
      <c r="BN118" t="s">
        <v>74</v>
      </c>
      <c r="BO118" t="s">
        <v>74</v>
      </c>
      <c r="BP118" t="s">
        <v>74</v>
      </c>
      <c r="BQ118" t="s">
        <v>74</v>
      </c>
      <c r="BR118" t="s">
        <v>97</v>
      </c>
      <c r="BS118" t="s">
        <v>2224</v>
      </c>
      <c r="BT118" t="str">
        <f>HYPERLINK("https%3A%2F%2Fwww.webofscience.com%2Fwos%2Fwoscc%2Ffull-record%2FWOS:000401027000008","View Full Record in Web of Science")</f>
        <v>View Full Record in Web of Science</v>
      </c>
    </row>
    <row r="119" spans="1:72" x14ac:dyDescent="0.25">
      <c r="A119" t="s">
        <v>72</v>
      </c>
      <c r="B119" t="s">
        <v>2225</v>
      </c>
      <c r="C119" t="s">
        <v>74</v>
      </c>
      <c r="D119" t="s">
        <v>74</v>
      </c>
      <c r="E119" t="s">
        <v>74</v>
      </c>
      <c r="F119" t="s">
        <v>2226</v>
      </c>
      <c r="G119" t="s">
        <v>74</v>
      </c>
      <c r="H119" t="s">
        <v>74</v>
      </c>
      <c r="I119" t="s">
        <v>2227</v>
      </c>
      <c r="J119" t="s">
        <v>2228</v>
      </c>
      <c r="K119" t="s">
        <v>74</v>
      </c>
      <c r="L119" t="s">
        <v>74</v>
      </c>
      <c r="M119" t="s">
        <v>77</v>
      </c>
      <c r="N119" t="s">
        <v>78</v>
      </c>
      <c r="O119" t="s">
        <v>74</v>
      </c>
      <c r="P119" t="s">
        <v>74</v>
      </c>
      <c r="Q119" t="s">
        <v>74</v>
      </c>
      <c r="R119" t="s">
        <v>74</v>
      </c>
      <c r="S119" t="s">
        <v>74</v>
      </c>
      <c r="T119" t="s">
        <v>2229</v>
      </c>
      <c r="U119" t="s">
        <v>2230</v>
      </c>
      <c r="V119" t="s">
        <v>2231</v>
      </c>
      <c r="W119" t="s">
        <v>2232</v>
      </c>
      <c r="X119" t="s">
        <v>2233</v>
      </c>
      <c r="Y119" t="s">
        <v>2234</v>
      </c>
      <c r="Z119" t="s">
        <v>2235</v>
      </c>
      <c r="AA119" t="s">
        <v>2236</v>
      </c>
      <c r="AB119" t="s">
        <v>74</v>
      </c>
      <c r="AC119" t="s">
        <v>2237</v>
      </c>
      <c r="AD119" t="s">
        <v>2237</v>
      </c>
      <c r="AE119" t="s">
        <v>2238</v>
      </c>
      <c r="AF119" t="s">
        <v>74</v>
      </c>
      <c r="AG119">
        <v>57</v>
      </c>
      <c r="AH119">
        <v>71</v>
      </c>
      <c r="AI119">
        <v>72</v>
      </c>
      <c r="AJ119">
        <v>12</v>
      </c>
      <c r="AK119">
        <v>153</v>
      </c>
      <c r="AL119" t="s">
        <v>1099</v>
      </c>
      <c r="AM119" t="s">
        <v>305</v>
      </c>
      <c r="AN119" t="s">
        <v>1100</v>
      </c>
      <c r="AO119" t="s">
        <v>2239</v>
      </c>
      <c r="AP119" t="s">
        <v>2240</v>
      </c>
      <c r="AQ119" t="s">
        <v>74</v>
      </c>
      <c r="AR119" t="s">
        <v>2241</v>
      </c>
      <c r="AS119" t="s">
        <v>2242</v>
      </c>
      <c r="AT119" t="s">
        <v>2243</v>
      </c>
      <c r="AU119">
        <v>2015</v>
      </c>
      <c r="AV119">
        <v>17</v>
      </c>
      <c r="AW119">
        <v>5</v>
      </c>
      <c r="AX119" t="s">
        <v>74</v>
      </c>
      <c r="AY119" t="s">
        <v>74</v>
      </c>
      <c r="AZ119" t="s">
        <v>74</v>
      </c>
      <c r="BA119" t="s">
        <v>74</v>
      </c>
      <c r="BB119">
        <v>698</v>
      </c>
      <c r="BC119">
        <v>717</v>
      </c>
      <c r="BD119" t="s">
        <v>74</v>
      </c>
      <c r="BE119" t="s">
        <v>2244</v>
      </c>
      <c r="BF119" t="str">
        <f>HYPERLINK("http://dx.doi.org/10.1080/14719037.2013.841977","http://dx.doi.org/10.1080/14719037.2013.841977")</f>
        <v>http://dx.doi.org/10.1080/14719037.2013.841977</v>
      </c>
      <c r="BG119" t="s">
        <v>74</v>
      </c>
      <c r="BH119" t="s">
        <v>74</v>
      </c>
      <c r="BI119">
        <v>20</v>
      </c>
      <c r="BJ119" t="s">
        <v>2245</v>
      </c>
      <c r="BK119" t="s">
        <v>94</v>
      </c>
      <c r="BL119" t="s">
        <v>2246</v>
      </c>
      <c r="BM119" t="s">
        <v>2247</v>
      </c>
      <c r="BN119" t="s">
        <v>74</v>
      </c>
      <c r="BO119" t="s">
        <v>74</v>
      </c>
      <c r="BP119" t="s">
        <v>74</v>
      </c>
      <c r="BQ119" t="s">
        <v>74</v>
      </c>
      <c r="BR119" t="s">
        <v>97</v>
      </c>
      <c r="BS119" t="s">
        <v>2248</v>
      </c>
      <c r="BT119" t="str">
        <f>HYPERLINK("https%3A%2F%2Fwww.webofscience.com%2Fwos%2Fwoscc%2Ffull-record%2FWOS:000350372700005","View Full Record in Web of Science")</f>
        <v>View Full Record in Web of Science</v>
      </c>
    </row>
    <row r="120" spans="1:72" x14ac:dyDescent="0.25">
      <c r="A120" t="s">
        <v>72</v>
      </c>
      <c r="B120" t="s">
        <v>2249</v>
      </c>
      <c r="C120" t="s">
        <v>74</v>
      </c>
      <c r="D120" t="s">
        <v>74</v>
      </c>
      <c r="E120" t="s">
        <v>74</v>
      </c>
      <c r="F120" t="s">
        <v>2250</v>
      </c>
      <c r="G120" t="s">
        <v>74</v>
      </c>
      <c r="H120" t="s">
        <v>74</v>
      </c>
      <c r="I120" t="s">
        <v>2251</v>
      </c>
      <c r="J120" t="s">
        <v>2252</v>
      </c>
      <c r="K120" t="s">
        <v>74</v>
      </c>
      <c r="L120" t="s">
        <v>74</v>
      </c>
      <c r="M120" t="s">
        <v>77</v>
      </c>
      <c r="N120" t="s">
        <v>78</v>
      </c>
      <c r="O120" t="s">
        <v>74</v>
      </c>
      <c r="P120" t="s">
        <v>74</v>
      </c>
      <c r="Q120" t="s">
        <v>74</v>
      </c>
      <c r="R120" t="s">
        <v>74</v>
      </c>
      <c r="S120" t="s">
        <v>74</v>
      </c>
      <c r="T120" t="s">
        <v>2253</v>
      </c>
      <c r="U120" t="s">
        <v>2254</v>
      </c>
      <c r="V120" t="s">
        <v>2255</v>
      </c>
      <c r="W120" t="s">
        <v>2256</v>
      </c>
      <c r="X120" t="s">
        <v>2257</v>
      </c>
      <c r="Y120" t="s">
        <v>2258</v>
      </c>
      <c r="Z120" t="s">
        <v>2259</v>
      </c>
      <c r="AA120" t="s">
        <v>74</v>
      </c>
      <c r="AB120" t="s">
        <v>2260</v>
      </c>
      <c r="AC120" t="s">
        <v>74</v>
      </c>
      <c r="AD120" t="s">
        <v>74</v>
      </c>
      <c r="AE120" t="s">
        <v>74</v>
      </c>
      <c r="AF120" t="s">
        <v>74</v>
      </c>
      <c r="AG120">
        <v>61</v>
      </c>
      <c r="AH120">
        <v>71</v>
      </c>
      <c r="AI120">
        <v>72</v>
      </c>
      <c r="AJ120">
        <v>5</v>
      </c>
      <c r="AK120">
        <v>107</v>
      </c>
      <c r="AL120" t="s">
        <v>602</v>
      </c>
      <c r="AM120" t="s">
        <v>160</v>
      </c>
      <c r="AN120" t="s">
        <v>603</v>
      </c>
      <c r="AO120" t="s">
        <v>2261</v>
      </c>
      <c r="AP120" t="s">
        <v>2262</v>
      </c>
      <c r="AQ120" t="s">
        <v>74</v>
      </c>
      <c r="AR120" t="s">
        <v>2263</v>
      </c>
      <c r="AS120" t="s">
        <v>2264</v>
      </c>
      <c r="AT120" t="s">
        <v>165</v>
      </c>
      <c r="AU120">
        <v>2013</v>
      </c>
      <c r="AV120">
        <v>31</v>
      </c>
      <c r="AW120">
        <v>4</v>
      </c>
      <c r="AX120" t="s">
        <v>74</v>
      </c>
      <c r="AY120" t="s">
        <v>74</v>
      </c>
      <c r="AZ120" t="s">
        <v>74</v>
      </c>
      <c r="BA120" t="s">
        <v>74</v>
      </c>
      <c r="BB120">
        <v>485</v>
      </c>
      <c r="BC120">
        <v>497</v>
      </c>
      <c r="BD120" t="s">
        <v>74</v>
      </c>
      <c r="BE120" t="s">
        <v>2265</v>
      </c>
      <c r="BF120" t="str">
        <f>HYPERLINK("http://dx.doi.org/10.1016/j.ijproman.2012.09.004","http://dx.doi.org/10.1016/j.ijproman.2012.09.004")</f>
        <v>http://dx.doi.org/10.1016/j.ijproman.2012.09.004</v>
      </c>
      <c r="BG120" t="s">
        <v>74</v>
      </c>
      <c r="BH120" t="s">
        <v>74</v>
      </c>
      <c r="BI120">
        <v>13</v>
      </c>
      <c r="BJ120" t="s">
        <v>442</v>
      </c>
      <c r="BK120" t="s">
        <v>94</v>
      </c>
      <c r="BL120" t="s">
        <v>95</v>
      </c>
      <c r="BM120" t="s">
        <v>2266</v>
      </c>
      <c r="BN120" t="s">
        <v>74</v>
      </c>
      <c r="BO120" t="s">
        <v>2267</v>
      </c>
      <c r="BP120" t="s">
        <v>74</v>
      </c>
      <c r="BQ120" t="s">
        <v>74</v>
      </c>
      <c r="BR120" t="s">
        <v>97</v>
      </c>
      <c r="BS120" t="s">
        <v>2268</v>
      </c>
      <c r="BT120" t="str">
        <f>HYPERLINK("https%3A%2F%2Fwww.webofscience.com%2Fwos%2Fwoscc%2Ffull-record%2FWOS:000317372800001","View Full Record in Web of Science")</f>
        <v>View Full Record in Web of Science</v>
      </c>
    </row>
    <row r="121" spans="1:72" x14ac:dyDescent="0.25">
      <c r="A121" t="s">
        <v>72</v>
      </c>
      <c r="B121" t="s">
        <v>2269</v>
      </c>
      <c r="C121" t="s">
        <v>74</v>
      </c>
      <c r="D121" t="s">
        <v>74</v>
      </c>
      <c r="E121" t="s">
        <v>74</v>
      </c>
      <c r="F121" t="s">
        <v>2270</v>
      </c>
      <c r="G121" t="s">
        <v>74</v>
      </c>
      <c r="H121" t="s">
        <v>74</v>
      </c>
      <c r="I121" t="s">
        <v>2271</v>
      </c>
      <c r="J121" t="s">
        <v>2272</v>
      </c>
      <c r="K121" t="s">
        <v>74</v>
      </c>
      <c r="L121" t="s">
        <v>74</v>
      </c>
      <c r="M121" t="s">
        <v>77</v>
      </c>
      <c r="N121" t="s">
        <v>78</v>
      </c>
      <c r="O121" t="s">
        <v>74</v>
      </c>
      <c r="P121" t="s">
        <v>74</v>
      </c>
      <c r="Q121" t="s">
        <v>74</v>
      </c>
      <c r="R121" t="s">
        <v>74</v>
      </c>
      <c r="S121" t="s">
        <v>74</v>
      </c>
      <c r="T121" t="s">
        <v>74</v>
      </c>
      <c r="U121" t="s">
        <v>2273</v>
      </c>
      <c r="V121" t="s">
        <v>2274</v>
      </c>
      <c r="W121" t="s">
        <v>74</v>
      </c>
      <c r="X121" t="s">
        <v>74</v>
      </c>
      <c r="Y121" t="s">
        <v>74</v>
      </c>
      <c r="Z121" t="s">
        <v>74</v>
      </c>
      <c r="AA121" t="s">
        <v>2275</v>
      </c>
      <c r="AB121" t="s">
        <v>2276</v>
      </c>
      <c r="AC121" t="s">
        <v>74</v>
      </c>
      <c r="AD121" t="s">
        <v>74</v>
      </c>
      <c r="AE121" t="s">
        <v>74</v>
      </c>
      <c r="AF121" t="s">
        <v>74</v>
      </c>
      <c r="AG121">
        <v>41</v>
      </c>
      <c r="AH121">
        <v>70</v>
      </c>
      <c r="AI121">
        <v>71</v>
      </c>
      <c r="AJ121">
        <v>0</v>
      </c>
      <c r="AK121">
        <v>36</v>
      </c>
      <c r="AL121" t="s">
        <v>218</v>
      </c>
      <c r="AM121" t="s">
        <v>219</v>
      </c>
      <c r="AN121" t="s">
        <v>220</v>
      </c>
      <c r="AO121" t="s">
        <v>2277</v>
      </c>
      <c r="AP121" t="s">
        <v>2278</v>
      </c>
      <c r="AQ121" t="s">
        <v>74</v>
      </c>
      <c r="AR121" t="s">
        <v>2279</v>
      </c>
      <c r="AS121" t="s">
        <v>2280</v>
      </c>
      <c r="AT121" t="s">
        <v>792</v>
      </c>
      <c r="AU121">
        <v>2007</v>
      </c>
      <c r="AV121">
        <v>20</v>
      </c>
      <c r="AW121">
        <v>3</v>
      </c>
      <c r="AX121" t="s">
        <v>74</v>
      </c>
      <c r="AY121" t="s">
        <v>74</v>
      </c>
      <c r="AZ121" t="s">
        <v>74</v>
      </c>
      <c r="BA121" t="s">
        <v>74</v>
      </c>
      <c r="BB121">
        <v>469</v>
      </c>
      <c r="BC121">
        <v>497</v>
      </c>
      <c r="BD121" t="s">
        <v>74</v>
      </c>
      <c r="BE121" t="s">
        <v>2281</v>
      </c>
      <c r="BF121" t="str">
        <f>HYPERLINK("http://dx.doi.org/10.1111/j.1468-0491.2007.00367.x","http://dx.doi.org/10.1111/j.1468-0491.2007.00367.x")</f>
        <v>http://dx.doi.org/10.1111/j.1468-0491.2007.00367.x</v>
      </c>
      <c r="BG121" t="s">
        <v>74</v>
      </c>
      <c r="BH121" t="s">
        <v>74</v>
      </c>
      <c r="BI121">
        <v>29</v>
      </c>
      <c r="BJ121" t="s">
        <v>1013</v>
      </c>
      <c r="BK121" t="s">
        <v>94</v>
      </c>
      <c r="BL121" t="s">
        <v>1014</v>
      </c>
      <c r="BM121" t="s">
        <v>2282</v>
      </c>
      <c r="BN121" t="s">
        <v>74</v>
      </c>
      <c r="BO121" t="s">
        <v>74</v>
      </c>
      <c r="BP121" t="s">
        <v>74</v>
      </c>
      <c r="BQ121" t="s">
        <v>74</v>
      </c>
      <c r="BR121" t="s">
        <v>97</v>
      </c>
      <c r="BS121" t="s">
        <v>2283</v>
      </c>
      <c r="BT121" t="str">
        <f>HYPERLINK("https%3A%2F%2Fwww.webofscience.com%2Fwos%2Fwoscc%2Ffull-record%2FWOS:000249130500005","View Full Record in Web of Science")</f>
        <v>View Full Record in Web of Science</v>
      </c>
    </row>
    <row r="122" spans="1:72" x14ac:dyDescent="0.25">
      <c r="A122" t="s">
        <v>72</v>
      </c>
      <c r="B122" t="s">
        <v>2284</v>
      </c>
      <c r="C122" t="s">
        <v>74</v>
      </c>
      <c r="D122" t="s">
        <v>74</v>
      </c>
      <c r="E122" t="s">
        <v>74</v>
      </c>
      <c r="F122" t="s">
        <v>2284</v>
      </c>
      <c r="G122" t="s">
        <v>74</v>
      </c>
      <c r="H122" t="s">
        <v>74</v>
      </c>
      <c r="I122" t="s">
        <v>2285</v>
      </c>
      <c r="J122" t="s">
        <v>362</v>
      </c>
      <c r="K122" t="s">
        <v>74</v>
      </c>
      <c r="L122" t="s">
        <v>74</v>
      </c>
      <c r="M122" t="s">
        <v>77</v>
      </c>
      <c r="N122" t="s">
        <v>78</v>
      </c>
      <c r="O122" t="s">
        <v>74</v>
      </c>
      <c r="P122" t="s">
        <v>74</v>
      </c>
      <c r="Q122" t="s">
        <v>74</v>
      </c>
      <c r="R122" t="s">
        <v>74</v>
      </c>
      <c r="S122" t="s">
        <v>74</v>
      </c>
      <c r="T122" t="s">
        <v>74</v>
      </c>
      <c r="U122" t="s">
        <v>74</v>
      </c>
      <c r="V122" t="s">
        <v>74</v>
      </c>
      <c r="W122" t="s">
        <v>2286</v>
      </c>
      <c r="X122" t="s">
        <v>2287</v>
      </c>
      <c r="Y122" t="s">
        <v>74</v>
      </c>
      <c r="Z122" t="s">
        <v>74</v>
      </c>
      <c r="AA122" t="s">
        <v>2288</v>
      </c>
      <c r="AB122" t="s">
        <v>74</v>
      </c>
      <c r="AC122" t="s">
        <v>74</v>
      </c>
      <c r="AD122" t="s">
        <v>74</v>
      </c>
      <c r="AE122" t="s">
        <v>74</v>
      </c>
      <c r="AF122" t="s">
        <v>74</v>
      </c>
      <c r="AG122">
        <v>30</v>
      </c>
      <c r="AH122">
        <v>70</v>
      </c>
      <c r="AI122">
        <v>70</v>
      </c>
      <c r="AJ122">
        <v>0</v>
      </c>
      <c r="AK122">
        <v>7</v>
      </c>
      <c r="AL122" t="s">
        <v>2289</v>
      </c>
      <c r="AM122" t="s">
        <v>1395</v>
      </c>
      <c r="AN122" t="s">
        <v>2290</v>
      </c>
      <c r="AO122" t="s">
        <v>371</v>
      </c>
      <c r="AP122" t="s">
        <v>74</v>
      </c>
      <c r="AQ122" t="s">
        <v>74</v>
      </c>
      <c r="AR122" t="s">
        <v>373</v>
      </c>
      <c r="AS122" t="s">
        <v>374</v>
      </c>
      <c r="AT122" t="s">
        <v>74</v>
      </c>
      <c r="AU122">
        <v>1976</v>
      </c>
      <c r="AV122">
        <v>3</v>
      </c>
      <c r="AW122">
        <v>1</v>
      </c>
      <c r="AX122" t="s">
        <v>74</v>
      </c>
      <c r="AY122" t="s">
        <v>74</v>
      </c>
      <c r="AZ122" t="s">
        <v>74</v>
      </c>
      <c r="BA122" t="s">
        <v>74</v>
      </c>
      <c r="BB122">
        <v>31</v>
      </c>
      <c r="BC122">
        <v>41</v>
      </c>
      <c r="BD122" t="s">
        <v>74</v>
      </c>
      <c r="BE122" t="s">
        <v>2291</v>
      </c>
      <c r="BF122" t="str">
        <f>HYPERLINK("http://dx.doi.org/10.1086/208648","http://dx.doi.org/10.1086/208648")</f>
        <v>http://dx.doi.org/10.1086/208648</v>
      </c>
      <c r="BG122" t="s">
        <v>74</v>
      </c>
      <c r="BH122" t="s">
        <v>74</v>
      </c>
      <c r="BI122">
        <v>11</v>
      </c>
      <c r="BJ122" t="s">
        <v>337</v>
      </c>
      <c r="BK122" t="s">
        <v>94</v>
      </c>
      <c r="BL122" t="s">
        <v>95</v>
      </c>
      <c r="BM122" t="s">
        <v>2292</v>
      </c>
      <c r="BN122" t="s">
        <v>74</v>
      </c>
      <c r="BO122" t="s">
        <v>74</v>
      </c>
      <c r="BP122" t="s">
        <v>74</v>
      </c>
      <c r="BQ122" t="s">
        <v>74</v>
      </c>
      <c r="BR122" t="s">
        <v>97</v>
      </c>
      <c r="BS122" t="s">
        <v>2293</v>
      </c>
      <c r="BT122" t="str">
        <f>HYPERLINK("https%3A%2F%2Fwww.webofscience.com%2Fwos%2Fwoscc%2Ffull-record%2FWOS:A1976CC67500004","View Full Record in Web of Science")</f>
        <v>View Full Record in Web of Science</v>
      </c>
    </row>
    <row r="123" spans="1:72" x14ac:dyDescent="0.25">
      <c r="A123" t="s">
        <v>72</v>
      </c>
      <c r="B123" t="s">
        <v>2294</v>
      </c>
      <c r="C123" t="s">
        <v>74</v>
      </c>
      <c r="D123" t="s">
        <v>74</v>
      </c>
      <c r="E123" t="s">
        <v>74</v>
      </c>
      <c r="F123" t="s">
        <v>2295</v>
      </c>
      <c r="G123" t="s">
        <v>74</v>
      </c>
      <c r="H123" t="s">
        <v>74</v>
      </c>
      <c r="I123" t="s">
        <v>2296</v>
      </c>
      <c r="J123" t="s">
        <v>2297</v>
      </c>
      <c r="K123" t="s">
        <v>74</v>
      </c>
      <c r="L123" t="s">
        <v>74</v>
      </c>
      <c r="M123" t="s">
        <v>77</v>
      </c>
      <c r="N123" t="s">
        <v>78</v>
      </c>
      <c r="O123" t="s">
        <v>74</v>
      </c>
      <c r="P123" t="s">
        <v>74</v>
      </c>
      <c r="Q123" t="s">
        <v>74</v>
      </c>
      <c r="R123" t="s">
        <v>74</v>
      </c>
      <c r="S123" t="s">
        <v>74</v>
      </c>
      <c r="T123" t="s">
        <v>2298</v>
      </c>
      <c r="U123" t="s">
        <v>2299</v>
      </c>
      <c r="V123" t="s">
        <v>2300</v>
      </c>
      <c r="W123" t="s">
        <v>2301</v>
      </c>
      <c r="X123" t="s">
        <v>104</v>
      </c>
      <c r="Y123" t="s">
        <v>2302</v>
      </c>
      <c r="Z123" t="s">
        <v>2303</v>
      </c>
      <c r="AA123" t="s">
        <v>74</v>
      </c>
      <c r="AB123" t="s">
        <v>74</v>
      </c>
      <c r="AC123" t="s">
        <v>74</v>
      </c>
      <c r="AD123" t="s">
        <v>74</v>
      </c>
      <c r="AE123" t="s">
        <v>74</v>
      </c>
      <c r="AF123" t="s">
        <v>74</v>
      </c>
      <c r="AG123">
        <v>35</v>
      </c>
      <c r="AH123">
        <v>69</v>
      </c>
      <c r="AI123">
        <v>70</v>
      </c>
      <c r="AJ123">
        <v>4</v>
      </c>
      <c r="AK123">
        <v>125</v>
      </c>
      <c r="AL123" t="s">
        <v>2304</v>
      </c>
      <c r="AM123" t="s">
        <v>160</v>
      </c>
      <c r="AN123" t="s">
        <v>2305</v>
      </c>
      <c r="AO123" t="s">
        <v>2306</v>
      </c>
      <c r="AP123" t="s">
        <v>74</v>
      </c>
      <c r="AQ123" t="s">
        <v>74</v>
      </c>
      <c r="AR123" t="s">
        <v>2307</v>
      </c>
      <c r="AS123" t="s">
        <v>2308</v>
      </c>
      <c r="AT123" t="s">
        <v>392</v>
      </c>
      <c r="AU123">
        <v>2015</v>
      </c>
      <c r="AV123">
        <v>82</v>
      </c>
      <c r="AW123" t="s">
        <v>74</v>
      </c>
      <c r="AX123" t="s">
        <v>74</v>
      </c>
      <c r="AY123" t="s">
        <v>74</v>
      </c>
      <c r="AZ123" t="s">
        <v>74</v>
      </c>
      <c r="BA123" t="s">
        <v>74</v>
      </c>
      <c r="BB123">
        <v>158</v>
      </c>
      <c r="BC123">
        <v>162</v>
      </c>
      <c r="BD123" t="s">
        <v>74</v>
      </c>
      <c r="BE123" t="s">
        <v>2309</v>
      </c>
      <c r="BF123" t="str">
        <f>HYPERLINK("http://dx.doi.org/10.1016/j.paid.2015.03.020","http://dx.doi.org/10.1016/j.paid.2015.03.020")</f>
        <v>http://dx.doi.org/10.1016/j.paid.2015.03.020</v>
      </c>
      <c r="BG123" t="s">
        <v>74</v>
      </c>
      <c r="BH123" t="s">
        <v>74</v>
      </c>
      <c r="BI123">
        <v>5</v>
      </c>
      <c r="BJ123" t="s">
        <v>459</v>
      </c>
      <c r="BK123" t="s">
        <v>94</v>
      </c>
      <c r="BL123" t="s">
        <v>460</v>
      </c>
      <c r="BM123" t="s">
        <v>2310</v>
      </c>
      <c r="BN123" t="s">
        <v>74</v>
      </c>
      <c r="BO123" t="s">
        <v>718</v>
      </c>
      <c r="BP123" t="s">
        <v>74</v>
      </c>
      <c r="BQ123" t="s">
        <v>74</v>
      </c>
      <c r="BR123" t="s">
        <v>97</v>
      </c>
      <c r="BS123" t="s">
        <v>2311</v>
      </c>
      <c r="BT123" t="str">
        <f>HYPERLINK("https%3A%2F%2Fwww.webofscience.com%2Fwos%2Fwoscc%2Ffull-record%2FWOS:000354157200028","View Full Record in Web of Science")</f>
        <v>View Full Record in Web of Science</v>
      </c>
    </row>
    <row r="124" spans="1:72" x14ac:dyDescent="0.25">
      <c r="A124" t="s">
        <v>72</v>
      </c>
      <c r="B124" t="s">
        <v>2312</v>
      </c>
      <c r="C124" t="s">
        <v>74</v>
      </c>
      <c r="D124" t="s">
        <v>74</v>
      </c>
      <c r="E124" t="s">
        <v>74</v>
      </c>
      <c r="F124" t="s">
        <v>2313</v>
      </c>
      <c r="G124" t="s">
        <v>74</v>
      </c>
      <c r="H124" t="s">
        <v>74</v>
      </c>
      <c r="I124" t="s">
        <v>2314</v>
      </c>
      <c r="J124" t="s">
        <v>2147</v>
      </c>
      <c r="K124" t="s">
        <v>74</v>
      </c>
      <c r="L124" t="s">
        <v>74</v>
      </c>
      <c r="M124" t="s">
        <v>77</v>
      </c>
      <c r="N124" t="s">
        <v>78</v>
      </c>
      <c r="O124" t="s">
        <v>74</v>
      </c>
      <c r="P124" t="s">
        <v>74</v>
      </c>
      <c r="Q124" t="s">
        <v>74</v>
      </c>
      <c r="R124" t="s">
        <v>74</v>
      </c>
      <c r="S124" t="s">
        <v>74</v>
      </c>
      <c r="T124" t="s">
        <v>2315</v>
      </c>
      <c r="U124" t="s">
        <v>2316</v>
      </c>
      <c r="V124" t="s">
        <v>2317</v>
      </c>
      <c r="W124" t="s">
        <v>2318</v>
      </c>
      <c r="X124" t="s">
        <v>2319</v>
      </c>
      <c r="Y124" t="s">
        <v>872</v>
      </c>
      <c r="Z124" t="s">
        <v>2320</v>
      </c>
      <c r="AA124" t="s">
        <v>874</v>
      </c>
      <c r="AB124" t="s">
        <v>74</v>
      </c>
      <c r="AC124" t="s">
        <v>74</v>
      </c>
      <c r="AD124" t="s">
        <v>74</v>
      </c>
      <c r="AE124" t="s">
        <v>74</v>
      </c>
      <c r="AF124" t="s">
        <v>74</v>
      </c>
      <c r="AG124">
        <v>77</v>
      </c>
      <c r="AH124">
        <v>69</v>
      </c>
      <c r="AI124">
        <v>72</v>
      </c>
      <c r="AJ124">
        <v>9</v>
      </c>
      <c r="AK124">
        <v>174</v>
      </c>
      <c r="AL124" t="s">
        <v>577</v>
      </c>
      <c r="AM124" t="s">
        <v>578</v>
      </c>
      <c r="AN124" t="s">
        <v>579</v>
      </c>
      <c r="AO124" t="s">
        <v>2155</v>
      </c>
      <c r="AP124" t="s">
        <v>2156</v>
      </c>
      <c r="AQ124" t="s">
        <v>74</v>
      </c>
      <c r="AR124" t="s">
        <v>2157</v>
      </c>
      <c r="AS124" t="s">
        <v>2158</v>
      </c>
      <c r="AT124" t="s">
        <v>375</v>
      </c>
      <c r="AU124">
        <v>2013</v>
      </c>
      <c r="AV124">
        <v>83</v>
      </c>
      <c r="AW124">
        <v>3</v>
      </c>
      <c r="AX124" t="s">
        <v>74</v>
      </c>
      <c r="AY124" t="s">
        <v>74</v>
      </c>
      <c r="AZ124" t="s">
        <v>74</v>
      </c>
      <c r="BA124" t="s">
        <v>74</v>
      </c>
      <c r="BB124">
        <v>305</v>
      </c>
      <c r="BC124">
        <v>314</v>
      </c>
      <c r="BD124" t="s">
        <v>74</v>
      </c>
      <c r="BE124" t="s">
        <v>2321</v>
      </c>
      <c r="BF124" t="str">
        <f>HYPERLINK("http://dx.doi.org/10.1016/j.jvb.2013.06.012","http://dx.doi.org/10.1016/j.jvb.2013.06.012")</f>
        <v>http://dx.doi.org/10.1016/j.jvb.2013.06.012</v>
      </c>
      <c r="BG124" t="s">
        <v>74</v>
      </c>
      <c r="BH124" t="s">
        <v>74</v>
      </c>
      <c r="BI124">
        <v>10</v>
      </c>
      <c r="BJ124" t="s">
        <v>692</v>
      </c>
      <c r="BK124" t="s">
        <v>94</v>
      </c>
      <c r="BL124" t="s">
        <v>460</v>
      </c>
      <c r="BM124" t="s">
        <v>2322</v>
      </c>
      <c r="BN124" t="s">
        <v>74</v>
      </c>
      <c r="BO124" t="s">
        <v>74</v>
      </c>
      <c r="BP124" t="s">
        <v>74</v>
      </c>
      <c r="BQ124" t="s">
        <v>74</v>
      </c>
      <c r="BR124" t="s">
        <v>97</v>
      </c>
      <c r="BS124" t="s">
        <v>2323</v>
      </c>
      <c r="BT124" t="str">
        <f>HYPERLINK("https%3A%2F%2Fwww.webofscience.com%2Fwos%2Fwoscc%2Ffull-record%2FWOS:000327226900010","View Full Record in Web of Science")</f>
        <v>View Full Record in Web of Science</v>
      </c>
    </row>
    <row r="125" spans="1:72" x14ac:dyDescent="0.25">
      <c r="A125" t="s">
        <v>72</v>
      </c>
      <c r="B125" t="s">
        <v>2324</v>
      </c>
      <c r="C125" t="s">
        <v>74</v>
      </c>
      <c r="D125" t="s">
        <v>74</v>
      </c>
      <c r="E125" t="s">
        <v>74</v>
      </c>
      <c r="F125" t="s">
        <v>2324</v>
      </c>
      <c r="G125" t="s">
        <v>74</v>
      </c>
      <c r="H125" t="s">
        <v>74</v>
      </c>
      <c r="I125" t="s">
        <v>2325</v>
      </c>
      <c r="J125" t="s">
        <v>2326</v>
      </c>
      <c r="K125" t="s">
        <v>74</v>
      </c>
      <c r="L125" t="s">
        <v>74</v>
      </c>
      <c r="M125" t="s">
        <v>77</v>
      </c>
      <c r="N125" t="s">
        <v>78</v>
      </c>
      <c r="O125" t="s">
        <v>74</v>
      </c>
      <c r="P125" t="s">
        <v>74</v>
      </c>
      <c r="Q125" t="s">
        <v>74</v>
      </c>
      <c r="R125" t="s">
        <v>74</v>
      </c>
      <c r="S125" t="s">
        <v>74</v>
      </c>
      <c r="T125" t="s">
        <v>74</v>
      </c>
      <c r="U125" t="s">
        <v>74</v>
      </c>
      <c r="V125" t="s">
        <v>2327</v>
      </c>
      <c r="W125" t="s">
        <v>74</v>
      </c>
      <c r="X125" t="s">
        <v>74</v>
      </c>
      <c r="Y125" t="s">
        <v>2328</v>
      </c>
      <c r="Z125" t="s">
        <v>74</v>
      </c>
      <c r="AA125" t="s">
        <v>74</v>
      </c>
      <c r="AB125" t="s">
        <v>74</v>
      </c>
      <c r="AC125" t="s">
        <v>74</v>
      </c>
      <c r="AD125" t="s">
        <v>74</v>
      </c>
      <c r="AE125" t="s">
        <v>74</v>
      </c>
      <c r="AF125" t="s">
        <v>74</v>
      </c>
      <c r="AG125">
        <v>0</v>
      </c>
      <c r="AH125">
        <v>69</v>
      </c>
      <c r="AI125">
        <v>73</v>
      </c>
      <c r="AJ125">
        <v>0</v>
      </c>
      <c r="AK125">
        <v>14</v>
      </c>
      <c r="AL125" t="s">
        <v>602</v>
      </c>
      <c r="AM125" t="s">
        <v>160</v>
      </c>
      <c r="AN125" t="s">
        <v>2329</v>
      </c>
      <c r="AO125" t="s">
        <v>2330</v>
      </c>
      <c r="AP125" t="s">
        <v>74</v>
      </c>
      <c r="AQ125" t="s">
        <v>74</v>
      </c>
      <c r="AR125" t="s">
        <v>2326</v>
      </c>
      <c r="AS125" t="s">
        <v>2331</v>
      </c>
      <c r="AT125" t="s">
        <v>91</v>
      </c>
      <c r="AU125">
        <v>1995</v>
      </c>
      <c r="AV125">
        <v>15</v>
      </c>
      <c r="AW125">
        <v>5</v>
      </c>
      <c r="AX125" t="s">
        <v>74</v>
      </c>
      <c r="AY125" t="s">
        <v>74</v>
      </c>
      <c r="AZ125" t="s">
        <v>74</v>
      </c>
      <c r="BA125" t="s">
        <v>74</v>
      </c>
      <c r="BB125">
        <v>269</v>
      </c>
      <c r="BC125">
        <v>288</v>
      </c>
      <c r="BD125" t="s">
        <v>74</v>
      </c>
      <c r="BE125" t="s">
        <v>2332</v>
      </c>
      <c r="BF125" t="str">
        <f>HYPERLINK("http://dx.doi.org/10.1016/0166-4972(95)96600-X","http://dx.doi.org/10.1016/0166-4972(95)96600-X")</f>
        <v>http://dx.doi.org/10.1016/0166-4972(95)96600-X</v>
      </c>
      <c r="BG125" t="s">
        <v>74</v>
      </c>
      <c r="BH125" t="s">
        <v>74</v>
      </c>
      <c r="BI125">
        <v>20</v>
      </c>
      <c r="BJ125" t="s">
        <v>2333</v>
      </c>
      <c r="BK125" t="s">
        <v>283</v>
      </c>
      <c r="BL125" t="s">
        <v>1481</v>
      </c>
      <c r="BM125" t="s">
        <v>2334</v>
      </c>
      <c r="BN125" t="s">
        <v>74</v>
      </c>
      <c r="BO125" t="s">
        <v>74</v>
      </c>
      <c r="BP125" t="s">
        <v>74</v>
      </c>
      <c r="BQ125" t="s">
        <v>74</v>
      </c>
      <c r="BR125" t="s">
        <v>97</v>
      </c>
      <c r="BS125" t="s">
        <v>2335</v>
      </c>
      <c r="BT125" t="str">
        <f>HYPERLINK("https%3A%2F%2Fwww.webofscience.com%2Fwos%2Fwoscc%2Ffull-record%2FWOS:A1995RD25600001","View Full Record in Web of Science")</f>
        <v>View Full Record in Web of Science</v>
      </c>
    </row>
    <row r="126" spans="1:72" x14ac:dyDescent="0.25">
      <c r="A126" t="s">
        <v>72</v>
      </c>
      <c r="B126" t="s">
        <v>2336</v>
      </c>
      <c r="C126" t="s">
        <v>74</v>
      </c>
      <c r="D126" t="s">
        <v>74</v>
      </c>
      <c r="E126" t="s">
        <v>74</v>
      </c>
      <c r="F126" t="s">
        <v>2337</v>
      </c>
      <c r="G126" t="s">
        <v>74</v>
      </c>
      <c r="H126" t="s">
        <v>74</v>
      </c>
      <c r="I126" t="s">
        <v>2338</v>
      </c>
      <c r="J126" t="s">
        <v>2339</v>
      </c>
      <c r="K126" t="s">
        <v>74</v>
      </c>
      <c r="L126" t="s">
        <v>74</v>
      </c>
      <c r="M126" t="s">
        <v>77</v>
      </c>
      <c r="N126" t="s">
        <v>78</v>
      </c>
      <c r="O126" t="s">
        <v>74</v>
      </c>
      <c r="P126" t="s">
        <v>74</v>
      </c>
      <c r="Q126" t="s">
        <v>74</v>
      </c>
      <c r="R126" t="s">
        <v>74</v>
      </c>
      <c r="S126" t="s">
        <v>74</v>
      </c>
      <c r="T126" t="s">
        <v>2340</v>
      </c>
      <c r="U126" t="s">
        <v>2341</v>
      </c>
      <c r="V126" t="s">
        <v>2342</v>
      </c>
      <c r="W126" t="s">
        <v>2343</v>
      </c>
      <c r="X126" t="s">
        <v>2344</v>
      </c>
      <c r="Y126" t="s">
        <v>2345</v>
      </c>
      <c r="Z126" t="s">
        <v>2346</v>
      </c>
      <c r="AA126" t="s">
        <v>2347</v>
      </c>
      <c r="AB126" t="s">
        <v>74</v>
      </c>
      <c r="AC126" t="s">
        <v>2348</v>
      </c>
      <c r="AD126" t="s">
        <v>2349</v>
      </c>
      <c r="AE126" t="s">
        <v>2350</v>
      </c>
      <c r="AF126" t="s">
        <v>74</v>
      </c>
      <c r="AG126">
        <v>93</v>
      </c>
      <c r="AH126">
        <v>68</v>
      </c>
      <c r="AI126">
        <v>69</v>
      </c>
      <c r="AJ126">
        <v>25</v>
      </c>
      <c r="AK126">
        <v>178</v>
      </c>
      <c r="AL126" t="s">
        <v>2351</v>
      </c>
      <c r="AM126" t="s">
        <v>541</v>
      </c>
      <c r="AN126" t="s">
        <v>2352</v>
      </c>
      <c r="AO126" t="s">
        <v>2353</v>
      </c>
      <c r="AP126" t="s">
        <v>2354</v>
      </c>
      <c r="AQ126" t="s">
        <v>74</v>
      </c>
      <c r="AR126" t="s">
        <v>2355</v>
      </c>
      <c r="AS126" t="s">
        <v>2356</v>
      </c>
      <c r="AT126" t="s">
        <v>892</v>
      </c>
      <c r="AU126">
        <v>2020</v>
      </c>
      <c r="AV126">
        <v>73</v>
      </c>
      <c r="AW126">
        <v>1</v>
      </c>
      <c r="AX126" t="s">
        <v>74</v>
      </c>
      <c r="AY126" t="s">
        <v>74</v>
      </c>
      <c r="AZ126" t="s">
        <v>74</v>
      </c>
      <c r="BA126" t="s">
        <v>74</v>
      </c>
      <c r="BB126">
        <v>59</v>
      </c>
      <c r="BC126">
        <v>93</v>
      </c>
      <c r="BD126" t="s">
        <v>74</v>
      </c>
      <c r="BE126" t="s">
        <v>2357</v>
      </c>
      <c r="BF126" t="str">
        <f>HYPERLINK("http://dx.doi.org/10.1177/0018726718819055","http://dx.doi.org/10.1177/0018726718819055")</f>
        <v>http://dx.doi.org/10.1177/0018726718819055</v>
      </c>
      <c r="BG126" t="s">
        <v>74</v>
      </c>
      <c r="BH126" t="s">
        <v>74</v>
      </c>
      <c r="BI126">
        <v>35</v>
      </c>
      <c r="BJ126" t="s">
        <v>2358</v>
      </c>
      <c r="BK126" t="s">
        <v>94</v>
      </c>
      <c r="BL126" t="s">
        <v>2359</v>
      </c>
      <c r="BM126" t="s">
        <v>2360</v>
      </c>
      <c r="BN126" t="s">
        <v>74</v>
      </c>
      <c r="BO126" t="s">
        <v>111</v>
      </c>
      <c r="BP126" t="s">
        <v>74</v>
      </c>
      <c r="BQ126" t="s">
        <v>74</v>
      </c>
      <c r="BR126" t="s">
        <v>97</v>
      </c>
      <c r="BS126" t="s">
        <v>2361</v>
      </c>
      <c r="BT126" t="str">
        <f>HYPERLINK("https%3A%2F%2Fwww.webofscience.com%2Fwos%2Fwoscc%2Ffull-record%2FWOS:000499490600003","View Full Record in Web of Science")</f>
        <v>View Full Record in Web of Science</v>
      </c>
    </row>
    <row r="127" spans="1:72" x14ac:dyDescent="0.25">
      <c r="A127" t="s">
        <v>72</v>
      </c>
      <c r="B127" t="s">
        <v>2362</v>
      </c>
      <c r="C127" t="s">
        <v>74</v>
      </c>
      <c r="D127" t="s">
        <v>74</v>
      </c>
      <c r="E127" t="s">
        <v>74</v>
      </c>
      <c r="F127" t="s">
        <v>2363</v>
      </c>
      <c r="G127" t="s">
        <v>74</v>
      </c>
      <c r="H127" t="s">
        <v>74</v>
      </c>
      <c r="I127" t="s">
        <v>2364</v>
      </c>
      <c r="J127" t="s">
        <v>2365</v>
      </c>
      <c r="K127" t="s">
        <v>74</v>
      </c>
      <c r="L127" t="s">
        <v>74</v>
      </c>
      <c r="M127" t="s">
        <v>77</v>
      </c>
      <c r="N127" t="s">
        <v>78</v>
      </c>
      <c r="O127" t="s">
        <v>74</v>
      </c>
      <c r="P127" t="s">
        <v>74</v>
      </c>
      <c r="Q127" t="s">
        <v>74</v>
      </c>
      <c r="R127" t="s">
        <v>74</v>
      </c>
      <c r="S127" t="s">
        <v>74</v>
      </c>
      <c r="T127" t="s">
        <v>2366</v>
      </c>
      <c r="U127" t="s">
        <v>2367</v>
      </c>
      <c r="V127" t="s">
        <v>2368</v>
      </c>
      <c r="W127" t="s">
        <v>2369</v>
      </c>
      <c r="X127" t="s">
        <v>2370</v>
      </c>
      <c r="Y127" t="s">
        <v>2371</v>
      </c>
      <c r="Z127" t="s">
        <v>2372</v>
      </c>
      <c r="AA127" t="s">
        <v>2373</v>
      </c>
      <c r="AB127" t="s">
        <v>2374</v>
      </c>
      <c r="AC127" t="s">
        <v>74</v>
      </c>
      <c r="AD127" t="s">
        <v>74</v>
      </c>
      <c r="AE127" t="s">
        <v>74</v>
      </c>
      <c r="AF127" t="s">
        <v>74</v>
      </c>
      <c r="AG127">
        <v>48</v>
      </c>
      <c r="AH127">
        <v>68</v>
      </c>
      <c r="AI127">
        <v>70</v>
      </c>
      <c r="AJ127">
        <v>14</v>
      </c>
      <c r="AK127">
        <v>136</v>
      </c>
      <c r="AL127" t="s">
        <v>329</v>
      </c>
      <c r="AM127" t="s">
        <v>330</v>
      </c>
      <c r="AN127" t="s">
        <v>331</v>
      </c>
      <c r="AO127" t="s">
        <v>2375</v>
      </c>
      <c r="AP127" t="s">
        <v>2376</v>
      </c>
      <c r="AQ127" t="s">
        <v>74</v>
      </c>
      <c r="AR127" t="s">
        <v>2377</v>
      </c>
      <c r="AS127" t="s">
        <v>2378</v>
      </c>
      <c r="AT127" t="s">
        <v>792</v>
      </c>
      <c r="AU127">
        <v>2019</v>
      </c>
      <c r="AV127">
        <v>144</v>
      </c>
      <c r="AW127" t="s">
        <v>74</v>
      </c>
      <c r="AX127" t="s">
        <v>74</v>
      </c>
      <c r="AY127" t="s">
        <v>74</v>
      </c>
      <c r="AZ127" t="s">
        <v>74</v>
      </c>
      <c r="BA127" t="s">
        <v>74</v>
      </c>
      <c r="BB127">
        <v>348</v>
      </c>
      <c r="BC127">
        <v>360</v>
      </c>
      <c r="BD127" t="s">
        <v>74</v>
      </c>
      <c r="BE127" t="s">
        <v>2379</v>
      </c>
      <c r="BF127" t="str">
        <f>HYPERLINK("http://dx.doi.org/10.1016/j.techfore.2017.11.020","http://dx.doi.org/10.1016/j.techfore.2017.11.020")</f>
        <v>http://dx.doi.org/10.1016/j.techfore.2017.11.020</v>
      </c>
      <c r="BG127" t="s">
        <v>74</v>
      </c>
      <c r="BH127" t="s">
        <v>74</v>
      </c>
      <c r="BI127">
        <v>13</v>
      </c>
      <c r="BJ127" t="s">
        <v>2380</v>
      </c>
      <c r="BK127" t="s">
        <v>94</v>
      </c>
      <c r="BL127" t="s">
        <v>2246</v>
      </c>
      <c r="BM127" t="s">
        <v>2381</v>
      </c>
      <c r="BN127" t="s">
        <v>74</v>
      </c>
      <c r="BO127" t="s">
        <v>74</v>
      </c>
      <c r="BP127" t="s">
        <v>74</v>
      </c>
      <c r="BQ127" t="s">
        <v>74</v>
      </c>
      <c r="BR127" t="s">
        <v>97</v>
      </c>
      <c r="BS127" t="s">
        <v>2382</v>
      </c>
      <c r="BT127" t="str">
        <f>HYPERLINK("https%3A%2F%2Fwww.webofscience.com%2Fwos%2Fwoscc%2Ffull-record%2FWOS:000471735700030","View Full Record in Web of Science")</f>
        <v>View Full Record in Web of Science</v>
      </c>
    </row>
    <row r="128" spans="1:72" x14ac:dyDescent="0.25">
      <c r="A128" t="s">
        <v>72</v>
      </c>
      <c r="B128" t="s">
        <v>2383</v>
      </c>
      <c r="C128" t="s">
        <v>74</v>
      </c>
      <c r="D128" t="s">
        <v>74</v>
      </c>
      <c r="E128" t="s">
        <v>74</v>
      </c>
      <c r="F128" t="s">
        <v>2384</v>
      </c>
      <c r="G128" t="s">
        <v>74</v>
      </c>
      <c r="H128" t="s">
        <v>74</v>
      </c>
      <c r="I128" t="s">
        <v>2385</v>
      </c>
      <c r="J128" t="s">
        <v>1600</v>
      </c>
      <c r="K128" t="s">
        <v>74</v>
      </c>
      <c r="L128" t="s">
        <v>74</v>
      </c>
      <c r="M128" t="s">
        <v>77</v>
      </c>
      <c r="N128" t="s">
        <v>78</v>
      </c>
      <c r="O128" t="s">
        <v>74</v>
      </c>
      <c r="P128" t="s">
        <v>74</v>
      </c>
      <c r="Q128" t="s">
        <v>74</v>
      </c>
      <c r="R128" t="s">
        <v>74</v>
      </c>
      <c r="S128" t="s">
        <v>74</v>
      </c>
      <c r="T128" t="s">
        <v>2386</v>
      </c>
      <c r="U128" t="s">
        <v>2387</v>
      </c>
      <c r="V128" t="s">
        <v>2388</v>
      </c>
      <c r="W128" t="s">
        <v>2389</v>
      </c>
      <c r="X128" t="s">
        <v>2390</v>
      </c>
      <c r="Y128" t="s">
        <v>2391</v>
      </c>
      <c r="Z128" t="s">
        <v>2392</v>
      </c>
      <c r="AA128" t="s">
        <v>2393</v>
      </c>
      <c r="AB128" t="s">
        <v>2394</v>
      </c>
      <c r="AC128" t="s">
        <v>74</v>
      </c>
      <c r="AD128" t="s">
        <v>74</v>
      </c>
      <c r="AE128" t="s">
        <v>74</v>
      </c>
      <c r="AF128" t="s">
        <v>74</v>
      </c>
      <c r="AG128">
        <v>81</v>
      </c>
      <c r="AH128">
        <v>67</v>
      </c>
      <c r="AI128">
        <v>72</v>
      </c>
      <c r="AJ128">
        <v>21</v>
      </c>
      <c r="AK128">
        <v>121</v>
      </c>
      <c r="AL128" t="s">
        <v>1099</v>
      </c>
      <c r="AM128" t="s">
        <v>305</v>
      </c>
      <c r="AN128" t="s">
        <v>1100</v>
      </c>
      <c r="AO128" t="s">
        <v>1610</v>
      </c>
      <c r="AP128" t="s">
        <v>1611</v>
      </c>
      <c r="AQ128" t="s">
        <v>74</v>
      </c>
      <c r="AR128" t="s">
        <v>1612</v>
      </c>
      <c r="AS128" t="s">
        <v>1613</v>
      </c>
      <c r="AT128" t="s">
        <v>74</v>
      </c>
      <c r="AU128">
        <v>2017</v>
      </c>
      <c r="AV128">
        <v>28</v>
      </c>
      <c r="AW128">
        <v>2</v>
      </c>
      <c r="AX128" t="s">
        <v>74</v>
      </c>
      <c r="AY128" t="s">
        <v>74</v>
      </c>
      <c r="AZ128" t="s">
        <v>74</v>
      </c>
      <c r="BA128" t="s">
        <v>74</v>
      </c>
      <c r="BB128">
        <v>307</v>
      </c>
      <c r="BC128">
        <v>332</v>
      </c>
      <c r="BD128" t="s">
        <v>74</v>
      </c>
      <c r="BE128" t="s">
        <v>2395</v>
      </c>
      <c r="BF128" t="str">
        <f>HYPERLINK("http://dx.doi.org/10.1080/09585192.2016.1244893","http://dx.doi.org/10.1080/09585192.2016.1244893")</f>
        <v>http://dx.doi.org/10.1080/09585192.2016.1244893</v>
      </c>
      <c r="BG128" t="s">
        <v>74</v>
      </c>
      <c r="BH128" t="s">
        <v>74</v>
      </c>
      <c r="BI128">
        <v>26</v>
      </c>
      <c r="BJ128" t="s">
        <v>442</v>
      </c>
      <c r="BK128" t="s">
        <v>94</v>
      </c>
      <c r="BL128" t="s">
        <v>95</v>
      </c>
      <c r="BM128" t="s">
        <v>2396</v>
      </c>
      <c r="BN128" t="s">
        <v>74</v>
      </c>
      <c r="BO128" t="s">
        <v>74</v>
      </c>
      <c r="BP128" t="s">
        <v>74</v>
      </c>
      <c r="BQ128" t="s">
        <v>74</v>
      </c>
      <c r="BR128" t="s">
        <v>97</v>
      </c>
      <c r="BS128" t="s">
        <v>2397</v>
      </c>
      <c r="BT128" t="str">
        <f>HYPERLINK("https%3A%2F%2Fwww.webofscience.com%2Fwos%2Fwoscc%2Ffull-record%2FWOS:000395088200004","View Full Record in Web of Science")</f>
        <v>View Full Record in Web of Science</v>
      </c>
    </row>
    <row r="129" spans="1:72" x14ac:dyDescent="0.25">
      <c r="A129" t="s">
        <v>72</v>
      </c>
      <c r="B129" t="s">
        <v>2398</v>
      </c>
      <c r="C129" t="s">
        <v>74</v>
      </c>
      <c r="D129" t="s">
        <v>74</v>
      </c>
      <c r="E129" t="s">
        <v>74</v>
      </c>
      <c r="F129" t="s">
        <v>2399</v>
      </c>
      <c r="G129" t="s">
        <v>74</v>
      </c>
      <c r="H129" t="s">
        <v>74</v>
      </c>
      <c r="I129" t="s">
        <v>2400</v>
      </c>
      <c r="J129" t="s">
        <v>2401</v>
      </c>
      <c r="K129" t="s">
        <v>74</v>
      </c>
      <c r="L129" t="s">
        <v>74</v>
      </c>
      <c r="M129" t="s">
        <v>77</v>
      </c>
      <c r="N129" t="s">
        <v>78</v>
      </c>
      <c r="O129" t="s">
        <v>74</v>
      </c>
      <c r="P129" t="s">
        <v>74</v>
      </c>
      <c r="Q129" t="s">
        <v>74</v>
      </c>
      <c r="R129" t="s">
        <v>74</v>
      </c>
      <c r="S129" t="s">
        <v>74</v>
      </c>
      <c r="T129" t="s">
        <v>74</v>
      </c>
      <c r="U129" t="s">
        <v>2402</v>
      </c>
      <c r="V129" t="s">
        <v>2403</v>
      </c>
      <c r="W129" t="s">
        <v>2404</v>
      </c>
      <c r="X129" t="s">
        <v>2405</v>
      </c>
      <c r="Y129" t="s">
        <v>2406</v>
      </c>
      <c r="Z129" t="s">
        <v>2407</v>
      </c>
      <c r="AA129" t="s">
        <v>2408</v>
      </c>
      <c r="AB129" t="s">
        <v>2409</v>
      </c>
      <c r="AC129" t="s">
        <v>2410</v>
      </c>
      <c r="AD129" t="s">
        <v>2411</v>
      </c>
      <c r="AE129" t="s">
        <v>2412</v>
      </c>
      <c r="AF129" t="s">
        <v>74</v>
      </c>
      <c r="AG129">
        <v>123</v>
      </c>
      <c r="AH129">
        <v>65</v>
      </c>
      <c r="AI129">
        <v>68</v>
      </c>
      <c r="AJ129">
        <v>0</v>
      </c>
      <c r="AK129">
        <v>20</v>
      </c>
      <c r="AL129" t="s">
        <v>2289</v>
      </c>
      <c r="AM129" t="s">
        <v>1395</v>
      </c>
      <c r="AN129" t="s">
        <v>2413</v>
      </c>
      <c r="AO129" t="s">
        <v>2414</v>
      </c>
      <c r="AP129" t="s">
        <v>2415</v>
      </c>
      <c r="AQ129" t="s">
        <v>74</v>
      </c>
      <c r="AR129" t="s">
        <v>2416</v>
      </c>
      <c r="AS129" t="s">
        <v>2417</v>
      </c>
      <c r="AT129" t="s">
        <v>392</v>
      </c>
      <c r="AU129">
        <v>2017</v>
      </c>
      <c r="AV129">
        <v>58</v>
      </c>
      <c r="AW129" t="s">
        <v>74</v>
      </c>
      <c r="AX129" t="s">
        <v>74</v>
      </c>
      <c r="AY129">
        <v>16</v>
      </c>
      <c r="AZ129" t="s">
        <v>74</v>
      </c>
      <c r="BA129" t="s">
        <v>74</v>
      </c>
      <c r="BB129" t="s">
        <v>2418</v>
      </c>
      <c r="BC129" t="s">
        <v>2419</v>
      </c>
      <c r="BD129" t="s">
        <v>74</v>
      </c>
      <c r="BE129" t="s">
        <v>2420</v>
      </c>
      <c r="BF129" t="str">
        <f>HYPERLINK("http://dx.doi.org/10.1086/691211","http://dx.doi.org/10.1086/691211")</f>
        <v>http://dx.doi.org/10.1086/691211</v>
      </c>
      <c r="BG129" t="s">
        <v>74</v>
      </c>
      <c r="BH129" t="s">
        <v>74</v>
      </c>
      <c r="BI129">
        <v>15</v>
      </c>
      <c r="BJ129" t="s">
        <v>2421</v>
      </c>
      <c r="BK129" t="s">
        <v>94</v>
      </c>
      <c r="BL129" t="s">
        <v>2421</v>
      </c>
      <c r="BM129" t="s">
        <v>2422</v>
      </c>
      <c r="BN129" t="s">
        <v>74</v>
      </c>
      <c r="BO129" t="s">
        <v>74</v>
      </c>
      <c r="BP129" t="s">
        <v>74</v>
      </c>
      <c r="BQ129" t="s">
        <v>74</v>
      </c>
      <c r="BR129" t="s">
        <v>97</v>
      </c>
      <c r="BS129" t="s">
        <v>2423</v>
      </c>
      <c r="BT129" t="str">
        <f>HYPERLINK("https%3A%2F%2Fwww.webofscience.com%2Fwos%2Fwoscc%2Ffull-record%2FWOS:000407900400014","View Full Record in Web of Science")</f>
        <v>View Full Record in Web of Science</v>
      </c>
    </row>
    <row r="130" spans="1:72" x14ac:dyDescent="0.25">
      <c r="A130" t="s">
        <v>72</v>
      </c>
      <c r="B130" t="s">
        <v>2424</v>
      </c>
      <c r="C130" t="s">
        <v>74</v>
      </c>
      <c r="D130" t="s">
        <v>74</v>
      </c>
      <c r="E130" t="s">
        <v>74</v>
      </c>
      <c r="F130" t="s">
        <v>2425</v>
      </c>
      <c r="G130" t="s">
        <v>74</v>
      </c>
      <c r="H130" t="s">
        <v>74</v>
      </c>
      <c r="I130" t="s">
        <v>2426</v>
      </c>
      <c r="J130" t="s">
        <v>779</v>
      </c>
      <c r="K130" t="s">
        <v>74</v>
      </c>
      <c r="L130" t="s">
        <v>74</v>
      </c>
      <c r="M130" t="s">
        <v>77</v>
      </c>
      <c r="N130" t="s">
        <v>78</v>
      </c>
      <c r="O130" t="s">
        <v>74</v>
      </c>
      <c r="P130" t="s">
        <v>74</v>
      </c>
      <c r="Q130" t="s">
        <v>74</v>
      </c>
      <c r="R130" t="s">
        <v>74</v>
      </c>
      <c r="S130" t="s">
        <v>74</v>
      </c>
      <c r="T130" t="s">
        <v>74</v>
      </c>
      <c r="U130" t="s">
        <v>2427</v>
      </c>
      <c r="V130" t="s">
        <v>2428</v>
      </c>
      <c r="W130" t="s">
        <v>2429</v>
      </c>
      <c r="X130" t="s">
        <v>2430</v>
      </c>
      <c r="Y130" t="s">
        <v>2431</v>
      </c>
      <c r="Z130" t="s">
        <v>2432</v>
      </c>
      <c r="AA130" t="s">
        <v>74</v>
      </c>
      <c r="AB130" t="s">
        <v>2433</v>
      </c>
      <c r="AC130" t="s">
        <v>74</v>
      </c>
      <c r="AD130" t="s">
        <v>74</v>
      </c>
      <c r="AE130" t="s">
        <v>74</v>
      </c>
      <c r="AF130" t="s">
        <v>74</v>
      </c>
      <c r="AG130">
        <v>88</v>
      </c>
      <c r="AH130">
        <v>65</v>
      </c>
      <c r="AI130">
        <v>68</v>
      </c>
      <c r="AJ130">
        <v>9</v>
      </c>
      <c r="AK130">
        <v>102</v>
      </c>
      <c r="AL130" t="s">
        <v>218</v>
      </c>
      <c r="AM130" t="s">
        <v>219</v>
      </c>
      <c r="AN130" t="s">
        <v>220</v>
      </c>
      <c r="AO130" t="s">
        <v>789</v>
      </c>
      <c r="AP130" t="s">
        <v>1320</v>
      </c>
      <c r="AQ130" t="s">
        <v>74</v>
      </c>
      <c r="AR130" t="s">
        <v>790</v>
      </c>
      <c r="AS130" t="s">
        <v>791</v>
      </c>
      <c r="AT130" t="s">
        <v>892</v>
      </c>
      <c r="AU130">
        <v>2016</v>
      </c>
      <c r="AV130">
        <v>33</v>
      </c>
      <c r="AW130">
        <v>1</v>
      </c>
      <c r="AX130" t="s">
        <v>74</v>
      </c>
      <c r="AY130" t="s">
        <v>74</v>
      </c>
      <c r="AZ130" t="s">
        <v>74</v>
      </c>
      <c r="BA130" t="s">
        <v>74</v>
      </c>
      <c r="BB130">
        <v>19</v>
      </c>
      <c r="BC130">
        <v>35</v>
      </c>
      <c r="BD130" t="s">
        <v>74</v>
      </c>
      <c r="BE130" t="s">
        <v>2434</v>
      </c>
      <c r="BF130" t="str">
        <f>HYPERLINK("http://dx.doi.org/10.1111/jpim.12250","http://dx.doi.org/10.1111/jpim.12250")</f>
        <v>http://dx.doi.org/10.1111/jpim.12250</v>
      </c>
      <c r="BG130" t="s">
        <v>74</v>
      </c>
      <c r="BH130" t="s">
        <v>74</v>
      </c>
      <c r="BI130">
        <v>17</v>
      </c>
      <c r="BJ130" t="s">
        <v>794</v>
      </c>
      <c r="BK130" t="s">
        <v>147</v>
      </c>
      <c r="BL130" t="s">
        <v>795</v>
      </c>
      <c r="BM130" t="s">
        <v>2435</v>
      </c>
      <c r="BN130" t="s">
        <v>74</v>
      </c>
      <c r="BO130" t="s">
        <v>2436</v>
      </c>
      <c r="BP130" t="s">
        <v>74</v>
      </c>
      <c r="BQ130" t="s">
        <v>74</v>
      </c>
      <c r="BR130" t="s">
        <v>97</v>
      </c>
      <c r="BS130" t="s">
        <v>2437</v>
      </c>
      <c r="BT130" t="str">
        <f>HYPERLINK("https%3A%2F%2Fwww.webofscience.com%2Fwos%2Fwoscc%2Ffull-record%2FWOS:000368589800003","View Full Record in Web of Science")</f>
        <v>View Full Record in Web of Science</v>
      </c>
    </row>
    <row r="131" spans="1:72" x14ac:dyDescent="0.25">
      <c r="A131" t="s">
        <v>72</v>
      </c>
      <c r="B131" t="s">
        <v>2438</v>
      </c>
      <c r="C131" t="s">
        <v>74</v>
      </c>
      <c r="D131" t="s">
        <v>74</v>
      </c>
      <c r="E131" t="s">
        <v>74</v>
      </c>
      <c r="F131" t="s">
        <v>2439</v>
      </c>
      <c r="G131" t="s">
        <v>74</v>
      </c>
      <c r="H131" t="s">
        <v>74</v>
      </c>
      <c r="I131" t="s">
        <v>2440</v>
      </c>
      <c r="J131" t="s">
        <v>2441</v>
      </c>
      <c r="K131" t="s">
        <v>74</v>
      </c>
      <c r="L131" t="s">
        <v>74</v>
      </c>
      <c r="M131" t="s">
        <v>77</v>
      </c>
      <c r="N131" t="s">
        <v>78</v>
      </c>
      <c r="O131" t="s">
        <v>74</v>
      </c>
      <c r="P131" t="s">
        <v>74</v>
      </c>
      <c r="Q131" t="s">
        <v>74</v>
      </c>
      <c r="R131" t="s">
        <v>74</v>
      </c>
      <c r="S131" t="s">
        <v>74</v>
      </c>
      <c r="T131" t="s">
        <v>2442</v>
      </c>
      <c r="U131" t="s">
        <v>2443</v>
      </c>
      <c r="V131" t="s">
        <v>2444</v>
      </c>
      <c r="W131" t="s">
        <v>2445</v>
      </c>
      <c r="X131" t="s">
        <v>2446</v>
      </c>
      <c r="Y131" t="s">
        <v>2447</v>
      </c>
      <c r="Z131" t="s">
        <v>2448</v>
      </c>
      <c r="AA131" t="s">
        <v>2449</v>
      </c>
      <c r="AB131" t="s">
        <v>2450</v>
      </c>
      <c r="AC131" t="s">
        <v>2451</v>
      </c>
      <c r="AD131" t="s">
        <v>2452</v>
      </c>
      <c r="AE131" t="s">
        <v>74</v>
      </c>
      <c r="AF131" t="s">
        <v>74</v>
      </c>
      <c r="AG131">
        <v>38</v>
      </c>
      <c r="AH131">
        <v>65</v>
      </c>
      <c r="AI131">
        <v>66</v>
      </c>
      <c r="AJ131">
        <v>2</v>
      </c>
      <c r="AK131">
        <v>55</v>
      </c>
      <c r="AL131" t="s">
        <v>577</v>
      </c>
      <c r="AM131" t="s">
        <v>578</v>
      </c>
      <c r="AN131" t="s">
        <v>579</v>
      </c>
      <c r="AO131" t="s">
        <v>2453</v>
      </c>
      <c r="AP131" t="s">
        <v>2454</v>
      </c>
      <c r="AQ131" t="s">
        <v>74</v>
      </c>
      <c r="AR131" t="s">
        <v>2455</v>
      </c>
      <c r="AS131" t="s">
        <v>2456</v>
      </c>
      <c r="AT131" t="s">
        <v>165</v>
      </c>
      <c r="AU131">
        <v>2007</v>
      </c>
      <c r="AV131">
        <v>43</v>
      </c>
      <c r="AW131">
        <v>3</v>
      </c>
      <c r="AX131" t="s">
        <v>74</v>
      </c>
      <c r="AY131" t="s">
        <v>74</v>
      </c>
      <c r="AZ131" t="s">
        <v>74</v>
      </c>
      <c r="BA131" t="s">
        <v>74</v>
      </c>
      <c r="BB131">
        <v>410</v>
      </c>
      <c r="BC131">
        <v>416</v>
      </c>
      <c r="BD131" t="s">
        <v>74</v>
      </c>
      <c r="BE131" t="s">
        <v>2457</v>
      </c>
      <c r="BF131" t="str">
        <f>HYPERLINK("http://dx.doi.org/10.1016/j.jesp.2006.02.013","http://dx.doi.org/10.1016/j.jesp.2006.02.013")</f>
        <v>http://dx.doi.org/10.1016/j.jesp.2006.02.013</v>
      </c>
      <c r="BG131" t="s">
        <v>74</v>
      </c>
      <c r="BH131" t="s">
        <v>74</v>
      </c>
      <c r="BI131">
        <v>7</v>
      </c>
      <c r="BJ131" t="s">
        <v>459</v>
      </c>
      <c r="BK131" t="s">
        <v>94</v>
      </c>
      <c r="BL131" t="s">
        <v>460</v>
      </c>
      <c r="BM131" t="s">
        <v>2458</v>
      </c>
      <c r="BN131" t="s">
        <v>74</v>
      </c>
      <c r="BO131" t="s">
        <v>111</v>
      </c>
      <c r="BP131" t="s">
        <v>74</v>
      </c>
      <c r="BQ131" t="s">
        <v>74</v>
      </c>
      <c r="BR131" t="s">
        <v>97</v>
      </c>
      <c r="BS131" t="s">
        <v>2459</v>
      </c>
      <c r="BT131" t="str">
        <f>HYPERLINK("https%3A%2F%2Fwww.webofscience.com%2Fwos%2Fwoscc%2Ffull-record%2FWOS:000246229000008","View Full Record in Web of Science")</f>
        <v>View Full Record in Web of Science</v>
      </c>
    </row>
    <row r="132" spans="1:72" x14ac:dyDescent="0.25">
      <c r="A132" t="s">
        <v>72</v>
      </c>
      <c r="B132" t="s">
        <v>2460</v>
      </c>
      <c r="C132" t="s">
        <v>74</v>
      </c>
      <c r="D132" t="s">
        <v>74</v>
      </c>
      <c r="E132" t="s">
        <v>74</v>
      </c>
      <c r="F132" t="s">
        <v>2461</v>
      </c>
      <c r="G132" t="s">
        <v>74</v>
      </c>
      <c r="H132" t="s">
        <v>74</v>
      </c>
      <c r="I132" t="s">
        <v>2462</v>
      </c>
      <c r="J132" t="s">
        <v>2463</v>
      </c>
      <c r="K132" t="s">
        <v>74</v>
      </c>
      <c r="L132" t="s">
        <v>74</v>
      </c>
      <c r="M132" t="s">
        <v>77</v>
      </c>
      <c r="N132" t="s">
        <v>78</v>
      </c>
      <c r="O132" t="s">
        <v>74</v>
      </c>
      <c r="P132" t="s">
        <v>74</v>
      </c>
      <c r="Q132" t="s">
        <v>74</v>
      </c>
      <c r="R132" t="s">
        <v>74</v>
      </c>
      <c r="S132" t="s">
        <v>74</v>
      </c>
      <c r="T132" t="s">
        <v>2464</v>
      </c>
      <c r="U132" t="s">
        <v>2465</v>
      </c>
      <c r="V132" t="s">
        <v>2466</v>
      </c>
      <c r="W132" t="s">
        <v>2467</v>
      </c>
      <c r="X132" t="s">
        <v>2468</v>
      </c>
      <c r="Y132" t="s">
        <v>2469</v>
      </c>
      <c r="Z132" t="s">
        <v>2470</v>
      </c>
      <c r="AA132" t="s">
        <v>2471</v>
      </c>
      <c r="AB132" t="s">
        <v>2472</v>
      </c>
      <c r="AC132" t="s">
        <v>74</v>
      </c>
      <c r="AD132" t="s">
        <v>74</v>
      </c>
      <c r="AE132" t="s">
        <v>74</v>
      </c>
      <c r="AF132" t="s">
        <v>74</v>
      </c>
      <c r="AG132">
        <v>66</v>
      </c>
      <c r="AH132">
        <v>64</v>
      </c>
      <c r="AI132">
        <v>65</v>
      </c>
      <c r="AJ132">
        <v>5</v>
      </c>
      <c r="AK132">
        <v>48</v>
      </c>
      <c r="AL132" t="s">
        <v>2473</v>
      </c>
      <c r="AM132" t="s">
        <v>2102</v>
      </c>
      <c r="AN132" t="s">
        <v>2474</v>
      </c>
      <c r="AO132" t="s">
        <v>2475</v>
      </c>
      <c r="AP132" t="s">
        <v>74</v>
      </c>
      <c r="AQ132" t="s">
        <v>74</v>
      </c>
      <c r="AR132" t="s">
        <v>2476</v>
      </c>
      <c r="AS132" t="s">
        <v>2477</v>
      </c>
      <c r="AT132" t="s">
        <v>200</v>
      </c>
      <c r="AU132">
        <v>2018</v>
      </c>
      <c r="AV132">
        <v>10</v>
      </c>
      <c r="AW132">
        <v>3</v>
      </c>
      <c r="AX132" t="s">
        <v>74</v>
      </c>
      <c r="AY132" t="s">
        <v>74</v>
      </c>
      <c r="AZ132" t="s">
        <v>74</v>
      </c>
      <c r="BA132" t="s">
        <v>74</v>
      </c>
      <c r="BB132" t="s">
        <v>74</v>
      </c>
      <c r="BC132" t="s">
        <v>74</v>
      </c>
      <c r="BD132">
        <v>864</v>
      </c>
      <c r="BE132" t="s">
        <v>2478</v>
      </c>
      <c r="BF132" t="str">
        <f>HYPERLINK("http://dx.doi.org/10.3390/su10030864","http://dx.doi.org/10.3390/su10030864")</f>
        <v>http://dx.doi.org/10.3390/su10030864</v>
      </c>
      <c r="BG132" t="s">
        <v>74</v>
      </c>
      <c r="BH132" t="s">
        <v>74</v>
      </c>
      <c r="BI132">
        <v>14</v>
      </c>
      <c r="BJ132" t="s">
        <v>2479</v>
      </c>
      <c r="BK132" t="s">
        <v>147</v>
      </c>
      <c r="BL132" t="s">
        <v>2480</v>
      </c>
      <c r="BM132" t="s">
        <v>2481</v>
      </c>
      <c r="BN132" t="s">
        <v>74</v>
      </c>
      <c r="BO132" t="s">
        <v>2482</v>
      </c>
      <c r="BP132" t="s">
        <v>74</v>
      </c>
      <c r="BQ132" t="s">
        <v>74</v>
      </c>
      <c r="BR132" t="s">
        <v>97</v>
      </c>
      <c r="BS132" t="s">
        <v>2483</v>
      </c>
      <c r="BT132" t="str">
        <f>HYPERLINK("https%3A%2F%2Fwww.webofscience.com%2Fwos%2Fwoscc%2Ffull-record%2FWOS:000428567100291","View Full Record in Web of Science")</f>
        <v>View Full Record in Web of Science</v>
      </c>
    </row>
    <row r="133" spans="1:72" x14ac:dyDescent="0.25">
      <c r="A133" t="s">
        <v>72</v>
      </c>
      <c r="B133" t="s">
        <v>2484</v>
      </c>
      <c r="C133" t="s">
        <v>74</v>
      </c>
      <c r="D133" t="s">
        <v>74</v>
      </c>
      <c r="E133" t="s">
        <v>74</v>
      </c>
      <c r="F133" t="s">
        <v>2485</v>
      </c>
      <c r="G133" t="s">
        <v>74</v>
      </c>
      <c r="H133" t="s">
        <v>74</v>
      </c>
      <c r="I133" t="s">
        <v>2486</v>
      </c>
      <c r="J133" t="s">
        <v>1161</v>
      </c>
      <c r="K133" t="s">
        <v>74</v>
      </c>
      <c r="L133" t="s">
        <v>74</v>
      </c>
      <c r="M133" t="s">
        <v>77</v>
      </c>
      <c r="N133" t="s">
        <v>78</v>
      </c>
      <c r="O133" t="s">
        <v>74</v>
      </c>
      <c r="P133" t="s">
        <v>74</v>
      </c>
      <c r="Q133" t="s">
        <v>74</v>
      </c>
      <c r="R133" t="s">
        <v>74</v>
      </c>
      <c r="S133" t="s">
        <v>74</v>
      </c>
      <c r="T133" t="s">
        <v>2487</v>
      </c>
      <c r="U133" t="s">
        <v>2488</v>
      </c>
      <c r="V133" t="s">
        <v>2489</v>
      </c>
      <c r="W133" t="s">
        <v>2490</v>
      </c>
      <c r="X133" t="s">
        <v>2491</v>
      </c>
      <c r="Y133" t="s">
        <v>2492</v>
      </c>
      <c r="Z133" t="s">
        <v>2493</v>
      </c>
      <c r="AA133" t="s">
        <v>2494</v>
      </c>
      <c r="AB133" t="s">
        <v>2495</v>
      </c>
      <c r="AC133" t="s">
        <v>74</v>
      </c>
      <c r="AD133" t="s">
        <v>74</v>
      </c>
      <c r="AE133" t="s">
        <v>74</v>
      </c>
      <c r="AF133" t="s">
        <v>74</v>
      </c>
      <c r="AG133">
        <v>120</v>
      </c>
      <c r="AH133">
        <v>64</v>
      </c>
      <c r="AI133">
        <v>66</v>
      </c>
      <c r="AJ133">
        <v>2</v>
      </c>
      <c r="AK133">
        <v>88</v>
      </c>
      <c r="AL133" t="s">
        <v>602</v>
      </c>
      <c r="AM133" t="s">
        <v>160</v>
      </c>
      <c r="AN133" t="s">
        <v>603</v>
      </c>
      <c r="AO133" t="s">
        <v>1174</v>
      </c>
      <c r="AP133" t="s">
        <v>1175</v>
      </c>
      <c r="AQ133" t="s">
        <v>74</v>
      </c>
      <c r="AR133" t="s">
        <v>1176</v>
      </c>
      <c r="AS133" t="s">
        <v>1177</v>
      </c>
      <c r="AT133" t="s">
        <v>1614</v>
      </c>
      <c r="AU133">
        <v>2017</v>
      </c>
      <c r="AV133">
        <v>160</v>
      </c>
      <c r="AW133" t="s">
        <v>74</v>
      </c>
      <c r="AX133" t="s">
        <v>74</v>
      </c>
      <c r="AY133" t="s">
        <v>74</v>
      </c>
      <c r="AZ133" t="s">
        <v>860</v>
      </c>
      <c r="BA133" t="s">
        <v>74</v>
      </c>
      <c r="BB133">
        <v>83</v>
      </c>
      <c r="BC133">
        <v>97</v>
      </c>
      <c r="BD133" t="s">
        <v>74</v>
      </c>
      <c r="BE133" t="s">
        <v>2496</v>
      </c>
      <c r="BF133" t="str">
        <f>HYPERLINK("http://dx.doi.org/10.1016/j.jclepro.2017.02.101","http://dx.doi.org/10.1016/j.jclepro.2017.02.101")</f>
        <v>http://dx.doi.org/10.1016/j.jclepro.2017.02.101</v>
      </c>
      <c r="BG133" t="s">
        <v>74</v>
      </c>
      <c r="BH133" t="s">
        <v>74</v>
      </c>
      <c r="BI133">
        <v>15</v>
      </c>
      <c r="BJ133" t="s">
        <v>1180</v>
      </c>
      <c r="BK133" t="s">
        <v>147</v>
      </c>
      <c r="BL133" t="s">
        <v>1181</v>
      </c>
      <c r="BM133" t="s">
        <v>2497</v>
      </c>
      <c r="BN133" t="s">
        <v>74</v>
      </c>
      <c r="BO133" t="s">
        <v>74</v>
      </c>
      <c r="BP133" t="s">
        <v>74</v>
      </c>
      <c r="BQ133" t="s">
        <v>74</v>
      </c>
      <c r="BR133" t="s">
        <v>97</v>
      </c>
      <c r="BS133" t="s">
        <v>2498</v>
      </c>
      <c r="BT133" t="str">
        <f>HYPERLINK("https%3A%2F%2Fwww.webofscience.com%2Fwos%2Fwoscc%2Ffull-record%2FWOS:000404204600007","View Full Record in Web of Science")</f>
        <v>View Full Record in Web of Science</v>
      </c>
    </row>
    <row r="134" spans="1:72" x14ac:dyDescent="0.25">
      <c r="A134" t="s">
        <v>72</v>
      </c>
      <c r="B134" t="s">
        <v>2499</v>
      </c>
      <c r="C134" t="s">
        <v>74</v>
      </c>
      <c r="D134" t="s">
        <v>74</v>
      </c>
      <c r="E134" t="s">
        <v>74</v>
      </c>
      <c r="F134" t="s">
        <v>2500</v>
      </c>
      <c r="G134" t="s">
        <v>74</v>
      </c>
      <c r="H134" t="s">
        <v>74</v>
      </c>
      <c r="I134" t="s">
        <v>2501</v>
      </c>
      <c r="J134" t="s">
        <v>2502</v>
      </c>
      <c r="K134" t="s">
        <v>74</v>
      </c>
      <c r="L134" t="s">
        <v>74</v>
      </c>
      <c r="M134" t="s">
        <v>77</v>
      </c>
      <c r="N134" t="s">
        <v>78</v>
      </c>
      <c r="O134" t="s">
        <v>74</v>
      </c>
      <c r="P134" t="s">
        <v>74</v>
      </c>
      <c r="Q134" t="s">
        <v>74</v>
      </c>
      <c r="R134" t="s">
        <v>74</v>
      </c>
      <c r="S134" t="s">
        <v>74</v>
      </c>
      <c r="T134" t="s">
        <v>2503</v>
      </c>
      <c r="U134" t="s">
        <v>2504</v>
      </c>
      <c r="V134" t="s">
        <v>2505</v>
      </c>
      <c r="W134" t="s">
        <v>2506</v>
      </c>
      <c r="X134" t="s">
        <v>2507</v>
      </c>
      <c r="Y134" t="s">
        <v>2508</v>
      </c>
      <c r="Z134" t="s">
        <v>2509</v>
      </c>
      <c r="AA134" t="s">
        <v>1784</v>
      </c>
      <c r="AB134" t="s">
        <v>1785</v>
      </c>
      <c r="AC134" t="s">
        <v>74</v>
      </c>
      <c r="AD134" t="s">
        <v>74</v>
      </c>
      <c r="AE134" t="s">
        <v>74</v>
      </c>
      <c r="AF134" t="s">
        <v>74</v>
      </c>
      <c r="AG134">
        <v>106</v>
      </c>
      <c r="AH134">
        <v>64</v>
      </c>
      <c r="AI134">
        <v>64</v>
      </c>
      <c r="AJ134">
        <v>9</v>
      </c>
      <c r="AK134">
        <v>117</v>
      </c>
      <c r="AL134" t="s">
        <v>665</v>
      </c>
      <c r="AM134" t="s">
        <v>666</v>
      </c>
      <c r="AN134" t="s">
        <v>667</v>
      </c>
      <c r="AO134" t="s">
        <v>2510</v>
      </c>
      <c r="AP134" t="s">
        <v>2511</v>
      </c>
      <c r="AQ134" t="s">
        <v>74</v>
      </c>
      <c r="AR134" t="s">
        <v>2512</v>
      </c>
      <c r="AS134" t="s">
        <v>2513</v>
      </c>
      <c r="AT134" t="s">
        <v>74</v>
      </c>
      <c r="AU134">
        <v>2016</v>
      </c>
      <c r="AV134">
        <v>45</v>
      </c>
      <c r="AW134">
        <v>3</v>
      </c>
      <c r="AX134" t="s">
        <v>74</v>
      </c>
      <c r="AY134" t="s">
        <v>74</v>
      </c>
      <c r="AZ134" t="s">
        <v>74</v>
      </c>
      <c r="BA134" t="s">
        <v>74</v>
      </c>
      <c r="BB134">
        <v>459</v>
      </c>
      <c r="BC134">
        <v>479</v>
      </c>
      <c r="BD134" t="s">
        <v>74</v>
      </c>
      <c r="BE134" t="s">
        <v>2514</v>
      </c>
      <c r="BF134" t="str">
        <f>HYPERLINK("http://dx.doi.org/10.1108/PR-03-2014-0058","http://dx.doi.org/10.1108/PR-03-2014-0058")</f>
        <v>http://dx.doi.org/10.1108/PR-03-2014-0058</v>
      </c>
      <c r="BG134" t="s">
        <v>74</v>
      </c>
      <c r="BH134" t="s">
        <v>74</v>
      </c>
      <c r="BI134">
        <v>21</v>
      </c>
      <c r="BJ134" t="s">
        <v>2515</v>
      </c>
      <c r="BK134" t="s">
        <v>94</v>
      </c>
      <c r="BL134" t="s">
        <v>227</v>
      </c>
      <c r="BM134" t="s">
        <v>2516</v>
      </c>
      <c r="BN134" t="s">
        <v>74</v>
      </c>
      <c r="BO134" t="s">
        <v>74</v>
      </c>
      <c r="BP134" t="s">
        <v>74</v>
      </c>
      <c r="BQ134" t="s">
        <v>74</v>
      </c>
      <c r="BR134" t="s">
        <v>97</v>
      </c>
      <c r="BS134" t="s">
        <v>2517</v>
      </c>
      <c r="BT134" t="str">
        <f>HYPERLINK("https%3A%2F%2Fwww.webofscience.com%2Fwos%2Fwoscc%2Ffull-record%2FWOS:000374180600002","View Full Record in Web of Science")</f>
        <v>View Full Record in Web of Science</v>
      </c>
    </row>
    <row r="135" spans="1:72" x14ac:dyDescent="0.25">
      <c r="A135" t="s">
        <v>72</v>
      </c>
      <c r="B135" t="s">
        <v>2518</v>
      </c>
      <c r="C135" t="s">
        <v>74</v>
      </c>
      <c r="D135" t="s">
        <v>74</v>
      </c>
      <c r="E135" t="s">
        <v>74</v>
      </c>
      <c r="F135" t="s">
        <v>2519</v>
      </c>
      <c r="G135" t="s">
        <v>74</v>
      </c>
      <c r="H135" t="s">
        <v>74</v>
      </c>
      <c r="I135" t="s">
        <v>2520</v>
      </c>
      <c r="J135" t="s">
        <v>485</v>
      </c>
      <c r="K135" t="s">
        <v>74</v>
      </c>
      <c r="L135" t="s">
        <v>74</v>
      </c>
      <c r="M135" t="s">
        <v>77</v>
      </c>
      <c r="N135" t="s">
        <v>78</v>
      </c>
      <c r="O135" t="s">
        <v>74</v>
      </c>
      <c r="P135" t="s">
        <v>74</v>
      </c>
      <c r="Q135" t="s">
        <v>74</v>
      </c>
      <c r="R135" t="s">
        <v>74</v>
      </c>
      <c r="S135" t="s">
        <v>74</v>
      </c>
      <c r="T135" t="s">
        <v>74</v>
      </c>
      <c r="U135" t="s">
        <v>2521</v>
      </c>
      <c r="V135" t="s">
        <v>2522</v>
      </c>
      <c r="W135" t="s">
        <v>2523</v>
      </c>
      <c r="X135" t="s">
        <v>2524</v>
      </c>
      <c r="Y135" t="s">
        <v>2525</v>
      </c>
      <c r="Z135" t="s">
        <v>2526</v>
      </c>
      <c r="AA135" t="s">
        <v>74</v>
      </c>
      <c r="AB135" t="s">
        <v>74</v>
      </c>
      <c r="AC135" t="s">
        <v>74</v>
      </c>
      <c r="AD135" t="s">
        <v>74</v>
      </c>
      <c r="AE135" t="s">
        <v>74</v>
      </c>
      <c r="AF135" t="s">
        <v>74</v>
      </c>
      <c r="AG135">
        <v>50</v>
      </c>
      <c r="AH135">
        <v>64</v>
      </c>
      <c r="AI135">
        <v>67</v>
      </c>
      <c r="AJ135">
        <v>2</v>
      </c>
      <c r="AK135">
        <v>45</v>
      </c>
      <c r="AL135" t="s">
        <v>218</v>
      </c>
      <c r="AM135" t="s">
        <v>219</v>
      </c>
      <c r="AN135" t="s">
        <v>220</v>
      </c>
      <c r="AO135" t="s">
        <v>493</v>
      </c>
      <c r="AP135" t="s">
        <v>557</v>
      </c>
      <c r="AQ135" t="s">
        <v>74</v>
      </c>
      <c r="AR135" t="s">
        <v>494</v>
      </c>
      <c r="AS135" t="s">
        <v>495</v>
      </c>
      <c r="AT135" t="s">
        <v>91</v>
      </c>
      <c r="AU135">
        <v>2007</v>
      </c>
      <c r="AV135">
        <v>80</v>
      </c>
      <c r="AW135" t="s">
        <v>74</v>
      </c>
      <c r="AX135">
        <v>2</v>
      </c>
      <c r="AY135" t="s">
        <v>74</v>
      </c>
      <c r="AZ135" t="s">
        <v>74</v>
      </c>
      <c r="BA135" t="s">
        <v>74</v>
      </c>
      <c r="BB135">
        <v>213</v>
      </c>
      <c r="BC135">
        <v>234</v>
      </c>
      <c r="BD135" t="s">
        <v>74</v>
      </c>
      <c r="BE135" t="s">
        <v>2527</v>
      </c>
      <c r="BF135" t="str">
        <f>HYPERLINK("http://dx.doi.org/10.1348/096317906X110250","http://dx.doi.org/10.1348/096317906X110250")</f>
        <v>http://dx.doi.org/10.1348/096317906X110250</v>
      </c>
      <c r="BG135" t="s">
        <v>74</v>
      </c>
      <c r="BH135" t="s">
        <v>74</v>
      </c>
      <c r="BI135">
        <v>22</v>
      </c>
      <c r="BJ135" t="s">
        <v>202</v>
      </c>
      <c r="BK135" t="s">
        <v>94</v>
      </c>
      <c r="BL135" t="s">
        <v>203</v>
      </c>
      <c r="BM135" t="s">
        <v>2528</v>
      </c>
      <c r="BN135" t="s">
        <v>74</v>
      </c>
      <c r="BO135" t="s">
        <v>74</v>
      </c>
      <c r="BP135" t="s">
        <v>74</v>
      </c>
      <c r="BQ135" t="s">
        <v>74</v>
      </c>
      <c r="BR135" t="s">
        <v>97</v>
      </c>
      <c r="BS135" t="s">
        <v>2529</v>
      </c>
      <c r="BT135" t="str">
        <f>HYPERLINK("https%3A%2F%2Fwww.webofscience.com%2Fwos%2Fwoscc%2Ffull-record%2FWOS:000247430700003","View Full Record in Web of Science")</f>
        <v>View Full Record in Web of Science</v>
      </c>
    </row>
    <row r="136" spans="1:72" x14ac:dyDescent="0.25">
      <c r="A136" t="s">
        <v>72</v>
      </c>
      <c r="B136" t="s">
        <v>2530</v>
      </c>
      <c r="C136" t="s">
        <v>74</v>
      </c>
      <c r="D136" t="s">
        <v>74</v>
      </c>
      <c r="E136" t="s">
        <v>74</v>
      </c>
      <c r="F136" t="s">
        <v>2530</v>
      </c>
      <c r="G136" t="s">
        <v>74</v>
      </c>
      <c r="H136" t="s">
        <v>74</v>
      </c>
      <c r="I136" t="s">
        <v>2531</v>
      </c>
      <c r="J136" t="s">
        <v>2532</v>
      </c>
      <c r="K136" t="s">
        <v>74</v>
      </c>
      <c r="L136" t="s">
        <v>74</v>
      </c>
      <c r="M136" t="s">
        <v>77</v>
      </c>
      <c r="N136" t="s">
        <v>78</v>
      </c>
      <c r="O136" t="s">
        <v>74</v>
      </c>
      <c r="P136" t="s">
        <v>74</v>
      </c>
      <c r="Q136" t="s">
        <v>74</v>
      </c>
      <c r="R136" t="s">
        <v>74</v>
      </c>
      <c r="S136" t="s">
        <v>74</v>
      </c>
      <c r="T136" t="s">
        <v>2533</v>
      </c>
      <c r="U136" t="s">
        <v>2534</v>
      </c>
      <c r="V136" t="s">
        <v>2535</v>
      </c>
      <c r="W136" t="s">
        <v>2536</v>
      </c>
      <c r="X136" t="s">
        <v>2537</v>
      </c>
      <c r="Y136" t="s">
        <v>2538</v>
      </c>
      <c r="Z136" t="s">
        <v>74</v>
      </c>
      <c r="AA136" t="s">
        <v>74</v>
      </c>
      <c r="AB136" t="s">
        <v>74</v>
      </c>
      <c r="AC136" t="s">
        <v>74</v>
      </c>
      <c r="AD136" t="s">
        <v>74</v>
      </c>
      <c r="AE136" t="s">
        <v>74</v>
      </c>
      <c r="AF136" t="s">
        <v>74</v>
      </c>
      <c r="AG136">
        <v>37</v>
      </c>
      <c r="AH136">
        <v>63</v>
      </c>
      <c r="AI136">
        <v>64</v>
      </c>
      <c r="AJ136">
        <v>1</v>
      </c>
      <c r="AK136">
        <v>13</v>
      </c>
      <c r="AL136" t="s">
        <v>1099</v>
      </c>
      <c r="AM136" t="s">
        <v>305</v>
      </c>
      <c r="AN136" t="s">
        <v>2539</v>
      </c>
      <c r="AO136" t="s">
        <v>2540</v>
      </c>
      <c r="AP136" t="s">
        <v>74</v>
      </c>
      <c r="AQ136" t="s">
        <v>74</v>
      </c>
      <c r="AR136" t="s">
        <v>2541</v>
      </c>
      <c r="AS136" t="s">
        <v>2542</v>
      </c>
      <c r="AT136" t="s">
        <v>392</v>
      </c>
      <c r="AU136">
        <v>1999</v>
      </c>
      <c r="AV136">
        <v>33</v>
      </c>
      <c r="AW136">
        <v>6</v>
      </c>
      <c r="AX136" t="s">
        <v>74</v>
      </c>
      <c r="AY136" t="s">
        <v>74</v>
      </c>
      <c r="AZ136" t="s">
        <v>74</v>
      </c>
      <c r="BA136" t="s">
        <v>74</v>
      </c>
      <c r="BB136">
        <v>541</v>
      </c>
      <c r="BC136">
        <v>549</v>
      </c>
      <c r="BD136" t="s">
        <v>74</v>
      </c>
      <c r="BE136" t="s">
        <v>2543</v>
      </c>
      <c r="BF136" t="str">
        <f>HYPERLINK("http://dx.doi.org/10.1080/00343409950078233","http://dx.doi.org/10.1080/00343409950078233")</f>
        <v>http://dx.doi.org/10.1080/00343409950078233</v>
      </c>
      <c r="BG136" t="s">
        <v>74</v>
      </c>
      <c r="BH136" t="s">
        <v>74</v>
      </c>
      <c r="BI136">
        <v>9</v>
      </c>
      <c r="BJ136" t="s">
        <v>2544</v>
      </c>
      <c r="BK136" t="s">
        <v>94</v>
      </c>
      <c r="BL136" t="s">
        <v>2545</v>
      </c>
      <c r="BM136" t="s">
        <v>2546</v>
      </c>
      <c r="BN136" t="s">
        <v>74</v>
      </c>
      <c r="BO136" t="s">
        <v>74</v>
      </c>
      <c r="BP136" t="s">
        <v>74</v>
      </c>
      <c r="BQ136" t="s">
        <v>74</v>
      </c>
      <c r="BR136" t="s">
        <v>97</v>
      </c>
      <c r="BS136" t="s">
        <v>2547</v>
      </c>
      <c r="BT136" t="str">
        <f>HYPERLINK("https%3A%2F%2Fwww.webofscience.com%2Fwos%2Fwoscc%2Ffull-record%2FWOS:000082255300004","View Full Record in Web of Science")</f>
        <v>View Full Record in Web of Science</v>
      </c>
    </row>
    <row r="137" spans="1:72" x14ac:dyDescent="0.25">
      <c r="A137" t="s">
        <v>72</v>
      </c>
      <c r="B137" t="s">
        <v>2548</v>
      </c>
      <c r="C137" t="s">
        <v>74</v>
      </c>
      <c r="D137" t="s">
        <v>74</v>
      </c>
      <c r="E137" t="s">
        <v>74</v>
      </c>
      <c r="F137" t="s">
        <v>2548</v>
      </c>
      <c r="G137" t="s">
        <v>74</v>
      </c>
      <c r="H137" t="s">
        <v>74</v>
      </c>
      <c r="I137" t="s">
        <v>2549</v>
      </c>
      <c r="J137" t="s">
        <v>2550</v>
      </c>
      <c r="K137" t="s">
        <v>74</v>
      </c>
      <c r="L137" t="s">
        <v>74</v>
      </c>
      <c r="M137" t="s">
        <v>77</v>
      </c>
      <c r="N137" t="s">
        <v>78</v>
      </c>
      <c r="O137" t="s">
        <v>74</v>
      </c>
      <c r="P137" t="s">
        <v>74</v>
      </c>
      <c r="Q137" t="s">
        <v>74</v>
      </c>
      <c r="R137" t="s">
        <v>74</v>
      </c>
      <c r="S137" t="s">
        <v>74</v>
      </c>
      <c r="T137" t="s">
        <v>2551</v>
      </c>
      <c r="U137" t="s">
        <v>2552</v>
      </c>
      <c r="V137" t="s">
        <v>2553</v>
      </c>
      <c r="W137" t="s">
        <v>2554</v>
      </c>
      <c r="X137" t="s">
        <v>2555</v>
      </c>
      <c r="Y137" t="s">
        <v>2556</v>
      </c>
      <c r="Z137" t="s">
        <v>74</v>
      </c>
      <c r="AA137" t="s">
        <v>74</v>
      </c>
      <c r="AB137" t="s">
        <v>74</v>
      </c>
      <c r="AC137" t="s">
        <v>74</v>
      </c>
      <c r="AD137" t="s">
        <v>74</v>
      </c>
      <c r="AE137" t="s">
        <v>74</v>
      </c>
      <c r="AF137" t="s">
        <v>74</v>
      </c>
      <c r="AG137">
        <v>33</v>
      </c>
      <c r="AH137">
        <v>63</v>
      </c>
      <c r="AI137">
        <v>65</v>
      </c>
      <c r="AJ137">
        <v>1</v>
      </c>
      <c r="AK137">
        <v>48</v>
      </c>
      <c r="AL137" t="s">
        <v>2557</v>
      </c>
      <c r="AM137" t="s">
        <v>330</v>
      </c>
      <c r="AN137" t="s">
        <v>2558</v>
      </c>
      <c r="AO137" t="s">
        <v>2559</v>
      </c>
      <c r="AP137" t="s">
        <v>74</v>
      </c>
      <c r="AQ137" t="s">
        <v>74</v>
      </c>
      <c r="AR137" t="s">
        <v>2560</v>
      </c>
      <c r="AS137" t="s">
        <v>2561</v>
      </c>
      <c r="AT137" t="s">
        <v>405</v>
      </c>
      <c r="AU137">
        <v>1998</v>
      </c>
      <c r="AV137">
        <v>45</v>
      </c>
      <c r="AW137">
        <v>1</v>
      </c>
      <c r="AX137" t="s">
        <v>74</v>
      </c>
      <c r="AY137" t="s">
        <v>74</v>
      </c>
      <c r="AZ137" t="s">
        <v>74</v>
      </c>
      <c r="BA137" t="s">
        <v>74</v>
      </c>
      <c r="BB137">
        <v>3</v>
      </c>
      <c r="BC137">
        <v>10</v>
      </c>
      <c r="BD137" t="s">
        <v>74</v>
      </c>
      <c r="BE137" t="s">
        <v>2562</v>
      </c>
      <c r="BF137" t="str">
        <f>HYPERLINK("http://dx.doi.org/10.1109/17.658656","http://dx.doi.org/10.1109/17.658656")</f>
        <v>http://dx.doi.org/10.1109/17.658656</v>
      </c>
      <c r="BG137" t="s">
        <v>74</v>
      </c>
      <c r="BH137" t="s">
        <v>74</v>
      </c>
      <c r="BI137">
        <v>8</v>
      </c>
      <c r="BJ137" t="s">
        <v>794</v>
      </c>
      <c r="BK137" t="s">
        <v>147</v>
      </c>
      <c r="BL137" t="s">
        <v>795</v>
      </c>
      <c r="BM137" t="s">
        <v>2563</v>
      </c>
      <c r="BN137" t="s">
        <v>74</v>
      </c>
      <c r="BO137" t="s">
        <v>74</v>
      </c>
      <c r="BP137" t="s">
        <v>74</v>
      </c>
      <c r="BQ137" t="s">
        <v>74</v>
      </c>
      <c r="BR137" t="s">
        <v>97</v>
      </c>
      <c r="BS137" t="s">
        <v>2564</v>
      </c>
      <c r="BT137" t="str">
        <f>HYPERLINK("https%3A%2F%2Fwww.webofscience.com%2Fwos%2Fwoscc%2Ffull-record%2FWOS:000071615100001","View Full Record in Web of Science")</f>
        <v>View Full Record in Web of Science</v>
      </c>
    </row>
    <row r="138" spans="1:72" x14ac:dyDescent="0.25">
      <c r="A138" t="s">
        <v>72</v>
      </c>
      <c r="B138" t="s">
        <v>2565</v>
      </c>
      <c r="C138" t="s">
        <v>74</v>
      </c>
      <c r="D138" t="s">
        <v>74</v>
      </c>
      <c r="E138" t="s">
        <v>74</v>
      </c>
      <c r="F138" t="s">
        <v>2566</v>
      </c>
      <c r="G138" t="s">
        <v>74</v>
      </c>
      <c r="H138" t="s">
        <v>74</v>
      </c>
      <c r="I138" t="s">
        <v>2567</v>
      </c>
      <c r="J138" t="s">
        <v>2182</v>
      </c>
      <c r="K138" t="s">
        <v>74</v>
      </c>
      <c r="L138" t="s">
        <v>74</v>
      </c>
      <c r="M138" t="s">
        <v>77</v>
      </c>
      <c r="N138" t="s">
        <v>78</v>
      </c>
      <c r="O138" t="s">
        <v>74</v>
      </c>
      <c r="P138" t="s">
        <v>74</v>
      </c>
      <c r="Q138" t="s">
        <v>74</v>
      </c>
      <c r="R138" t="s">
        <v>74</v>
      </c>
      <c r="S138" t="s">
        <v>74</v>
      </c>
      <c r="T138" t="s">
        <v>2568</v>
      </c>
      <c r="U138" t="s">
        <v>2569</v>
      </c>
      <c r="V138" t="s">
        <v>2570</v>
      </c>
      <c r="W138" t="s">
        <v>2571</v>
      </c>
      <c r="X138" t="s">
        <v>2572</v>
      </c>
      <c r="Y138" t="s">
        <v>2573</v>
      </c>
      <c r="Z138" t="s">
        <v>2574</v>
      </c>
      <c r="AA138" t="s">
        <v>74</v>
      </c>
      <c r="AB138" t="s">
        <v>2575</v>
      </c>
      <c r="AC138" t="s">
        <v>74</v>
      </c>
      <c r="AD138" t="s">
        <v>74</v>
      </c>
      <c r="AE138" t="s">
        <v>74</v>
      </c>
      <c r="AF138" t="s">
        <v>74</v>
      </c>
      <c r="AG138">
        <v>52</v>
      </c>
      <c r="AH138">
        <v>62</v>
      </c>
      <c r="AI138">
        <v>63</v>
      </c>
      <c r="AJ138">
        <v>15</v>
      </c>
      <c r="AK138">
        <v>90</v>
      </c>
      <c r="AL138" t="s">
        <v>665</v>
      </c>
      <c r="AM138" t="s">
        <v>666</v>
      </c>
      <c r="AN138" t="s">
        <v>667</v>
      </c>
      <c r="AO138" t="s">
        <v>2192</v>
      </c>
      <c r="AP138" t="s">
        <v>2193</v>
      </c>
      <c r="AQ138" t="s">
        <v>74</v>
      </c>
      <c r="AR138" t="s">
        <v>2194</v>
      </c>
      <c r="AS138" t="s">
        <v>2195</v>
      </c>
      <c r="AT138" t="s">
        <v>74</v>
      </c>
      <c r="AU138">
        <v>2018</v>
      </c>
      <c r="AV138">
        <v>33</v>
      </c>
      <c r="AW138">
        <v>1</v>
      </c>
      <c r="AX138" t="s">
        <v>74</v>
      </c>
      <c r="AY138" t="s">
        <v>74</v>
      </c>
      <c r="AZ138" t="s">
        <v>74</v>
      </c>
      <c r="BA138" t="s">
        <v>74</v>
      </c>
      <c r="BB138">
        <v>29</v>
      </c>
      <c r="BC138">
        <v>42</v>
      </c>
      <c r="BD138" t="s">
        <v>74</v>
      </c>
      <c r="BE138" t="s">
        <v>2576</v>
      </c>
      <c r="BF138" t="str">
        <f>HYPERLINK("http://dx.doi.org/10.1108/JMP-01-2017-0016","http://dx.doi.org/10.1108/JMP-01-2017-0016")</f>
        <v>http://dx.doi.org/10.1108/JMP-01-2017-0016</v>
      </c>
      <c r="BG138" t="s">
        <v>74</v>
      </c>
      <c r="BH138" t="s">
        <v>74</v>
      </c>
      <c r="BI138">
        <v>14</v>
      </c>
      <c r="BJ138" t="s">
        <v>202</v>
      </c>
      <c r="BK138" t="s">
        <v>94</v>
      </c>
      <c r="BL138" t="s">
        <v>203</v>
      </c>
      <c r="BM138" t="s">
        <v>2577</v>
      </c>
      <c r="BN138" t="s">
        <v>74</v>
      </c>
      <c r="BO138" t="s">
        <v>111</v>
      </c>
      <c r="BP138" t="s">
        <v>74</v>
      </c>
      <c r="BQ138" t="s">
        <v>74</v>
      </c>
      <c r="BR138" t="s">
        <v>97</v>
      </c>
      <c r="BS138" t="s">
        <v>2578</v>
      </c>
      <c r="BT138" t="str">
        <f>HYPERLINK("https%3A%2F%2Fwww.webofscience.com%2Fwos%2Fwoscc%2Ffull-record%2FWOS:000426819300003","View Full Record in Web of Science")</f>
        <v>View Full Record in Web of Science</v>
      </c>
    </row>
    <row r="139" spans="1:72" x14ac:dyDescent="0.25">
      <c r="A139" t="s">
        <v>72</v>
      </c>
      <c r="B139" t="s">
        <v>2579</v>
      </c>
      <c r="C139" t="s">
        <v>74</v>
      </c>
      <c r="D139" t="s">
        <v>74</v>
      </c>
      <c r="E139" t="s">
        <v>74</v>
      </c>
      <c r="F139" t="s">
        <v>2580</v>
      </c>
      <c r="G139" t="s">
        <v>74</v>
      </c>
      <c r="H139" t="s">
        <v>74</v>
      </c>
      <c r="I139" t="s">
        <v>2581</v>
      </c>
      <c r="J139" t="s">
        <v>2582</v>
      </c>
      <c r="K139" t="s">
        <v>74</v>
      </c>
      <c r="L139" t="s">
        <v>74</v>
      </c>
      <c r="M139" t="s">
        <v>77</v>
      </c>
      <c r="N139" t="s">
        <v>78</v>
      </c>
      <c r="O139" t="s">
        <v>74</v>
      </c>
      <c r="P139" t="s">
        <v>74</v>
      </c>
      <c r="Q139" t="s">
        <v>74</v>
      </c>
      <c r="R139" t="s">
        <v>74</v>
      </c>
      <c r="S139" t="s">
        <v>74</v>
      </c>
      <c r="T139" t="s">
        <v>2583</v>
      </c>
      <c r="U139" t="s">
        <v>2584</v>
      </c>
      <c r="V139" t="s">
        <v>2585</v>
      </c>
      <c r="W139" t="s">
        <v>2586</v>
      </c>
      <c r="X139" t="s">
        <v>2587</v>
      </c>
      <c r="Y139" t="s">
        <v>2588</v>
      </c>
      <c r="Z139" t="s">
        <v>2589</v>
      </c>
      <c r="AA139" t="s">
        <v>74</v>
      </c>
      <c r="AB139" t="s">
        <v>2590</v>
      </c>
      <c r="AC139" t="s">
        <v>74</v>
      </c>
      <c r="AD139" t="s">
        <v>74</v>
      </c>
      <c r="AE139" t="s">
        <v>74</v>
      </c>
      <c r="AF139" t="s">
        <v>74</v>
      </c>
      <c r="AG139">
        <v>80</v>
      </c>
      <c r="AH139">
        <v>62</v>
      </c>
      <c r="AI139">
        <v>66</v>
      </c>
      <c r="AJ139">
        <v>0</v>
      </c>
      <c r="AK139">
        <v>21</v>
      </c>
      <c r="AL139" t="s">
        <v>2591</v>
      </c>
      <c r="AM139" t="s">
        <v>2592</v>
      </c>
      <c r="AN139" t="s">
        <v>2593</v>
      </c>
      <c r="AO139" t="s">
        <v>2594</v>
      </c>
      <c r="AP139" t="s">
        <v>2595</v>
      </c>
      <c r="AQ139" t="s">
        <v>74</v>
      </c>
      <c r="AR139" t="s">
        <v>2596</v>
      </c>
      <c r="AS139" t="s">
        <v>2597</v>
      </c>
      <c r="AT139" t="s">
        <v>392</v>
      </c>
      <c r="AU139">
        <v>2016</v>
      </c>
      <c r="AV139">
        <v>33</v>
      </c>
      <c r="AW139">
        <v>2</v>
      </c>
      <c r="AX139" t="s">
        <v>74</v>
      </c>
      <c r="AY139" t="s">
        <v>74</v>
      </c>
      <c r="AZ139" t="s">
        <v>74</v>
      </c>
      <c r="BA139" t="s">
        <v>74</v>
      </c>
      <c r="BB139">
        <v>153</v>
      </c>
      <c r="BC139">
        <v>180</v>
      </c>
      <c r="BD139" t="s">
        <v>74</v>
      </c>
      <c r="BE139" t="s">
        <v>2598</v>
      </c>
      <c r="BF139" t="str">
        <f>HYPERLINK("http://dx.doi.org/10.1007/s40888-016-0035-1","http://dx.doi.org/10.1007/s40888-016-0035-1")</f>
        <v>http://dx.doi.org/10.1007/s40888-016-0035-1</v>
      </c>
      <c r="BG139" t="s">
        <v>74</v>
      </c>
      <c r="BH139" t="s">
        <v>74</v>
      </c>
      <c r="BI139">
        <v>28</v>
      </c>
      <c r="BJ139" t="s">
        <v>2599</v>
      </c>
      <c r="BK139" t="s">
        <v>94</v>
      </c>
      <c r="BL139" t="s">
        <v>95</v>
      </c>
      <c r="BM139" t="s">
        <v>2600</v>
      </c>
      <c r="BN139" t="s">
        <v>74</v>
      </c>
      <c r="BO139" t="s">
        <v>74</v>
      </c>
      <c r="BP139" t="s">
        <v>74</v>
      </c>
      <c r="BQ139" t="s">
        <v>74</v>
      </c>
      <c r="BR139" t="s">
        <v>97</v>
      </c>
      <c r="BS139" t="s">
        <v>2601</v>
      </c>
      <c r="BT139" t="str">
        <f>HYPERLINK("https%3A%2F%2Fwww.webofscience.com%2Fwos%2Fwoscc%2Ffull-record%2FWOS:000381925400003","View Full Record in Web of Science")</f>
        <v>View Full Record in Web of Science</v>
      </c>
    </row>
    <row r="140" spans="1:72" x14ac:dyDescent="0.25">
      <c r="A140" t="s">
        <v>72</v>
      </c>
      <c r="B140" t="s">
        <v>2602</v>
      </c>
      <c r="C140" t="s">
        <v>74</v>
      </c>
      <c r="D140" t="s">
        <v>74</v>
      </c>
      <c r="E140" t="s">
        <v>74</v>
      </c>
      <c r="F140" t="s">
        <v>2603</v>
      </c>
      <c r="G140" t="s">
        <v>74</v>
      </c>
      <c r="H140" t="s">
        <v>74</v>
      </c>
      <c r="I140" t="s">
        <v>2604</v>
      </c>
      <c r="J140" t="s">
        <v>2605</v>
      </c>
      <c r="K140" t="s">
        <v>74</v>
      </c>
      <c r="L140" t="s">
        <v>74</v>
      </c>
      <c r="M140" t="s">
        <v>77</v>
      </c>
      <c r="N140" t="s">
        <v>78</v>
      </c>
      <c r="O140" t="s">
        <v>74</v>
      </c>
      <c r="P140" t="s">
        <v>74</v>
      </c>
      <c r="Q140" t="s">
        <v>74</v>
      </c>
      <c r="R140" t="s">
        <v>74</v>
      </c>
      <c r="S140" t="s">
        <v>74</v>
      </c>
      <c r="T140" t="s">
        <v>2606</v>
      </c>
      <c r="U140" t="s">
        <v>2607</v>
      </c>
      <c r="V140" t="s">
        <v>2608</v>
      </c>
      <c r="W140" t="s">
        <v>2609</v>
      </c>
      <c r="X140" t="s">
        <v>2610</v>
      </c>
      <c r="Y140" t="s">
        <v>2611</v>
      </c>
      <c r="Z140" t="s">
        <v>2612</v>
      </c>
      <c r="AA140" t="s">
        <v>2613</v>
      </c>
      <c r="AB140" t="s">
        <v>2614</v>
      </c>
      <c r="AC140" t="s">
        <v>2615</v>
      </c>
      <c r="AD140" t="s">
        <v>2616</v>
      </c>
      <c r="AE140" t="s">
        <v>2617</v>
      </c>
      <c r="AF140" t="s">
        <v>74</v>
      </c>
      <c r="AG140">
        <v>72</v>
      </c>
      <c r="AH140">
        <v>62</v>
      </c>
      <c r="AI140">
        <v>62</v>
      </c>
      <c r="AJ140">
        <v>2</v>
      </c>
      <c r="AK140">
        <v>101</v>
      </c>
      <c r="AL140" t="s">
        <v>368</v>
      </c>
      <c r="AM140" t="s">
        <v>369</v>
      </c>
      <c r="AN140" t="s">
        <v>370</v>
      </c>
      <c r="AO140" t="s">
        <v>2618</v>
      </c>
      <c r="AP140" t="s">
        <v>2619</v>
      </c>
      <c r="AQ140" t="s">
        <v>74</v>
      </c>
      <c r="AR140" t="s">
        <v>2620</v>
      </c>
      <c r="AS140" t="s">
        <v>2621</v>
      </c>
      <c r="AT140" t="s">
        <v>1562</v>
      </c>
      <c r="AU140">
        <v>2014</v>
      </c>
      <c r="AV140">
        <v>25</v>
      </c>
      <c r="AW140">
        <v>1</v>
      </c>
      <c r="AX140" t="s">
        <v>74</v>
      </c>
      <c r="AY140" t="s">
        <v>74</v>
      </c>
      <c r="AZ140" t="s">
        <v>74</v>
      </c>
      <c r="BA140" t="s">
        <v>74</v>
      </c>
      <c r="BB140">
        <v>124</v>
      </c>
      <c r="BC140">
        <v>135</v>
      </c>
      <c r="BD140" t="s">
        <v>74</v>
      </c>
      <c r="BE140" t="s">
        <v>2622</v>
      </c>
      <c r="BF140" t="str">
        <f>HYPERLINK("http://dx.doi.org/10.1093/beheco/art094","http://dx.doi.org/10.1093/beheco/art094")</f>
        <v>http://dx.doi.org/10.1093/beheco/art094</v>
      </c>
      <c r="BG140" t="s">
        <v>74</v>
      </c>
      <c r="BH140" t="s">
        <v>74</v>
      </c>
      <c r="BI140">
        <v>12</v>
      </c>
      <c r="BJ140" t="s">
        <v>2623</v>
      </c>
      <c r="BK140" t="s">
        <v>283</v>
      </c>
      <c r="BL140" t="s">
        <v>2624</v>
      </c>
      <c r="BM140" t="s">
        <v>2625</v>
      </c>
      <c r="BN140" t="s">
        <v>74</v>
      </c>
      <c r="BO140" t="s">
        <v>229</v>
      </c>
      <c r="BP140" t="s">
        <v>74</v>
      </c>
      <c r="BQ140" t="s">
        <v>74</v>
      </c>
      <c r="BR140" t="s">
        <v>97</v>
      </c>
      <c r="BS140" t="s">
        <v>2626</v>
      </c>
      <c r="BT140" t="str">
        <f>HYPERLINK("https%3A%2F%2Fwww.webofscience.com%2Fwos%2Fwoscc%2Ffull-record%2FWOS:000328380000018","View Full Record in Web of Science")</f>
        <v>View Full Record in Web of Science</v>
      </c>
    </row>
    <row r="141" spans="1:72" x14ac:dyDescent="0.25">
      <c r="A141" t="s">
        <v>72</v>
      </c>
      <c r="B141" t="s">
        <v>2627</v>
      </c>
      <c r="C141" t="s">
        <v>74</v>
      </c>
      <c r="D141" t="s">
        <v>74</v>
      </c>
      <c r="E141" t="s">
        <v>74</v>
      </c>
      <c r="F141" t="s">
        <v>2628</v>
      </c>
      <c r="G141" t="s">
        <v>74</v>
      </c>
      <c r="H141" t="s">
        <v>74</v>
      </c>
      <c r="I141" t="s">
        <v>2629</v>
      </c>
      <c r="J141" t="s">
        <v>447</v>
      </c>
      <c r="K141" t="s">
        <v>74</v>
      </c>
      <c r="L141" t="s">
        <v>74</v>
      </c>
      <c r="M141" t="s">
        <v>77</v>
      </c>
      <c r="N141" t="s">
        <v>78</v>
      </c>
      <c r="O141" t="s">
        <v>74</v>
      </c>
      <c r="P141" t="s">
        <v>74</v>
      </c>
      <c r="Q141" t="s">
        <v>74</v>
      </c>
      <c r="R141" t="s">
        <v>74</v>
      </c>
      <c r="S141" t="s">
        <v>74</v>
      </c>
      <c r="T141" t="s">
        <v>74</v>
      </c>
      <c r="U141" t="s">
        <v>2630</v>
      </c>
      <c r="V141" t="s">
        <v>2631</v>
      </c>
      <c r="W141" t="s">
        <v>2632</v>
      </c>
      <c r="X141" t="s">
        <v>2633</v>
      </c>
      <c r="Y141" t="s">
        <v>2634</v>
      </c>
      <c r="Z141" t="s">
        <v>2635</v>
      </c>
      <c r="AA141" t="s">
        <v>2636</v>
      </c>
      <c r="AB141" t="s">
        <v>74</v>
      </c>
      <c r="AC141" t="s">
        <v>74</v>
      </c>
      <c r="AD141" t="s">
        <v>74</v>
      </c>
      <c r="AE141" t="s">
        <v>74</v>
      </c>
      <c r="AF141" t="s">
        <v>74</v>
      </c>
      <c r="AG141">
        <v>81</v>
      </c>
      <c r="AH141">
        <v>62</v>
      </c>
      <c r="AI141">
        <v>64</v>
      </c>
      <c r="AJ141">
        <v>2</v>
      </c>
      <c r="AK141">
        <v>110</v>
      </c>
      <c r="AL141" t="s">
        <v>218</v>
      </c>
      <c r="AM141" t="s">
        <v>219</v>
      </c>
      <c r="AN141" t="s">
        <v>220</v>
      </c>
      <c r="AO141" t="s">
        <v>453</v>
      </c>
      <c r="AP141" t="s">
        <v>454</v>
      </c>
      <c r="AQ141" t="s">
        <v>74</v>
      </c>
      <c r="AR141" t="s">
        <v>455</v>
      </c>
      <c r="AS141" t="s">
        <v>456</v>
      </c>
      <c r="AT141" t="s">
        <v>256</v>
      </c>
      <c r="AU141">
        <v>2013</v>
      </c>
      <c r="AV141">
        <v>43</v>
      </c>
      <c r="AW141">
        <v>10</v>
      </c>
      <c r="AX141" t="s">
        <v>74</v>
      </c>
      <c r="AY141" t="s">
        <v>74</v>
      </c>
      <c r="AZ141" t="s">
        <v>74</v>
      </c>
      <c r="BA141" t="s">
        <v>74</v>
      </c>
      <c r="BB141">
        <v>2120</v>
      </c>
      <c r="BC141">
        <v>2135</v>
      </c>
      <c r="BD141" t="s">
        <v>74</v>
      </c>
      <c r="BE141" t="s">
        <v>2637</v>
      </c>
      <c r="BF141" t="str">
        <f>HYPERLINK("http://dx.doi.org/10.1111/jasp.12165","http://dx.doi.org/10.1111/jasp.12165")</f>
        <v>http://dx.doi.org/10.1111/jasp.12165</v>
      </c>
      <c r="BG141" t="s">
        <v>74</v>
      </c>
      <c r="BH141" t="s">
        <v>74</v>
      </c>
      <c r="BI141">
        <v>16</v>
      </c>
      <c r="BJ141" t="s">
        <v>459</v>
      </c>
      <c r="BK141" t="s">
        <v>94</v>
      </c>
      <c r="BL141" t="s">
        <v>460</v>
      </c>
      <c r="BM141" t="s">
        <v>2638</v>
      </c>
      <c r="BN141" t="s">
        <v>74</v>
      </c>
      <c r="BO141" t="s">
        <v>74</v>
      </c>
      <c r="BP141" t="s">
        <v>74</v>
      </c>
      <c r="BQ141" t="s">
        <v>74</v>
      </c>
      <c r="BR141" t="s">
        <v>97</v>
      </c>
      <c r="BS141" t="s">
        <v>2639</v>
      </c>
      <c r="BT141" t="str">
        <f>HYPERLINK("https%3A%2F%2Fwww.webofscience.com%2Fwos%2Fwoscc%2Ffull-record%2FWOS:000325688900014","View Full Record in Web of Science")</f>
        <v>View Full Record in Web of Science</v>
      </c>
    </row>
    <row r="142" spans="1:72" x14ac:dyDescent="0.25">
      <c r="A142" t="s">
        <v>72</v>
      </c>
      <c r="B142" t="s">
        <v>2640</v>
      </c>
      <c r="C142" t="s">
        <v>74</v>
      </c>
      <c r="D142" t="s">
        <v>74</v>
      </c>
      <c r="E142" t="s">
        <v>74</v>
      </c>
      <c r="F142" t="s">
        <v>2641</v>
      </c>
      <c r="G142" t="s">
        <v>74</v>
      </c>
      <c r="H142" t="s">
        <v>74</v>
      </c>
      <c r="I142" t="s">
        <v>2642</v>
      </c>
      <c r="J142" t="s">
        <v>2643</v>
      </c>
      <c r="K142" t="s">
        <v>74</v>
      </c>
      <c r="L142" t="s">
        <v>74</v>
      </c>
      <c r="M142" t="s">
        <v>77</v>
      </c>
      <c r="N142" t="s">
        <v>78</v>
      </c>
      <c r="O142" t="s">
        <v>74</v>
      </c>
      <c r="P142" t="s">
        <v>74</v>
      </c>
      <c r="Q142" t="s">
        <v>74</v>
      </c>
      <c r="R142" t="s">
        <v>74</v>
      </c>
      <c r="S142" t="s">
        <v>74</v>
      </c>
      <c r="T142" t="s">
        <v>2644</v>
      </c>
      <c r="U142" t="s">
        <v>2645</v>
      </c>
      <c r="V142" t="s">
        <v>2646</v>
      </c>
      <c r="W142" t="s">
        <v>2647</v>
      </c>
      <c r="X142" t="s">
        <v>2648</v>
      </c>
      <c r="Y142" t="s">
        <v>2649</v>
      </c>
      <c r="Z142" t="s">
        <v>2650</v>
      </c>
      <c r="AA142" t="s">
        <v>74</v>
      </c>
      <c r="AB142" t="s">
        <v>2651</v>
      </c>
      <c r="AC142" t="s">
        <v>74</v>
      </c>
      <c r="AD142" t="s">
        <v>74</v>
      </c>
      <c r="AE142" t="s">
        <v>74</v>
      </c>
      <c r="AF142" t="s">
        <v>74</v>
      </c>
      <c r="AG142">
        <v>66</v>
      </c>
      <c r="AH142">
        <v>62</v>
      </c>
      <c r="AI142">
        <v>64</v>
      </c>
      <c r="AJ142">
        <v>5</v>
      </c>
      <c r="AK142">
        <v>95</v>
      </c>
      <c r="AL142" t="s">
        <v>2652</v>
      </c>
      <c r="AM142" t="s">
        <v>2653</v>
      </c>
      <c r="AN142" t="s">
        <v>2654</v>
      </c>
      <c r="AO142" t="s">
        <v>2655</v>
      </c>
      <c r="AP142" t="s">
        <v>2656</v>
      </c>
      <c r="AQ142" t="s">
        <v>74</v>
      </c>
      <c r="AR142" t="s">
        <v>2657</v>
      </c>
      <c r="AS142" t="s">
        <v>2658</v>
      </c>
      <c r="AT142" t="s">
        <v>74</v>
      </c>
      <c r="AU142">
        <v>2013</v>
      </c>
      <c r="AV142">
        <v>12</v>
      </c>
      <c r="AW142">
        <v>3</v>
      </c>
      <c r="AX142" t="s">
        <v>74</v>
      </c>
      <c r="AY142" t="s">
        <v>74</v>
      </c>
      <c r="AZ142" t="s">
        <v>74</v>
      </c>
      <c r="BA142" t="s">
        <v>74</v>
      </c>
      <c r="BB142">
        <v>132</v>
      </c>
      <c r="BC142">
        <v>142</v>
      </c>
      <c r="BD142" t="s">
        <v>74</v>
      </c>
      <c r="BE142" t="s">
        <v>2659</v>
      </c>
      <c r="BF142" t="str">
        <f>HYPERLINK("http://dx.doi.org/10.1027/1866-5888/a000093","http://dx.doi.org/10.1027/1866-5888/a000093")</f>
        <v>http://dx.doi.org/10.1027/1866-5888/a000093</v>
      </c>
      <c r="BG142" t="s">
        <v>74</v>
      </c>
      <c r="BH142" t="s">
        <v>74</v>
      </c>
      <c r="BI142">
        <v>11</v>
      </c>
      <c r="BJ142" t="s">
        <v>692</v>
      </c>
      <c r="BK142" t="s">
        <v>94</v>
      </c>
      <c r="BL142" t="s">
        <v>460</v>
      </c>
      <c r="BM142" t="s">
        <v>2660</v>
      </c>
      <c r="BN142" t="s">
        <v>74</v>
      </c>
      <c r="BO142" t="s">
        <v>74</v>
      </c>
      <c r="BP142" t="s">
        <v>74</v>
      </c>
      <c r="BQ142" t="s">
        <v>74</v>
      </c>
      <c r="BR142" t="s">
        <v>97</v>
      </c>
      <c r="BS142" t="s">
        <v>2661</v>
      </c>
      <c r="BT142" t="str">
        <f>HYPERLINK("https%3A%2F%2Fwww.webofscience.com%2Fwos%2Fwoscc%2Ffull-record%2FWOS:000323554500004","View Full Record in Web of Science")</f>
        <v>View Full Record in Web of Science</v>
      </c>
    </row>
    <row r="143" spans="1:72" x14ac:dyDescent="0.25">
      <c r="A143" t="s">
        <v>72</v>
      </c>
      <c r="B143" t="s">
        <v>2662</v>
      </c>
      <c r="C143" t="s">
        <v>74</v>
      </c>
      <c r="D143" t="s">
        <v>74</v>
      </c>
      <c r="E143" t="s">
        <v>74</v>
      </c>
      <c r="F143" t="s">
        <v>2663</v>
      </c>
      <c r="G143" t="s">
        <v>74</v>
      </c>
      <c r="H143" t="s">
        <v>74</v>
      </c>
      <c r="I143" t="s">
        <v>2664</v>
      </c>
      <c r="J143" t="s">
        <v>679</v>
      </c>
      <c r="K143" t="s">
        <v>74</v>
      </c>
      <c r="L143" t="s">
        <v>74</v>
      </c>
      <c r="M143" t="s">
        <v>77</v>
      </c>
      <c r="N143" t="s">
        <v>78</v>
      </c>
      <c r="O143" t="s">
        <v>74</v>
      </c>
      <c r="P143" t="s">
        <v>74</v>
      </c>
      <c r="Q143" t="s">
        <v>74</v>
      </c>
      <c r="R143" t="s">
        <v>74</v>
      </c>
      <c r="S143" t="s">
        <v>74</v>
      </c>
      <c r="T143" t="s">
        <v>74</v>
      </c>
      <c r="U143" t="s">
        <v>2665</v>
      </c>
      <c r="V143" t="s">
        <v>2666</v>
      </c>
      <c r="W143" t="s">
        <v>2667</v>
      </c>
      <c r="X143" t="s">
        <v>2668</v>
      </c>
      <c r="Y143" t="s">
        <v>2669</v>
      </c>
      <c r="Z143" t="s">
        <v>2670</v>
      </c>
      <c r="AA143" t="s">
        <v>74</v>
      </c>
      <c r="AB143" t="s">
        <v>74</v>
      </c>
      <c r="AC143" t="s">
        <v>74</v>
      </c>
      <c r="AD143" t="s">
        <v>74</v>
      </c>
      <c r="AE143" t="s">
        <v>74</v>
      </c>
      <c r="AF143" t="s">
        <v>74</v>
      </c>
      <c r="AG143">
        <v>87</v>
      </c>
      <c r="AH143">
        <v>62</v>
      </c>
      <c r="AI143">
        <v>64</v>
      </c>
      <c r="AJ143">
        <v>1</v>
      </c>
      <c r="AK143">
        <v>126</v>
      </c>
      <c r="AL143" t="s">
        <v>1099</v>
      </c>
      <c r="AM143" t="s">
        <v>305</v>
      </c>
      <c r="AN143" t="s">
        <v>1100</v>
      </c>
      <c r="AO143" t="s">
        <v>688</v>
      </c>
      <c r="AP143" t="s">
        <v>2671</v>
      </c>
      <c r="AQ143" t="s">
        <v>74</v>
      </c>
      <c r="AR143" t="s">
        <v>689</v>
      </c>
      <c r="AS143" t="s">
        <v>690</v>
      </c>
      <c r="AT143" t="s">
        <v>74</v>
      </c>
      <c r="AU143">
        <v>2012</v>
      </c>
      <c r="AV143">
        <v>25</v>
      </c>
      <c r="AW143">
        <v>5</v>
      </c>
      <c r="AX143" t="s">
        <v>74</v>
      </c>
      <c r="AY143" t="s">
        <v>74</v>
      </c>
      <c r="AZ143" t="s">
        <v>74</v>
      </c>
      <c r="BA143" t="s">
        <v>74</v>
      </c>
      <c r="BB143">
        <v>432</v>
      </c>
      <c r="BC143">
        <v>451</v>
      </c>
      <c r="BD143" t="s">
        <v>74</v>
      </c>
      <c r="BE143" t="s">
        <v>2672</v>
      </c>
      <c r="BF143" t="str">
        <f>HYPERLINK("http://dx.doi.org/10.1080/08959285.2012.721833","http://dx.doi.org/10.1080/08959285.2012.721833")</f>
        <v>http://dx.doi.org/10.1080/08959285.2012.721833</v>
      </c>
      <c r="BG143" t="s">
        <v>74</v>
      </c>
      <c r="BH143" t="s">
        <v>74</v>
      </c>
      <c r="BI143">
        <v>20</v>
      </c>
      <c r="BJ143" t="s">
        <v>692</v>
      </c>
      <c r="BK143" t="s">
        <v>94</v>
      </c>
      <c r="BL143" t="s">
        <v>460</v>
      </c>
      <c r="BM143" t="s">
        <v>2673</v>
      </c>
      <c r="BN143" t="s">
        <v>74</v>
      </c>
      <c r="BO143" t="s">
        <v>74</v>
      </c>
      <c r="BP143" t="s">
        <v>74</v>
      </c>
      <c r="BQ143" t="s">
        <v>74</v>
      </c>
      <c r="BR143" t="s">
        <v>97</v>
      </c>
      <c r="BS143" t="s">
        <v>2674</v>
      </c>
      <c r="BT143" t="str">
        <f>HYPERLINK("https%3A%2F%2Fwww.webofscience.com%2Fwos%2Fwoscc%2Ffull-record%2FWOS:000311119200004","View Full Record in Web of Science")</f>
        <v>View Full Record in Web of Science</v>
      </c>
    </row>
    <row r="144" spans="1:72" x14ac:dyDescent="0.25">
      <c r="A144" t="s">
        <v>72</v>
      </c>
      <c r="B144" t="s">
        <v>2675</v>
      </c>
      <c r="C144" t="s">
        <v>74</v>
      </c>
      <c r="D144" t="s">
        <v>74</v>
      </c>
      <c r="E144" t="s">
        <v>74</v>
      </c>
      <c r="F144" t="s">
        <v>2676</v>
      </c>
      <c r="G144" t="s">
        <v>74</v>
      </c>
      <c r="H144" t="s">
        <v>74</v>
      </c>
      <c r="I144" t="s">
        <v>2677</v>
      </c>
      <c r="J144" t="s">
        <v>2678</v>
      </c>
      <c r="K144" t="s">
        <v>74</v>
      </c>
      <c r="L144" t="s">
        <v>74</v>
      </c>
      <c r="M144" t="s">
        <v>77</v>
      </c>
      <c r="N144" t="s">
        <v>78</v>
      </c>
      <c r="O144" t="s">
        <v>74</v>
      </c>
      <c r="P144" t="s">
        <v>74</v>
      </c>
      <c r="Q144" t="s">
        <v>74</v>
      </c>
      <c r="R144" t="s">
        <v>74</v>
      </c>
      <c r="S144" t="s">
        <v>74</v>
      </c>
      <c r="T144" t="s">
        <v>74</v>
      </c>
      <c r="U144" t="s">
        <v>2679</v>
      </c>
      <c r="V144" t="s">
        <v>2680</v>
      </c>
      <c r="W144" t="s">
        <v>2681</v>
      </c>
      <c r="X144" t="s">
        <v>2682</v>
      </c>
      <c r="Y144" t="s">
        <v>2683</v>
      </c>
      <c r="Z144" t="s">
        <v>2684</v>
      </c>
      <c r="AA144" t="s">
        <v>74</v>
      </c>
      <c r="AB144" t="s">
        <v>74</v>
      </c>
      <c r="AC144" t="s">
        <v>2685</v>
      </c>
      <c r="AD144" t="s">
        <v>2686</v>
      </c>
      <c r="AE144" t="s">
        <v>2687</v>
      </c>
      <c r="AF144" t="s">
        <v>74</v>
      </c>
      <c r="AG144">
        <v>77</v>
      </c>
      <c r="AH144">
        <v>61</v>
      </c>
      <c r="AI144">
        <v>62</v>
      </c>
      <c r="AJ144">
        <v>18</v>
      </c>
      <c r="AK144">
        <v>60</v>
      </c>
      <c r="AL144" t="s">
        <v>1045</v>
      </c>
      <c r="AM144" t="s">
        <v>1046</v>
      </c>
      <c r="AN144" t="s">
        <v>1047</v>
      </c>
      <c r="AO144" t="s">
        <v>2688</v>
      </c>
      <c r="AP144" t="s">
        <v>74</v>
      </c>
      <c r="AQ144" t="s">
        <v>74</v>
      </c>
      <c r="AR144" t="s">
        <v>2678</v>
      </c>
      <c r="AS144" t="s">
        <v>2689</v>
      </c>
      <c r="AT144" t="s">
        <v>2690</v>
      </c>
      <c r="AU144">
        <v>2019</v>
      </c>
      <c r="AV144">
        <v>14</v>
      </c>
      <c r="AW144">
        <v>2</v>
      </c>
      <c r="AX144" t="s">
        <v>74</v>
      </c>
      <c r="AY144" t="s">
        <v>74</v>
      </c>
      <c r="AZ144" t="s">
        <v>74</v>
      </c>
      <c r="BA144" t="s">
        <v>74</v>
      </c>
      <c r="BB144" t="s">
        <v>74</v>
      </c>
      <c r="BC144" t="s">
        <v>74</v>
      </c>
      <c r="BD144" t="s">
        <v>2691</v>
      </c>
      <c r="BE144" t="s">
        <v>2692</v>
      </c>
      <c r="BF144" t="str">
        <f>HYPERLINK("http://dx.doi.org/10.1371/journal.pone.0212091","http://dx.doi.org/10.1371/journal.pone.0212091")</f>
        <v>http://dx.doi.org/10.1371/journal.pone.0212091</v>
      </c>
      <c r="BG144" t="s">
        <v>74</v>
      </c>
      <c r="BH144" t="s">
        <v>74</v>
      </c>
      <c r="BI144">
        <v>14</v>
      </c>
      <c r="BJ144" t="s">
        <v>282</v>
      </c>
      <c r="BK144" t="s">
        <v>147</v>
      </c>
      <c r="BL144" t="s">
        <v>284</v>
      </c>
      <c r="BM144" t="s">
        <v>2693</v>
      </c>
      <c r="BN144">
        <v>30817753</v>
      </c>
      <c r="BO144" t="s">
        <v>2694</v>
      </c>
      <c r="BP144" t="s">
        <v>74</v>
      </c>
      <c r="BQ144" t="s">
        <v>74</v>
      </c>
      <c r="BR144" t="s">
        <v>97</v>
      </c>
      <c r="BS144" t="s">
        <v>2695</v>
      </c>
      <c r="BT144" t="str">
        <f>HYPERLINK("https%3A%2F%2Fwww.webofscience.com%2Fwos%2Fwoscc%2Ffull-record%2FWOS:000460371500016","View Full Record in Web of Science")</f>
        <v>View Full Record in Web of Science</v>
      </c>
    </row>
    <row r="145" spans="1:72" x14ac:dyDescent="0.25">
      <c r="A145" t="s">
        <v>72</v>
      </c>
      <c r="B145" t="s">
        <v>2696</v>
      </c>
      <c r="C145" t="s">
        <v>74</v>
      </c>
      <c r="D145" t="s">
        <v>74</v>
      </c>
      <c r="E145" t="s">
        <v>74</v>
      </c>
      <c r="F145" t="s">
        <v>2697</v>
      </c>
      <c r="G145" t="s">
        <v>74</v>
      </c>
      <c r="H145" t="s">
        <v>74</v>
      </c>
      <c r="I145" t="s">
        <v>2698</v>
      </c>
      <c r="J145" t="s">
        <v>2699</v>
      </c>
      <c r="K145" t="s">
        <v>74</v>
      </c>
      <c r="L145" t="s">
        <v>74</v>
      </c>
      <c r="M145" t="s">
        <v>77</v>
      </c>
      <c r="N145" t="s">
        <v>78</v>
      </c>
      <c r="O145" t="s">
        <v>74</v>
      </c>
      <c r="P145" t="s">
        <v>74</v>
      </c>
      <c r="Q145" t="s">
        <v>74</v>
      </c>
      <c r="R145" t="s">
        <v>74</v>
      </c>
      <c r="S145" t="s">
        <v>74</v>
      </c>
      <c r="T145" t="s">
        <v>2700</v>
      </c>
      <c r="U145" t="s">
        <v>2701</v>
      </c>
      <c r="V145" t="s">
        <v>2702</v>
      </c>
      <c r="W145" t="s">
        <v>2703</v>
      </c>
      <c r="X145" t="s">
        <v>2704</v>
      </c>
      <c r="Y145" t="s">
        <v>2705</v>
      </c>
      <c r="Z145" t="s">
        <v>2706</v>
      </c>
      <c r="AA145" t="s">
        <v>2707</v>
      </c>
      <c r="AB145" t="s">
        <v>2708</v>
      </c>
      <c r="AC145" t="s">
        <v>2709</v>
      </c>
      <c r="AD145" t="s">
        <v>2710</v>
      </c>
      <c r="AE145" t="s">
        <v>2711</v>
      </c>
      <c r="AF145" t="s">
        <v>74</v>
      </c>
      <c r="AG145">
        <v>67</v>
      </c>
      <c r="AH145">
        <v>61</v>
      </c>
      <c r="AI145">
        <v>61</v>
      </c>
      <c r="AJ145">
        <v>0</v>
      </c>
      <c r="AK145">
        <v>4</v>
      </c>
      <c r="AL145" t="s">
        <v>2304</v>
      </c>
      <c r="AM145" t="s">
        <v>160</v>
      </c>
      <c r="AN145" t="s">
        <v>2305</v>
      </c>
      <c r="AO145" t="s">
        <v>2712</v>
      </c>
      <c r="AP145" t="s">
        <v>2713</v>
      </c>
      <c r="AQ145" t="s">
        <v>74</v>
      </c>
      <c r="AR145" t="s">
        <v>2714</v>
      </c>
      <c r="AS145" t="s">
        <v>2715</v>
      </c>
      <c r="AT145" t="s">
        <v>2716</v>
      </c>
      <c r="AU145">
        <v>2015</v>
      </c>
      <c r="AV145">
        <v>361</v>
      </c>
      <c r="AW145" t="s">
        <v>74</v>
      </c>
      <c r="AX145" t="s">
        <v>74</v>
      </c>
      <c r="AY145" t="s">
        <v>74</v>
      </c>
      <c r="AZ145" t="s">
        <v>74</v>
      </c>
      <c r="BA145" t="s">
        <v>74</v>
      </c>
      <c r="BB145">
        <v>61</v>
      </c>
      <c r="BC145">
        <v>87</v>
      </c>
      <c r="BD145" t="s">
        <v>74</v>
      </c>
      <c r="BE145" t="s">
        <v>2717</v>
      </c>
      <c r="BF145" t="str">
        <f>HYPERLINK("http://dx.doi.org/10.1016/j.quaint.2014.07.057","http://dx.doi.org/10.1016/j.quaint.2014.07.057")</f>
        <v>http://dx.doi.org/10.1016/j.quaint.2014.07.057</v>
      </c>
      <c r="BG145" t="s">
        <v>74</v>
      </c>
      <c r="BH145" t="s">
        <v>74</v>
      </c>
      <c r="BI145">
        <v>27</v>
      </c>
      <c r="BJ145" t="s">
        <v>2718</v>
      </c>
      <c r="BK145" t="s">
        <v>2719</v>
      </c>
      <c r="BL145" t="s">
        <v>2720</v>
      </c>
      <c r="BM145" t="s">
        <v>2721</v>
      </c>
      <c r="BN145" t="s">
        <v>74</v>
      </c>
      <c r="BO145" t="s">
        <v>74</v>
      </c>
      <c r="BP145" t="s">
        <v>74</v>
      </c>
      <c r="BQ145" t="s">
        <v>74</v>
      </c>
      <c r="BR145" t="s">
        <v>97</v>
      </c>
      <c r="BS145" t="s">
        <v>2722</v>
      </c>
      <c r="BT145" t="str">
        <f>HYPERLINK("https%3A%2F%2Fwww.webofscience.com%2Fwos%2Fwoscc%2Ffull-record%2FWOS:000350998000006","View Full Record in Web of Science")</f>
        <v>View Full Record in Web of Science</v>
      </c>
    </row>
    <row r="146" spans="1:72" x14ac:dyDescent="0.25">
      <c r="A146" t="s">
        <v>72</v>
      </c>
      <c r="B146" t="s">
        <v>2723</v>
      </c>
      <c r="C146" t="s">
        <v>74</v>
      </c>
      <c r="D146" t="s">
        <v>74</v>
      </c>
      <c r="E146" t="s">
        <v>74</v>
      </c>
      <c r="F146" t="s">
        <v>2724</v>
      </c>
      <c r="G146" t="s">
        <v>74</v>
      </c>
      <c r="H146" t="s">
        <v>74</v>
      </c>
      <c r="I146" t="s">
        <v>2725</v>
      </c>
      <c r="J146" t="s">
        <v>1951</v>
      </c>
      <c r="K146" t="s">
        <v>74</v>
      </c>
      <c r="L146" t="s">
        <v>74</v>
      </c>
      <c r="M146" t="s">
        <v>77</v>
      </c>
      <c r="N146" t="s">
        <v>78</v>
      </c>
      <c r="O146" t="s">
        <v>74</v>
      </c>
      <c r="P146" t="s">
        <v>74</v>
      </c>
      <c r="Q146" t="s">
        <v>74</v>
      </c>
      <c r="R146" t="s">
        <v>74</v>
      </c>
      <c r="S146" t="s">
        <v>74</v>
      </c>
      <c r="T146" t="s">
        <v>2726</v>
      </c>
      <c r="U146" t="s">
        <v>2727</v>
      </c>
      <c r="V146" t="s">
        <v>2728</v>
      </c>
      <c r="W146" t="s">
        <v>2729</v>
      </c>
      <c r="X146" t="s">
        <v>2730</v>
      </c>
      <c r="Y146" t="s">
        <v>2731</v>
      </c>
      <c r="Z146" t="s">
        <v>2732</v>
      </c>
      <c r="AA146" t="s">
        <v>2733</v>
      </c>
      <c r="AB146" t="s">
        <v>74</v>
      </c>
      <c r="AC146" t="s">
        <v>74</v>
      </c>
      <c r="AD146" t="s">
        <v>74</v>
      </c>
      <c r="AE146" t="s">
        <v>74</v>
      </c>
      <c r="AF146" t="s">
        <v>74</v>
      </c>
      <c r="AG146">
        <v>83</v>
      </c>
      <c r="AH146">
        <v>61</v>
      </c>
      <c r="AI146">
        <v>63</v>
      </c>
      <c r="AJ146">
        <v>5</v>
      </c>
      <c r="AK146">
        <v>184</v>
      </c>
      <c r="AL146" t="s">
        <v>1099</v>
      </c>
      <c r="AM146" t="s">
        <v>305</v>
      </c>
      <c r="AN146" t="s">
        <v>1100</v>
      </c>
      <c r="AO146" t="s">
        <v>1963</v>
      </c>
      <c r="AP146" t="s">
        <v>1964</v>
      </c>
      <c r="AQ146" t="s">
        <v>74</v>
      </c>
      <c r="AR146" t="s">
        <v>1965</v>
      </c>
      <c r="AS146" t="s">
        <v>1966</v>
      </c>
      <c r="AT146" t="s">
        <v>2734</v>
      </c>
      <c r="AU146">
        <v>2013</v>
      </c>
      <c r="AV146">
        <v>22</v>
      </c>
      <c r="AW146">
        <v>1</v>
      </c>
      <c r="AX146" t="s">
        <v>74</v>
      </c>
      <c r="AY146" t="s">
        <v>74</v>
      </c>
      <c r="AZ146" t="s">
        <v>74</v>
      </c>
      <c r="BA146" t="s">
        <v>74</v>
      </c>
      <c r="BB146">
        <v>26</v>
      </c>
      <c r="BC146">
        <v>41</v>
      </c>
      <c r="BD146" t="s">
        <v>74</v>
      </c>
      <c r="BE146" t="s">
        <v>2735</v>
      </c>
      <c r="BF146" t="str">
        <f>HYPERLINK("http://dx.doi.org/10.1080/1359432X.2011.616653","http://dx.doi.org/10.1080/1359432X.2011.616653")</f>
        <v>http://dx.doi.org/10.1080/1359432X.2011.616653</v>
      </c>
      <c r="BG146" t="s">
        <v>74</v>
      </c>
      <c r="BH146" t="s">
        <v>74</v>
      </c>
      <c r="BI146">
        <v>16</v>
      </c>
      <c r="BJ146" t="s">
        <v>202</v>
      </c>
      <c r="BK146" t="s">
        <v>94</v>
      </c>
      <c r="BL146" t="s">
        <v>203</v>
      </c>
      <c r="BM146" t="s">
        <v>2736</v>
      </c>
      <c r="BN146" t="s">
        <v>74</v>
      </c>
      <c r="BO146" t="s">
        <v>74</v>
      </c>
      <c r="BP146" t="s">
        <v>74</v>
      </c>
      <c r="BQ146" t="s">
        <v>74</v>
      </c>
      <c r="BR146" t="s">
        <v>97</v>
      </c>
      <c r="BS146" t="s">
        <v>2737</v>
      </c>
      <c r="BT146" t="str">
        <f>HYPERLINK("https%3A%2F%2Fwww.webofscience.com%2Fwos%2Fwoscc%2Ffull-record%2FWOS:000313630400004","View Full Record in Web of Science")</f>
        <v>View Full Record in Web of Science</v>
      </c>
    </row>
    <row r="147" spans="1:72" x14ac:dyDescent="0.25">
      <c r="A147" t="s">
        <v>72</v>
      </c>
      <c r="B147" t="s">
        <v>2738</v>
      </c>
      <c r="C147" t="s">
        <v>74</v>
      </c>
      <c r="D147" t="s">
        <v>74</v>
      </c>
      <c r="E147" t="s">
        <v>74</v>
      </c>
      <c r="F147" t="s">
        <v>2739</v>
      </c>
      <c r="G147" t="s">
        <v>74</v>
      </c>
      <c r="H147" t="s">
        <v>74</v>
      </c>
      <c r="I147" t="s">
        <v>2740</v>
      </c>
      <c r="J147" t="s">
        <v>592</v>
      </c>
      <c r="K147" t="s">
        <v>74</v>
      </c>
      <c r="L147" t="s">
        <v>74</v>
      </c>
      <c r="M147" t="s">
        <v>77</v>
      </c>
      <c r="N147" t="s">
        <v>78</v>
      </c>
      <c r="O147" t="s">
        <v>74</v>
      </c>
      <c r="P147" t="s">
        <v>74</v>
      </c>
      <c r="Q147" t="s">
        <v>74</v>
      </c>
      <c r="R147" t="s">
        <v>74</v>
      </c>
      <c r="S147" t="s">
        <v>74</v>
      </c>
      <c r="T147" t="s">
        <v>2741</v>
      </c>
      <c r="U147" t="s">
        <v>2742</v>
      </c>
      <c r="V147" t="s">
        <v>2743</v>
      </c>
      <c r="W147" t="s">
        <v>2744</v>
      </c>
      <c r="X147" t="s">
        <v>2745</v>
      </c>
      <c r="Y147" t="s">
        <v>2746</v>
      </c>
      <c r="Z147" t="s">
        <v>2747</v>
      </c>
      <c r="AA147" t="s">
        <v>2748</v>
      </c>
      <c r="AB147" t="s">
        <v>74</v>
      </c>
      <c r="AC147" t="s">
        <v>2749</v>
      </c>
      <c r="AD147" t="s">
        <v>2750</v>
      </c>
      <c r="AE147" t="s">
        <v>74</v>
      </c>
      <c r="AF147" t="s">
        <v>74</v>
      </c>
      <c r="AG147">
        <v>77</v>
      </c>
      <c r="AH147">
        <v>61</v>
      </c>
      <c r="AI147">
        <v>61</v>
      </c>
      <c r="AJ147">
        <v>4</v>
      </c>
      <c r="AK147">
        <v>75</v>
      </c>
      <c r="AL147" t="s">
        <v>602</v>
      </c>
      <c r="AM147" t="s">
        <v>160</v>
      </c>
      <c r="AN147" t="s">
        <v>603</v>
      </c>
      <c r="AO147" t="s">
        <v>604</v>
      </c>
      <c r="AP147" t="s">
        <v>605</v>
      </c>
      <c r="AQ147" t="s">
        <v>74</v>
      </c>
      <c r="AR147" t="s">
        <v>606</v>
      </c>
      <c r="AS147" t="s">
        <v>607</v>
      </c>
      <c r="AT147" t="s">
        <v>91</v>
      </c>
      <c r="AU147">
        <v>2012</v>
      </c>
      <c r="AV147">
        <v>33</v>
      </c>
      <c r="AW147">
        <v>3</v>
      </c>
      <c r="AX147" t="s">
        <v>74</v>
      </c>
      <c r="AY147" t="s">
        <v>74</v>
      </c>
      <c r="AZ147" t="s">
        <v>74</v>
      </c>
      <c r="BA147" t="s">
        <v>74</v>
      </c>
      <c r="BB147">
        <v>553</v>
      </c>
      <c r="BC147">
        <v>561</v>
      </c>
      <c r="BD147" t="s">
        <v>74</v>
      </c>
      <c r="BE147" t="s">
        <v>2751</v>
      </c>
      <c r="BF147" t="str">
        <f>HYPERLINK("http://dx.doi.org/10.1016/j.tourman.2011.06.009","http://dx.doi.org/10.1016/j.tourman.2011.06.009")</f>
        <v>http://dx.doi.org/10.1016/j.tourman.2011.06.009</v>
      </c>
      <c r="BG147" t="s">
        <v>74</v>
      </c>
      <c r="BH147" t="s">
        <v>74</v>
      </c>
      <c r="BI147">
        <v>9</v>
      </c>
      <c r="BJ147" t="s">
        <v>609</v>
      </c>
      <c r="BK147" t="s">
        <v>94</v>
      </c>
      <c r="BL147" t="s">
        <v>610</v>
      </c>
      <c r="BM147" t="s">
        <v>2752</v>
      </c>
      <c r="BN147" t="s">
        <v>74</v>
      </c>
      <c r="BO147" t="s">
        <v>74</v>
      </c>
      <c r="BP147" t="s">
        <v>74</v>
      </c>
      <c r="BQ147" t="s">
        <v>74</v>
      </c>
      <c r="BR147" t="s">
        <v>97</v>
      </c>
      <c r="BS147" t="s">
        <v>2753</v>
      </c>
      <c r="BT147" t="str">
        <f>HYPERLINK("https%3A%2F%2Fwww.webofscience.com%2Fwos%2Fwoscc%2Ffull-record%2FWOS:000299973600008","View Full Record in Web of Science")</f>
        <v>View Full Record in Web of Science</v>
      </c>
    </row>
    <row r="148" spans="1:72" x14ac:dyDescent="0.25">
      <c r="A148" t="s">
        <v>72</v>
      </c>
      <c r="B148" t="s">
        <v>2754</v>
      </c>
      <c r="C148" t="s">
        <v>74</v>
      </c>
      <c r="D148" t="s">
        <v>74</v>
      </c>
      <c r="E148" t="s">
        <v>74</v>
      </c>
      <c r="F148" t="s">
        <v>2755</v>
      </c>
      <c r="G148" t="s">
        <v>74</v>
      </c>
      <c r="H148" t="s">
        <v>74</v>
      </c>
      <c r="I148" t="s">
        <v>2756</v>
      </c>
      <c r="J148" t="s">
        <v>657</v>
      </c>
      <c r="K148" t="s">
        <v>74</v>
      </c>
      <c r="L148" t="s">
        <v>74</v>
      </c>
      <c r="M148" t="s">
        <v>77</v>
      </c>
      <c r="N148" t="s">
        <v>78</v>
      </c>
      <c r="O148" t="s">
        <v>74</v>
      </c>
      <c r="P148" t="s">
        <v>74</v>
      </c>
      <c r="Q148" t="s">
        <v>74</v>
      </c>
      <c r="R148" t="s">
        <v>74</v>
      </c>
      <c r="S148" t="s">
        <v>74</v>
      </c>
      <c r="T148" t="s">
        <v>2757</v>
      </c>
      <c r="U148" t="s">
        <v>2758</v>
      </c>
      <c r="V148" t="s">
        <v>2759</v>
      </c>
      <c r="W148" t="s">
        <v>2760</v>
      </c>
      <c r="X148" t="s">
        <v>2761</v>
      </c>
      <c r="Y148" t="s">
        <v>2762</v>
      </c>
      <c r="Z148" t="s">
        <v>2763</v>
      </c>
      <c r="AA148" t="s">
        <v>74</v>
      </c>
      <c r="AB148" t="s">
        <v>74</v>
      </c>
      <c r="AC148" t="s">
        <v>74</v>
      </c>
      <c r="AD148" t="s">
        <v>74</v>
      </c>
      <c r="AE148" t="s">
        <v>74</v>
      </c>
      <c r="AF148" t="s">
        <v>74</v>
      </c>
      <c r="AG148">
        <v>49</v>
      </c>
      <c r="AH148">
        <v>61</v>
      </c>
      <c r="AI148">
        <v>65</v>
      </c>
      <c r="AJ148">
        <v>6</v>
      </c>
      <c r="AK148">
        <v>69</v>
      </c>
      <c r="AL148" t="s">
        <v>665</v>
      </c>
      <c r="AM148" t="s">
        <v>666</v>
      </c>
      <c r="AN148" t="s">
        <v>667</v>
      </c>
      <c r="AO148" t="s">
        <v>668</v>
      </c>
      <c r="AP148" t="s">
        <v>669</v>
      </c>
      <c r="AQ148" t="s">
        <v>74</v>
      </c>
      <c r="AR148" t="s">
        <v>670</v>
      </c>
      <c r="AS148" t="s">
        <v>671</v>
      </c>
      <c r="AT148" t="s">
        <v>74</v>
      </c>
      <c r="AU148">
        <v>2011</v>
      </c>
      <c r="AV148">
        <v>32</v>
      </c>
      <c r="AW148" t="s">
        <v>2764</v>
      </c>
      <c r="AX148" t="s">
        <v>74</v>
      </c>
      <c r="AY148" t="s">
        <v>74</v>
      </c>
      <c r="AZ148" t="s">
        <v>74</v>
      </c>
      <c r="BA148" t="s">
        <v>74</v>
      </c>
      <c r="BB148">
        <v>512</v>
      </c>
      <c r="BC148">
        <v>536</v>
      </c>
      <c r="BD148" t="s">
        <v>74</v>
      </c>
      <c r="BE148" t="s">
        <v>2765</v>
      </c>
      <c r="BF148" t="str">
        <f>HYPERLINK("http://dx.doi.org/10.1108/01437721111158189","http://dx.doi.org/10.1108/01437721111158189")</f>
        <v>http://dx.doi.org/10.1108/01437721111158189</v>
      </c>
      <c r="BG148" t="s">
        <v>74</v>
      </c>
      <c r="BH148" t="s">
        <v>74</v>
      </c>
      <c r="BI148">
        <v>25</v>
      </c>
      <c r="BJ148" t="s">
        <v>673</v>
      </c>
      <c r="BK148" t="s">
        <v>94</v>
      </c>
      <c r="BL148" t="s">
        <v>95</v>
      </c>
      <c r="BM148" t="s">
        <v>2766</v>
      </c>
      <c r="BN148" t="s">
        <v>74</v>
      </c>
      <c r="BO148" t="s">
        <v>74</v>
      </c>
      <c r="BP148" t="s">
        <v>74</v>
      </c>
      <c r="BQ148" t="s">
        <v>74</v>
      </c>
      <c r="BR148" t="s">
        <v>97</v>
      </c>
      <c r="BS148" t="s">
        <v>2767</v>
      </c>
      <c r="BT148" t="str">
        <f>HYPERLINK("https%3A%2F%2Fwww.webofscience.com%2Fwos%2Fwoscc%2Ffull-record%2FWOS:000296756300004","View Full Record in Web of Science")</f>
        <v>View Full Record in Web of Science</v>
      </c>
    </row>
    <row r="149" spans="1:72" x14ac:dyDescent="0.25">
      <c r="A149" t="s">
        <v>72</v>
      </c>
      <c r="B149" t="s">
        <v>2768</v>
      </c>
      <c r="C149" t="s">
        <v>74</v>
      </c>
      <c r="D149" t="s">
        <v>74</v>
      </c>
      <c r="E149" t="s">
        <v>74</v>
      </c>
      <c r="F149" t="s">
        <v>2769</v>
      </c>
      <c r="G149" t="s">
        <v>74</v>
      </c>
      <c r="H149" t="s">
        <v>74</v>
      </c>
      <c r="I149" t="s">
        <v>2770</v>
      </c>
      <c r="J149" t="s">
        <v>2771</v>
      </c>
      <c r="K149" t="s">
        <v>74</v>
      </c>
      <c r="L149" t="s">
        <v>74</v>
      </c>
      <c r="M149" t="s">
        <v>77</v>
      </c>
      <c r="N149" t="s">
        <v>78</v>
      </c>
      <c r="O149" t="s">
        <v>74</v>
      </c>
      <c r="P149" t="s">
        <v>74</v>
      </c>
      <c r="Q149" t="s">
        <v>74</v>
      </c>
      <c r="R149" t="s">
        <v>74</v>
      </c>
      <c r="S149" t="s">
        <v>74</v>
      </c>
      <c r="T149" t="s">
        <v>2772</v>
      </c>
      <c r="U149" t="s">
        <v>2773</v>
      </c>
      <c r="V149" t="s">
        <v>2774</v>
      </c>
      <c r="W149" t="s">
        <v>2775</v>
      </c>
      <c r="X149" t="s">
        <v>2776</v>
      </c>
      <c r="Y149" t="s">
        <v>2777</v>
      </c>
      <c r="Z149" t="s">
        <v>2778</v>
      </c>
      <c r="AA149" t="s">
        <v>2779</v>
      </c>
      <c r="AB149" t="s">
        <v>2780</v>
      </c>
      <c r="AC149" t="s">
        <v>74</v>
      </c>
      <c r="AD149" t="s">
        <v>74</v>
      </c>
      <c r="AE149" t="s">
        <v>74</v>
      </c>
      <c r="AF149" t="s">
        <v>74</v>
      </c>
      <c r="AG149">
        <v>49</v>
      </c>
      <c r="AH149">
        <v>61</v>
      </c>
      <c r="AI149">
        <v>67</v>
      </c>
      <c r="AJ149">
        <v>1</v>
      </c>
      <c r="AK149">
        <v>24</v>
      </c>
      <c r="AL149" t="s">
        <v>665</v>
      </c>
      <c r="AM149" t="s">
        <v>666</v>
      </c>
      <c r="AN149" t="s">
        <v>667</v>
      </c>
      <c r="AO149" t="s">
        <v>2781</v>
      </c>
      <c r="AP149" t="s">
        <v>2782</v>
      </c>
      <c r="AQ149" t="s">
        <v>74</v>
      </c>
      <c r="AR149" t="s">
        <v>2771</v>
      </c>
      <c r="AS149" t="s">
        <v>2783</v>
      </c>
      <c r="AT149" t="s">
        <v>74</v>
      </c>
      <c r="AU149">
        <v>2007</v>
      </c>
      <c r="AV149">
        <v>36</v>
      </c>
      <c r="AW149" t="s">
        <v>1478</v>
      </c>
      <c r="AX149" t="s">
        <v>74</v>
      </c>
      <c r="AY149" t="s">
        <v>74</v>
      </c>
      <c r="AZ149" t="s">
        <v>74</v>
      </c>
      <c r="BA149" t="s">
        <v>74</v>
      </c>
      <c r="BB149">
        <v>406</v>
      </c>
      <c r="BC149">
        <v>419</v>
      </c>
      <c r="BD149" t="s">
        <v>74</v>
      </c>
      <c r="BE149" t="s">
        <v>2784</v>
      </c>
      <c r="BF149" t="str">
        <f>HYPERLINK("http://dx.doi.org/10.1108/03684920710747039","http://dx.doi.org/10.1108/03684920710747039")</f>
        <v>http://dx.doi.org/10.1108/03684920710747039</v>
      </c>
      <c r="BG149" t="s">
        <v>74</v>
      </c>
      <c r="BH149" t="s">
        <v>74</v>
      </c>
      <c r="BI149">
        <v>14</v>
      </c>
      <c r="BJ149" t="s">
        <v>2785</v>
      </c>
      <c r="BK149" t="s">
        <v>147</v>
      </c>
      <c r="BL149" t="s">
        <v>2786</v>
      </c>
      <c r="BM149" t="s">
        <v>2787</v>
      </c>
      <c r="BN149" t="s">
        <v>74</v>
      </c>
      <c r="BO149" t="s">
        <v>74</v>
      </c>
      <c r="BP149" t="s">
        <v>74</v>
      </c>
      <c r="BQ149" t="s">
        <v>74</v>
      </c>
      <c r="BR149" t="s">
        <v>97</v>
      </c>
      <c r="BS149" t="s">
        <v>2788</v>
      </c>
      <c r="BT149" t="str">
        <f>HYPERLINK("https%3A%2F%2Fwww.webofscience.com%2Fwos%2Fwoscc%2Ffull-record%2FWOS:000246779100009","View Full Record in Web of Science")</f>
        <v>View Full Record in Web of Science</v>
      </c>
    </row>
    <row r="150" spans="1:72" x14ac:dyDescent="0.25">
      <c r="A150" t="s">
        <v>72</v>
      </c>
      <c r="B150" t="s">
        <v>2789</v>
      </c>
      <c r="C150" t="s">
        <v>74</v>
      </c>
      <c r="D150" t="s">
        <v>74</v>
      </c>
      <c r="E150" t="s">
        <v>74</v>
      </c>
      <c r="F150" t="s">
        <v>2790</v>
      </c>
      <c r="G150" t="s">
        <v>74</v>
      </c>
      <c r="H150" t="s">
        <v>74</v>
      </c>
      <c r="I150" t="s">
        <v>2791</v>
      </c>
      <c r="J150" t="s">
        <v>76</v>
      </c>
      <c r="K150" t="s">
        <v>74</v>
      </c>
      <c r="L150" t="s">
        <v>74</v>
      </c>
      <c r="M150" t="s">
        <v>77</v>
      </c>
      <c r="N150" t="s">
        <v>78</v>
      </c>
      <c r="O150" t="s">
        <v>74</v>
      </c>
      <c r="P150" t="s">
        <v>74</v>
      </c>
      <c r="Q150" t="s">
        <v>74</v>
      </c>
      <c r="R150" t="s">
        <v>74</v>
      </c>
      <c r="S150" t="s">
        <v>74</v>
      </c>
      <c r="T150" t="s">
        <v>74</v>
      </c>
      <c r="U150" t="s">
        <v>2792</v>
      </c>
      <c r="V150" t="s">
        <v>2793</v>
      </c>
      <c r="W150" t="s">
        <v>2794</v>
      </c>
      <c r="X150" t="s">
        <v>2795</v>
      </c>
      <c r="Y150" t="s">
        <v>2796</v>
      </c>
      <c r="Z150" t="s">
        <v>2797</v>
      </c>
      <c r="AA150" t="s">
        <v>74</v>
      </c>
      <c r="AB150" t="s">
        <v>74</v>
      </c>
      <c r="AC150" t="s">
        <v>2798</v>
      </c>
      <c r="AD150" t="s">
        <v>575</v>
      </c>
      <c r="AE150" t="s">
        <v>2799</v>
      </c>
      <c r="AF150" t="s">
        <v>74</v>
      </c>
      <c r="AG150">
        <v>133</v>
      </c>
      <c r="AH150">
        <v>59</v>
      </c>
      <c r="AI150">
        <v>59</v>
      </c>
      <c r="AJ150">
        <v>20</v>
      </c>
      <c r="AK150">
        <v>170</v>
      </c>
      <c r="AL150" t="s">
        <v>84</v>
      </c>
      <c r="AM150" t="s">
        <v>85</v>
      </c>
      <c r="AN150" t="s">
        <v>86</v>
      </c>
      <c r="AO150" t="s">
        <v>87</v>
      </c>
      <c r="AP150" t="s">
        <v>88</v>
      </c>
      <c r="AQ150" t="s">
        <v>74</v>
      </c>
      <c r="AR150" t="s">
        <v>89</v>
      </c>
      <c r="AS150" t="s">
        <v>90</v>
      </c>
      <c r="AT150" t="s">
        <v>122</v>
      </c>
      <c r="AU150">
        <v>2019</v>
      </c>
      <c r="AV150">
        <v>62</v>
      </c>
      <c r="AW150">
        <v>2</v>
      </c>
      <c r="AX150" t="s">
        <v>74</v>
      </c>
      <c r="AY150" t="s">
        <v>74</v>
      </c>
      <c r="AZ150" t="s">
        <v>74</v>
      </c>
      <c r="BA150" t="s">
        <v>74</v>
      </c>
      <c r="BB150">
        <v>579</v>
      </c>
      <c r="BC150">
        <v>606</v>
      </c>
      <c r="BD150" t="s">
        <v>74</v>
      </c>
      <c r="BE150" t="s">
        <v>2800</v>
      </c>
      <c r="BF150" t="str">
        <f>HYPERLINK("http://dx.doi.org/10.5465/amj.2016.0942","http://dx.doi.org/10.5465/amj.2016.0942")</f>
        <v>http://dx.doi.org/10.5465/amj.2016.0942</v>
      </c>
      <c r="BG150" t="s">
        <v>74</v>
      </c>
      <c r="BH150" t="s">
        <v>74</v>
      </c>
      <c r="BI150">
        <v>28</v>
      </c>
      <c r="BJ150" t="s">
        <v>93</v>
      </c>
      <c r="BK150" t="s">
        <v>94</v>
      </c>
      <c r="BL150" t="s">
        <v>95</v>
      </c>
      <c r="BM150" t="s">
        <v>2801</v>
      </c>
      <c r="BN150" t="s">
        <v>74</v>
      </c>
      <c r="BO150" t="s">
        <v>74</v>
      </c>
      <c r="BP150" t="s">
        <v>74</v>
      </c>
      <c r="BQ150" t="s">
        <v>74</v>
      </c>
      <c r="BR150" t="s">
        <v>97</v>
      </c>
      <c r="BS150" t="s">
        <v>2802</v>
      </c>
      <c r="BT150" t="str">
        <f>HYPERLINK("https%3A%2F%2Fwww.webofscience.com%2Fwos%2Fwoscc%2Ffull-record%2FWOS:000465145900011","View Full Record in Web of Science")</f>
        <v>View Full Record in Web of Science</v>
      </c>
    </row>
    <row r="151" spans="1:72" x14ac:dyDescent="0.25">
      <c r="A151" t="s">
        <v>72</v>
      </c>
      <c r="B151" t="s">
        <v>2803</v>
      </c>
      <c r="C151" t="s">
        <v>74</v>
      </c>
      <c r="D151" t="s">
        <v>74</v>
      </c>
      <c r="E151" t="s">
        <v>74</v>
      </c>
      <c r="F151" t="s">
        <v>2804</v>
      </c>
      <c r="G151" t="s">
        <v>74</v>
      </c>
      <c r="H151" t="s">
        <v>74</v>
      </c>
      <c r="I151" t="s">
        <v>2805</v>
      </c>
      <c r="J151" t="s">
        <v>1838</v>
      </c>
      <c r="K151" t="s">
        <v>74</v>
      </c>
      <c r="L151" t="s">
        <v>74</v>
      </c>
      <c r="M151" t="s">
        <v>77</v>
      </c>
      <c r="N151" t="s">
        <v>78</v>
      </c>
      <c r="O151" t="s">
        <v>74</v>
      </c>
      <c r="P151" t="s">
        <v>74</v>
      </c>
      <c r="Q151" t="s">
        <v>74</v>
      </c>
      <c r="R151" t="s">
        <v>74</v>
      </c>
      <c r="S151" t="s">
        <v>74</v>
      </c>
      <c r="T151" t="s">
        <v>74</v>
      </c>
      <c r="U151" t="s">
        <v>2806</v>
      </c>
      <c r="V151" t="s">
        <v>2807</v>
      </c>
      <c r="W151" t="s">
        <v>2808</v>
      </c>
      <c r="X151" t="s">
        <v>2809</v>
      </c>
      <c r="Y151" t="s">
        <v>2810</v>
      </c>
      <c r="Z151" t="s">
        <v>2811</v>
      </c>
      <c r="AA151" t="s">
        <v>2812</v>
      </c>
      <c r="AB151" t="s">
        <v>2813</v>
      </c>
      <c r="AC151" t="s">
        <v>2814</v>
      </c>
      <c r="AD151" t="s">
        <v>2815</v>
      </c>
      <c r="AE151" t="s">
        <v>74</v>
      </c>
      <c r="AF151" t="s">
        <v>74</v>
      </c>
      <c r="AG151">
        <v>93</v>
      </c>
      <c r="AH151">
        <v>59</v>
      </c>
      <c r="AI151">
        <v>63</v>
      </c>
      <c r="AJ151">
        <v>12</v>
      </c>
      <c r="AK151">
        <v>105</v>
      </c>
      <c r="AL151" t="s">
        <v>218</v>
      </c>
      <c r="AM151" t="s">
        <v>219</v>
      </c>
      <c r="AN151" t="s">
        <v>220</v>
      </c>
      <c r="AO151" t="s">
        <v>1847</v>
      </c>
      <c r="AP151" t="s">
        <v>1848</v>
      </c>
      <c r="AQ151" t="s">
        <v>74</v>
      </c>
      <c r="AR151" t="s">
        <v>1849</v>
      </c>
      <c r="AS151" t="s">
        <v>1850</v>
      </c>
      <c r="AT151" t="s">
        <v>256</v>
      </c>
      <c r="AU151">
        <v>2018</v>
      </c>
      <c r="AV151">
        <v>29</v>
      </c>
      <c r="AW151">
        <v>4</v>
      </c>
      <c r="AX151" t="s">
        <v>74</v>
      </c>
      <c r="AY151" t="s">
        <v>74</v>
      </c>
      <c r="AZ151" t="s">
        <v>74</v>
      </c>
      <c r="BA151" t="s">
        <v>74</v>
      </c>
      <c r="BB151">
        <v>796</v>
      </c>
      <c r="BC151">
        <v>816</v>
      </c>
      <c r="BD151" t="s">
        <v>74</v>
      </c>
      <c r="BE151" t="s">
        <v>2816</v>
      </c>
      <c r="BF151" t="str">
        <f>HYPERLINK("http://dx.doi.org/10.1111/1467-8551.12275","http://dx.doi.org/10.1111/1467-8551.12275")</f>
        <v>http://dx.doi.org/10.1111/1467-8551.12275</v>
      </c>
      <c r="BG151" t="s">
        <v>74</v>
      </c>
      <c r="BH151" t="s">
        <v>74</v>
      </c>
      <c r="BI151">
        <v>21</v>
      </c>
      <c r="BJ151" t="s">
        <v>93</v>
      </c>
      <c r="BK151" t="s">
        <v>94</v>
      </c>
      <c r="BL151" t="s">
        <v>95</v>
      </c>
      <c r="BM151" t="s">
        <v>1852</v>
      </c>
      <c r="BN151" t="s">
        <v>74</v>
      </c>
      <c r="BO151" t="s">
        <v>378</v>
      </c>
      <c r="BP151" t="s">
        <v>74</v>
      </c>
      <c r="BQ151" t="s">
        <v>74</v>
      </c>
      <c r="BR151" t="s">
        <v>97</v>
      </c>
      <c r="BS151" t="s">
        <v>2817</v>
      </c>
      <c r="BT151" t="str">
        <f>HYPERLINK("https%3A%2F%2Fwww.webofscience.com%2Fwos%2Fwoscc%2Ffull-record%2FWOS:000447123100011","View Full Record in Web of Science")</f>
        <v>View Full Record in Web of Science</v>
      </c>
    </row>
    <row r="152" spans="1:72" x14ac:dyDescent="0.25">
      <c r="A152" t="s">
        <v>72</v>
      </c>
      <c r="B152" t="s">
        <v>2818</v>
      </c>
      <c r="C152" t="s">
        <v>74</v>
      </c>
      <c r="D152" t="s">
        <v>74</v>
      </c>
      <c r="E152" t="s">
        <v>74</v>
      </c>
      <c r="F152" t="s">
        <v>2819</v>
      </c>
      <c r="G152" t="s">
        <v>74</v>
      </c>
      <c r="H152" t="s">
        <v>74</v>
      </c>
      <c r="I152" t="s">
        <v>2820</v>
      </c>
      <c r="J152" t="s">
        <v>2821</v>
      </c>
      <c r="K152" t="s">
        <v>74</v>
      </c>
      <c r="L152" t="s">
        <v>74</v>
      </c>
      <c r="M152" t="s">
        <v>77</v>
      </c>
      <c r="N152" t="s">
        <v>78</v>
      </c>
      <c r="O152" t="s">
        <v>74</v>
      </c>
      <c r="P152" t="s">
        <v>74</v>
      </c>
      <c r="Q152" t="s">
        <v>74</v>
      </c>
      <c r="R152" t="s">
        <v>74</v>
      </c>
      <c r="S152" t="s">
        <v>74</v>
      </c>
      <c r="T152" t="s">
        <v>74</v>
      </c>
      <c r="U152" t="s">
        <v>2822</v>
      </c>
      <c r="V152" t="s">
        <v>2823</v>
      </c>
      <c r="W152" t="s">
        <v>2824</v>
      </c>
      <c r="X152" t="s">
        <v>2825</v>
      </c>
      <c r="Y152" t="s">
        <v>2826</v>
      </c>
      <c r="Z152" t="s">
        <v>2827</v>
      </c>
      <c r="AA152" t="s">
        <v>2828</v>
      </c>
      <c r="AB152" t="s">
        <v>2829</v>
      </c>
      <c r="AC152" t="s">
        <v>2830</v>
      </c>
      <c r="AD152" t="s">
        <v>2831</v>
      </c>
      <c r="AE152" t="s">
        <v>2832</v>
      </c>
      <c r="AF152" t="s">
        <v>74</v>
      </c>
      <c r="AG152">
        <v>66</v>
      </c>
      <c r="AH152">
        <v>58</v>
      </c>
      <c r="AI152">
        <v>59</v>
      </c>
      <c r="AJ152">
        <v>7</v>
      </c>
      <c r="AK152">
        <v>43</v>
      </c>
      <c r="AL152" t="s">
        <v>2833</v>
      </c>
      <c r="AM152" t="s">
        <v>541</v>
      </c>
      <c r="AN152" t="s">
        <v>2834</v>
      </c>
      <c r="AO152" t="s">
        <v>2835</v>
      </c>
      <c r="AP152" t="s">
        <v>74</v>
      </c>
      <c r="AQ152" t="s">
        <v>74</v>
      </c>
      <c r="AR152" t="s">
        <v>2836</v>
      </c>
      <c r="AS152" t="s">
        <v>2837</v>
      </c>
      <c r="AT152" t="s">
        <v>91</v>
      </c>
      <c r="AU152">
        <v>2020</v>
      </c>
      <c r="AV152">
        <v>4</v>
      </c>
      <c r="AW152">
        <v>6</v>
      </c>
      <c r="AX152" t="s">
        <v>74</v>
      </c>
      <c r="AY152" t="s">
        <v>74</v>
      </c>
      <c r="AZ152" t="s">
        <v>74</v>
      </c>
      <c r="BA152" t="s">
        <v>74</v>
      </c>
      <c r="BB152">
        <v>788</v>
      </c>
      <c r="BC152" t="s">
        <v>2838</v>
      </c>
      <c r="BD152" t="s">
        <v>74</v>
      </c>
      <c r="BE152" t="s">
        <v>2839</v>
      </c>
      <c r="BF152" t="str">
        <f>HYPERLINK("http://dx.doi.org/10.1038/s41559-020-1168-8","http://dx.doi.org/10.1038/s41559-020-1168-8")</f>
        <v>http://dx.doi.org/10.1038/s41559-020-1168-8</v>
      </c>
      <c r="BG152" t="s">
        <v>74</v>
      </c>
      <c r="BH152" t="s">
        <v>2840</v>
      </c>
      <c r="BI152">
        <v>8</v>
      </c>
      <c r="BJ152" t="s">
        <v>2841</v>
      </c>
      <c r="BK152" t="s">
        <v>283</v>
      </c>
      <c r="BL152" t="s">
        <v>2842</v>
      </c>
      <c r="BM152" t="s">
        <v>2843</v>
      </c>
      <c r="BN152">
        <v>32251379</v>
      </c>
      <c r="BO152" t="s">
        <v>74</v>
      </c>
      <c r="BP152" t="s">
        <v>74</v>
      </c>
      <c r="BQ152" t="s">
        <v>74</v>
      </c>
      <c r="BR152" t="s">
        <v>97</v>
      </c>
      <c r="BS152" t="s">
        <v>2844</v>
      </c>
      <c r="BT152" t="str">
        <f>HYPERLINK("https%3A%2F%2Fwww.webofscience.com%2Fwos%2Fwoscc%2Ffull-record%2FWOS:000523952600001","View Full Record in Web of Science")</f>
        <v>View Full Record in Web of Science</v>
      </c>
    </row>
    <row r="153" spans="1:72" x14ac:dyDescent="0.25">
      <c r="A153" t="s">
        <v>72</v>
      </c>
      <c r="B153" t="s">
        <v>2845</v>
      </c>
      <c r="C153" t="s">
        <v>74</v>
      </c>
      <c r="D153" t="s">
        <v>74</v>
      </c>
      <c r="E153" t="s">
        <v>74</v>
      </c>
      <c r="F153" t="s">
        <v>2846</v>
      </c>
      <c r="G153" t="s">
        <v>74</v>
      </c>
      <c r="H153" t="s">
        <v>74</v>
      </c>
      <c r="I153" t="s">
        <v>2847</v>
      </c>
      <c r="J153" t="s">
        <v>1916</v>
      </c>
      <c r="K153" t="s">
        <v>74</v>
      </c>
      <c r="L153" t="s">
        <v>74</v>
      </c>
      <c r="M153" t="s">
        <v>77</v>
      </c>
      <c r="N153" t="s">
        <v>78</v>
      </c>
      <c r="O153" t="s">
        <v>74</v>
      </c>
      <c r="P153" t="s">
        <v>74</v>
      </c>
      <c r="Q153" t="s">
        <v>74</v>
      </c>
      <c r="R153" t="s">
        <v>74</v>
      </c>
      <c r="S153" t="s">
        <v>74</v>
      </c>
      <c r="T153" t="s">
        <v>2848</v>
      </c>
      <c r="U153" t="s">
        <v>2849</v>
      </c>
      <c r="V153" t="s">
        <v>2850</v>
      </c>
      <c r="W153" t="s">
        <v>2851</v>
      </c>
      <c r="X153" t="s">
        <v>2852</v>
      </c>
      <c r="Y153" t="s">
        <v>2853</v>
      </c>
      <c r="Z153" t="s">
        <v>2854</v>
      </c>
      <c r="AA153" t="s">
        <v>2855</v>
      </c>
      <c r="AB153" t="s">
        <v>2856</v>
      </c>
      <c r="AC153" t="s">
        <v>2857</v>
      </c>
      <c r="AD153" t="s">
        <v>2858</v>
      </c>
      <c r="AE153" t="s">
        <v>2859</v>
      </c>
      <c r="AF153" t="s">
        <v>74</v>
      </c>
      <c r="AG153">
        <v>40</v>
      </c>
      <c r="AH153">
        <v>58</v>
      </c>
      <c r="AI153">
        <v>58</v>
      </c>
      <c r="AJ153">
        <v>5</v>
      </c>
      <c r="AK153">
        <v>85</v>
      </c>
      <c r="AL153" t="s">
        <v>665</v>
      </c>
      <c r="AM153" t="s">
        <v>666</v>
      </c>
      <c r="AN153" t="s">
        <v>667</v>
      </c>
      <c r="AO153" t="s">
        <v>1926</v>
      </c>
      <c r="AP153" t="s">
        <v>1927</v>
      </c>
      <c r="AQ153" t="s">
        <v>74</v>
      </c>
      <c r="AR153" t="s">
        <v>1928</v>
      </c>
      <c r="AS153" t="s">
        <v>1929</v>
      </c>
      <c r="AT153" t="s">
        <v>2860</v>
      </c>
      <c r="AU153">
        <v>2019</v>
      </c>
      <c r="AV153">
        <v>57</v>
      </c>
      <c r="AW153">
        <v>11</v>
      </c>
      <c r="AX153" t="s">
        <v>74</v>
      </c>
      <c r="AY153" t="s">
        <v>74</v>
      </c>
      <c r="AZ153" t="s">
        <v>74</v>
      </c>
      <c r="BA153" t="s">
        <v>74</v>
      </c>
      <c r="BB153">
        <v>3200</v>
      </c>
      <c r="BC153">
        <v>3216</v>
      </c>
      <c r="BD153" t="s">
        <v>74</v>
      </c>
      <c r="BE153" t="s">
        <v>2861</v>
      </c>
      <c r="BF153" t="str">
        <f>HYPERLINK("http://dx.doi.org/10.1108/MD-02-2018-0196","http://dx.doi.org/10.1108/MD-02-2018-0196")</f>
        <v>http://dx.doi.org/10.1108/MD-02-2018-0196</v>
      </c>
      <c r="BG153" t="s">
        <v>74</v>
      </c>
      <c r="BH153" t="s">
        <v>74</v>
      </c>
      <c r="BI153">
        <v>17</v>
      </c>
      <c r="BJ153" t="s">
        <v>93</v>
      </c>
      <c r="BK153" t="s">
        <v>94</v>
      </c>
      <c r="BL153" t="s">
        <v>95</v>
      </c>
      <c r="BM153" t="s">
        <v>2862</v>
      </c>
      <c r="BN153" t="s">
        <v>74</v>
      </c>
      <c r="BO153" t="s">
        <v>74</v>
      </c>
      <c r="BP153" t="s">
        <v>74</v>
      </c>
      <c r="BQ153" t="s">
        <v>74</v>
      </c>
      <c r="BR153" t="s">
        <v>97</v>
      </c>
      <c r="BS153" t="s">
        <v>2863</v>
      </c>
      <c r="BT153" t="str">
        <f>HYPERLINK("https%3A%2F%2Fwww.webofscience.com%2Fwos%2Fwoscc%2Ffull-record%2FWOS:000499927500018","View Full Record in Web of Science")</f>
        <v>View Full Record in Web of Science</v>
      </c>
    </row>
    <row r="154" spans="1:72" x14ac:dyDescent="0.25">
      <c r="A154" t="s">
        <v>72</v>
      </c>
      <c r="B154" t="s">
        <v>2864</v>
      </c>
      <c r="C154" t="s">
        <v>74</v>
      </c>
      <c r="D154" t="s">
        <v>74</v>
      </c>
      <c r="E154" t="s">
        <v>74</v>
      </c>
      <c r="F154" t="s">
        <v>2865</v>
      </c>
      <c r="G154" t="s">
        <v>74</v>
      </c>
      <c r="H154" t="s">
        <v>74</v>
      </c>
      <c r="I154" t="s">
        <v>2866</v>
      </c>
      <c r="J154" t="s">
        <v>758</v>
      </c>
      <c r="K154" t="s">
        <v>74</v>
      </c>
      <c r="L154" t="s">
        <v>74</v>
      </c>
      <c r="M154" t="s">
        <v>77</v>
      </c>
      <c r="N154" t="s">
        <v>78</v>
      </c>
      <c r="O154" t="s">
        <v>74</v>
      </c>
      <c r="P154" t="s">
        <v>74</v>
      </c>
      <c r="Q154" t="s">
        <v>74</v>
      </c>
      <c r="R154" t="s">
        <v>74</v>
      </c>
      <c r="S154" t="s">
        <v>74</v>
      </c>
      <c r="T154" t="s">
        <v>2867</v>
      </c>
      <c r="U154" t="s">
        <v>2868</v>
      </c>
      <c r="V154" t="s">
        <v>2869</v>
      </c>
      <c r="W154" t="s">
        <v>2870</v>
      </c>
      <c r="X154" t="s">
        <v>2871</v>
      </c>
      <c r="Y154" t="s">
        <v>2872</v>
      </c>
      <c r="Z154" t="s">
        <v>2873</v>
      </c>
      <c r="AA154" t="s">
        <v>74</v>
      </c>
      <c r="AB154" t="s">
        <v>74</v>
      </c>
      <c r="AC154" t="s">
        <v>74</v>
      </c>
      <c r="AD154" t="s">
        <v>74</v>
      </c>
      <c r="AE154" t="s">
        <v>74</v>
      </c>
      <c r="AF154" t="s">
        <v>74</v>
      </c>
      <c r="AG154">
        <v>150</v>
      </c>
      <c r="AH154">
        <v>58</v>
      </c>
      <c r="AI154">
        <v>59</v>
      </c>
      <c r="AJ154">
        <v>2</v>
      </c>
      <c r="AK154">
        <v>114</v>
      </c>
      <c r="AL154" t="s">
        <v>766</v>
      </c>
      <c r="AM154" t="s">
        <v>330</v>
      </c>
      <c r="AN154" t="s">
        <v>1452</v>
      </c>
      <c r="AO154" t="s">
        <v>768</v>
      </c>
      <c r="AP154" t="s">
        <v>769</v>
      </c>
      <c r="AQ154" t="s">
        <v>74</v>
      </c>
      <c r="AR154" t="s">
        <v>770</v>
      </c>
      <c r="AS154" t="s">
        <v>771</v>
      </c>
      <c r="AT154" t="s">
        <v>405</v>
      </c>
      <c r="AU154">
        <v>2018</v>
      </c>
      <c r="AV154">
        <v>33</v>
      </c>
      <c r="AW154">
        <v>1</v>
      </c>
      <c r="AX154" t="s">
        <v>74</v>
      </c>
      <c r="AY154" t="s">
        <v>74</v>
      </c>
      <c r="AZ154" t="s">
        <v>74</v>
      </c>
      <c r="BA154" t="s">
        <v>74</v>
      </c>
      <c r="BB154">
        <v>123</v>
      </c>
      <c r="BC154">
        <v>139</v>
      </c>
      <c r="BD154" t="s">
        <v>74</v>
      </c>
      <c r="BE154" t="s">
        <v>2874</v>
      </c>
      <c r="BF154" t="str">
        <f>HYPERLINK("http://dx.doi.org/10.1007/s10869-016-9480-7","http://dx.doi.org/10.1007/s10869-016-9480-7")</f>
        <v>http://dx.doi.org/10.1007/s10869-016-9480-7</v>
      </c>
      <c r="BG154" t="s">
        <v>74</v>
      </c>
      <c r="BH154" t="s">
        <v>74</v>
      </c>
      <c r="BI154">
        <v>17</v>
      </c>
      <c r="BJ154" t="s">
        <v>773</v>
      </c>
      <c r="BK154" t="s">
        <v>94</v>
      </c>
      <c r="BL154" t="s">
        <v>227</v>
      </c>
      <c r="BM154" t="s">
        <v>2875</v>
      </c>
      <c r="BN154" t="s">
        <v>74</v>
      </c>
      <c r="BO154" t="s">
        <v>74</v>
      </c>
      <c r="BP154" t="s">
        <v>74</v>
      </c>
      <c r="BQ154" t="s">
        <v>74</v>
      </c>
      <c r="BR154" t="s">
        <v>97</v>
      </c>
      <c r="BS154" t="s">
        <v>2876</v>
      </c>
      <c r="BT154" t="str">
        <f>HYPERLINK("https%3A%2F%2Fwww.webofscience.com%2Fwos%2Fwoscc%2Ffull-record%2FWOS:000419939900008","View Full Record in Web of Science")</f>
        <v>View Full Record in Web of Science</v>
      </c>
    </row>
    <row r="155" spans="1:72" x14ac:dyDescent="0.25">
      <c r="A155" t="s">
        <v>72</v>
      </c>
      <c r="B155" t="s">
        <v>2877</v>
      </c>
      <c r="C155" t="s">
        <v>74</v>
      </c>
      <c r="D155" t="s">
        <v>74</v>
      </c>
      <c r="E155" t="s">
        <v>74</v>
      </c>
      <c r="F155" t="s">
        <v>2878</v>
      </c>
      <c r="G155" t="s">
        <v>74</v>
      </c>
      <c r="H155" t="s">
        <v>74</v>
      </c>
      <c r="I155" t="s">
        <v>2879</v>
      </c>
      <c r="J155" t="s">
        <v>1600</v>
      </c>
      <c r="K155" t="s">
        <v>74</v>
      </c>
      <c r="L155" t="s">
        <v>74</v>
      </c>
      <c r="M155" t="s">
        <v>77</v>
      </c>
      <c r="N155" t="s">
        <v>78</v>
      </c>
      <c r="O155" t="s">
        <v>74</v>
      </c>
      <c r="P155" t="s">
        <v>74</v>
      </c>
      <c r="Q155" t="s">
        <v>74</v>
      </c>
      <c r="R155" t="s">
        <v>74</v>
      </c>
      <c r="S155" t="s">
        <v>74</v>
      </c>
      <c r="T155" t="s">
        <v>2880</v>
      </c>
      <c r="U155" t="s">
        <v>2881</v>
      </c>
      <c r="V155" t="s">
        <v>2882</v>
      </c>
      <c r="W155" t="s">
        <v>2883</v>
      </c>
      <c r="X155" t="s">
        <v>2884</v>
      </c>
      <c r="Y155" t="s">
        <v>2885</v>
      </c>
      <c r="Z155" t="s">
        <v>2886</v>
      </c>
      <c r="AA155" t="s">
        <v>74</v>
      </c>
      <c r="AB155" t="s">
        <v>2887</v>
      </c>
      <c r="AC155" t="s">
        <v>74</v>
      </c>
      <c r="AD155" t="s">
        <v>74</v>
      </c>
      <c r="AE155" t="s">
        <v>74</v>
      </c>
      <c r="AF155" t="s">
        <v>74</v>
      </c>
      <c r="AG155">
        <v>86</v>
      </c>
      <c r="AH155">
        <v>58</v>
      </c>
      <c r="AI155">
        <v>65</v>
      </c>
      <c r="AJ155">
        <v>10</v>
      </c>
      <c r="AK155">
        <v>229</v>
      </c>
      <c r="AL155" t="s">
        <v>1099</v>
      </c>
      <c r="AM155" t="s">
        <v>305</v>
      </c>
      <c r="AN155" t="s">
        <v>1100</v>
      </c>
      <c r="AO155" t="s">
        <v>1610</v>
      </c>
      <c r="AP155" t="s">
        <v>1611</v>
      </c>
      <c r="AQ155" t="s">
        <v>74</v>
      </c>
      <c r="AR155" t="s">
        <v>1612</v>
      </c>
      <c r="AS155" t="s">
        <v>1613</v>
      </c>
      <c r="AT155" t="s">
        <v>2888</v>
      </c>
      <c r="AU155">
        <v>2014</v>
      </c>
      <c r="AV155">
        <v>25</v>
      </c>
      <c r="AW155">
        <v>10</v>
      </c>
      <c r="AX155" t="s">
        <v>74</v>
      </c>
      <c r="AY155" t="s">
        <v>74</v>
      </c>
      <c r="AZ155" t="s">
        <v>860</v>
      </c>
      <c r="BA155" t="s">
        <v>74</v>
      </c>
      <c r="BB155">
        <v>1373</v>
      </c>
      <c r="BC155">
        <v>1394</v>
      </c>
      <c r="BD155" t="s">
        <v>74</v>
      </c>
      <c r="BE155" t="s">
        <v>2889</v>
      </c>
      <c r="BF155" t="str">
        <f>HYPERLINK("http://dx.doi.org/10.1080/09585192.2013.870311","http://dx.doi.org/10.1080/09585192.2013.870311")</f>
        <v>http://dx.doi.org/10.1080/09585192.2013.870311</v>
      </c>
      <c r="BG155" t="s">
        <v>74</v>
      </c>
      <c r="BH155" t="s">
        <v>74</v>
      </c>
      <c r="BI155">
        <v>22</v>
      </c>
      <c r="BJ155" t="s">
        <v>442</v>
      </c>
      <c r="BK155" t="s">
        <v>94</v>
      </c>
      <c r="BL155" t="s">
        <v>95</v>
      </c>
      <c r="BM155" t="s">
        <v>2890</v>
      </c>
      <c r="BN155" t="s">
        <v>74</v>
      </c>
      <c r="BO155" t="s">
        <v>74</v>
      </c>
      <c r="BP155" t="s">
        <v>74</v>
      </c>
      <c r="BQ155" t="s">
        <v>74</v>
      </c>
      <c r="BR155" t="s">
        <v>97</v>
      </c>
      <c r="BS155" t="s">
        <v>2891</v>
      </c>
      <c r="BT155" t="str">
        <f>HYPERLINK("https%3A%2F%2Fwww.webofscience.com%2Fwos%2Fwoscc%2Ffull-record%2FWOS:000330103800004","View Full Record in Web of Science")</f>
        <v>View Full Record in Web of Science</v>
      </c>
    </row>
    <row r="156" spans="1:72" x14ac:dyDescent="0.25">
      <c r="A156" t="s">
        <v>72</v>
      </c>
      <c r="B156" t="s">
        <v>2892</v>
      </c>
      <c r="C156" t="s">
        <v>74</v>
      </c>
      <c r="D156" t="s">
        <v>74</v>
      </c>
      <c r="E156" t="s">
        <v>74</v>
      </c>
      <c r="F156" t="s">
        <v>2893</v>
      </c>
      <c r="G156" t="s">
        <v>74</v>
      </c>
      <c r="H156" t="s">
        <v>74</v>
      </c>
      <c r="I156" t="s">
        <v>2894</v>
      </c>
      <c r="J156" t="s">
        <v>2895</v>
      </c>
      <c r="K156" t="s">
        <v>74</v>
      </c>
      <c r="L156" t="s">
        <v>74</v>
      </c>
      <c r="M156" t="s">
        <v>77</v>
      </c>
      <c r="N156" t="s">
        <v>78</v>
      </c>
      <c r="O156" t="s">
        <v>74</v>
      </c>
      <c r="P156" t="s">
        <v>74</v>
      </c>
      <c r="Q156" t="s">
        <v>74</v>
      </c>
      <c r="R156" t="s">
        <v>74</v>
      </c>
      <c r="S156" t="s">
        <v>74</v>
      </c>
      <c r="T156" t="s">
        <v>2896</v>
      </c>
      <c r="U156" t="s">
        <v>2897</v>
      </c>
      <c r="V156" t="s">
        <v>2898</v>
      </c>
      <c r="W156" t="s">
        <v>2899</v>
      </c>
      <c r="X156" t="s">
        <v>2900</v>
      </c>
      <c r="Y156" t="s">
        <v>2901</v>
      </c>
      <c r="Z156" t="s">
        <v>2902</v>
      </c>
      <c r="AA156" t="s">
        <v>74</v>
      </c>
      <c r="AB156" t="s">
        <v>2903</v>
      </c>
      <c r="AC156" t="s">
        <v>2904</v>
      </c>
      <c r="AD156" t="s">
        <v>2905</v>
      </c>
      <c r="AE156" t="s">
        <v>2906</v>
      </c>
      <c r="AF156" t="s">
        <v>74</v>
      </c>
      <c r="AG156">
        <v>27</v>
      </c>
      <c r="AH156">
        <v>57</v>
      </c>
      <c r="AI156">
        <v>58</v>
      </c>
      <c r="AJ156">
        <v>1</v>
      </c>
      <c r="AK156">
        <v>11</v>
      </c>
      <c r="AL156" t="s">
        <v>2907</v>
      </c>
      <c r="AM156" t="s">
        <v>139</v>
      </c>
      <c r="AN156" t="s">
        <v>2908</v>
      </c>
      <c r="AO156" t="s">
        <v>2909</v>
      </c>
      <c r="AP156" t="s">
        <v>2910</v>
      </c>
      <c r="AQ156" t="s">
        <v>74</v>
      </c>
      <c r="AR156" t="s">
        <v>2911</v>
      </c>
      <c r="AS156" t="s">
        <v>2912</v>
      </c>
      <c r="AT156" t="s">
        <v>74</v>
      </c>
      <c r="AU156">
        <v>2010</v>
      </c>
      <c r="AV156">
        <v>39</v>
      </c>
      <c r="AW156">
        <v>6</v>
      </c>
      <c r="AX156" t="s">
        <v>74</v>
      </c>
      <c r="AY156" t="s">
        <v>74</v>
      </c>
      <c r="AZ156" t="s">
        <v>74</v>
      </c>
      <c r="BA156" t="s">
        <v>74</v>
      </c>
      <c r="BB156">
        <v>2176</v>
      </c>
      <c r="BC156">
        <v>2188</v>
      </c>
      <c r="BD156" t="s">
        <v>74</v>
      </c>
      <c r="BE156" t="s">
        <v>2913</v>
      </c>
      <c r="BF156" t="str">
        <f>HYPERLINK("http://dx.doi.org/10.1137/080714452","http://dx.doi.org/10.1137/080714452")</f>
        <v>http://dx.doi.org/10.1137/080714452</v>
      </c>
      <c r="BG156" t="s">
        <v>74</v>
      </c>
      <c r="BH156" t="s">
        <v>74</v>
      </c>
      <c r="BI156">
        <v>13</v>
      </c>
      <c r="BJ156" t="s">
        <v>2914</v>
      </c>
      <c r="BK156" t="s">
        <v>283</v>
      </c>
      <c r="BL156" t="s">
        <v>2915</v>
      </c>
      <c r="BM156" t="s">
        <v>2916</v>
      </c>
      <c r="BN156" t="s">
        <v>74</v>
      </c>
      <c r="BO156" t="s">
        <v>74</v>
      </c>
      <c r="BP156" t="s">
        <v>74</v>
      </c>
      <c r="BQ156" t="s">
        <v>74</v>
      </c>
      <c r="BR156" t="s">
        <v>97</v>
      </c>
      <c r="BS156" t="s">
        <v>2917</v>
      </c>
      <c r="BT156" t="str">
        <f>HYPERLINK("https%3A%2F%2Fwww.webofscience.com%2Fwos%2Fwoscc%2Ffull-record%2FWOS:000277585000004","View Full Record in Web of Science")</f>
        <v>View Full Record in Web of Science</v>
      </c>
    </row>
    <row r="157" spans="1:72" x14ac:dyDescent="0.25">
      <c r="A157" t="s">
        <v>72</v>
      </c>
      <c r="B157" t="s">
        <v>2918</v>
      </c>
      <c r="C157" t="s">
        <v>74</v>
      </c>
      <c r="D157" t="s">
        <v>74</v>
      </c>
      <c r="E157" t="s">
        <v>74</v>
      </c>
      <c r="F157" t="s">
        <v>2919</v>
      </c>
      <c r="G157" t="s">
        <v>74</v>
      </c>
      <c r="H157" t="s">
        <v>74</v>
      </c>
      <c r="I157" t="s">
        <v>2920</v>
      </c>
      <c r="J157" t="s">
        <v>485</v>
      </c>
      <c r="K157" t="s">
        <v>74</v>
      </c>
      <c r="L157" t="s">
        <v>74</v>
      </c>
      <c r="M157" t="s">
        <v>77</v>
      </c>
      <c r="N157" t="s">
        <v>78</v>
      </c>
      <c r="O157" t="s">
        <v>74</v>
      </c>
      <c r="P157" t="s">
        <v>74</v>
      </c>
      <c r="Q157" t="s">
        <v>74</v>
      </c>
      <c r="R157" t="s">
        <v>74</v>
      </c>
      <c r="S157" t="s">
        <v>74</v>
      </c>
      <c r="T157" t="s">
        <v>74</v>
      </c>
      <c r="U157" t="s">
        <v>2921</v>
      </c>
      <c r="V157" t="s">
        <v>2922</v>
      </c>
      <c r="W157" t="s">
        <v>2923</v>
      </c>
      <c r="X157" t="s">
        <v>2924</v>
      </c>
      <c r="Y157" t="s">
        <v>2925</v>
      </c>
      <c r="Z157" t="s">
        <v>2926</v>
      </c>
      <c r="AA157" t="s">
        <v>2927</v>
      </c>
      <c r="AB157" t="s">
        <v>2928</v>
      </c>
      <c r="AC157" t="s">
        <v>74</v>
      </c>
      <c r="AD157" t="s">
        <v>74</v>
      </c>
      <c r="AE157" t="s">
        <v>74</v>
      </c>
      <c r="AF157" t="s">
        <v>74</v>
      </c>
      <c r="AG157">
        <v>15</v>
      </c>
      <c r="AH157">
        <v>57</v>
      </c>
      <c r="AI157">
        <v>58</v>
      </c>
      <c r="AJ157">
        <v>1</v>
      </c>
      <c r="AK157">
        <v>29</v>
      </c>
      <c r="AL157" t="s">
        <v>786</v>
      </c>
      <c r="AM157" t="s">
        <v>787</v>
      </c>
      <c r="AN157" t="s">
        <v>788</v>
      </c>
      <c r="AO157" t="s">
        <v>493</v>
      </c>
      <c r="AP157" t="s">
        <v>74</v>
      </c>
      <c r="AQ157" t="s">
        <v>74</v>
      </c>
      <c r="AR157" t="s">
        <v>494</v>
      </c>
      <c r="AS157" t="s">
        <v>495</v>
      </c>
      <c r="AT157" t="s">
        <v>91</v>
      </c>
      <c r="AU157">
        <v>2008</v>
      </c>
      <c r="AV157">
        <v>81</v>
      </c>
      <c r="AW157" t="s">
        <v>74</v>
      </c>
      <c r="AX157">
        <v>2</v>
      </c>
      <c r="AY157" t="s">
        <v>74</v>
      </c>
      <c r="AZ157" t="s">
        <v>74</v>
      </c>
      <c r="BA157" t="s">
        <v>74</v>
      </c>
      <c r="BB157">
        <v>241</v>
      </c>
      <c r="BC157">
        <v>248</v>
      </c>
      <c r="BD157" t="s">
        <v>74</v>
      </c>
      <c r="BE157" t="s">
        <v>2929</v>
      </c>
      <c r="BF157" t="str">
        <f>HYPERLINK("http://dx.doi.org/10.1348/096317907X216658","http://dx.doi.org/10.1348/096317907X216658")</f>
        <v>http://dx.doi.org/10.1348/096317907X216658</v>
      </c>
      <c r="BG157" t="s">
        <v>74</v>
      </c>
      <c r="BH157" t="s">
        <v>74</v>
      </c>
      <c r="BI157">
        <v>8</v>
      </c>
      <c r="BJ157" t="s">
        <v>202</v>
      </c>
      <c r="BK157" t="s">
        <v>94</v>
      </c>
      <c r="BL157" t="s">
        <v>203</v>
      </c>
      <c r="BM157" t="s">
        <v>2930</v>
      </c>
      <c r="BN157" t="s">
        <v>74</v>
      </c>
      <c r="BO157" t="s">
        <v>74</v>
      </c>
      <c r="BP157" t="s">
        <v>74</v>
      </c>
      <c r="BQ157" t="s">
        <v>74</v>
      </c>
      <c r="BR157" t="s">
        <v>97</v>
      </c>
      <c r="BS157" t="s">
        <v>2931</v>
      </c>
      <c r="BT157" t="str">
        <f>HYPERLINK("https%3A%2F%2Fwww.webofscience.com%2Fwos%2Fwoscc%2Ffull-record%2FWOS:000256808000004","View Full Record in Web of Science")</f>
        <v>View Full Record in Web of Science</v>
      </c>
    </row>
    <row r="158" spans="1:72" x14ac:dyDescent="0.25">
      <c r="A158" t="s">
        <v>72</v>
      </c>
      <c r="B158" t="s">
        <v>2932</v>
      </c>
      <c r="C158" t="s">
        <v>74</v>
      </c>
      <c r="D158" t="s">
        <v>74</v>
      </c>
      <c r="E158" t="s">
        <v>74</v>
      </c>
      <c r="F158" t="s">
        <v>2933</v>
      </c>
      <c r="G158" t="s">
        <v>74</v>
      </c>
      <c r="H158" t="s">
        <v>74</v>
      </c>
      <c r="I158" t="s">
        <v>2934</v>
      </c>
      <c r="J158" t="s">
        <v>1600</v>
      </c>
      <c r="K158" t="s">
        <v>74</v>
      </c>
      <c r="L158" t="s">
        <v>74</v>
      </c>
      <c r="M158" t="s">
        <v>77</v>
      </c>
      <c r="N158" t="s">
        <v>78</v>
      </c>
      <c r="O158" t="s">
        <v>74</v>
      </c>
      <c r="P158" t="s">
        <v>74</v>
      </c>
      <c r="Q158" t="s">
        <v>74</v>
      </c>
      <c r="R158" t="s">
        <v>74</v>
      </c>
      <c r="S158" t="s">
        <v>74</v>
      </c>
      <c r="T158" t="s">
        <v>2935</v>
      </c>
      <c r="U158" t="s">
        <v>2936</v>
      </c>
      <c r="V158" t="s">
        <v>2937</v>
      </c>
      <c r="W158" t="s">
        <v>2938</v>
      </c>
      <c r="X158" t="s">
        <v>2939</v>
      </c>
      <c r="Y158" t="s">
        <v>826</v>
      </c>
      <c r="Z158" t="s">
        <v>2940</v>
      </c>
      <c r="AA158" t="s">
        <v>2941</v>
      </c>
      <c r="AB158" t="s">
        <v>1554</v>
      </c>
      <c r="AC158" t="s">
        <v>74</v>
      </c>
      <c r="AD158" t="s">
        <v>74</v>
      </c>
      <c r="AE158" t="s">
        <v>74</v>
      </c>
      <c r="AF158" t="s">
        <v>74</v>
      </c>
      <c r="AG158">
        <v>80</v>
      </c>
      <c r="AH158">
        <v>56</v>
      </c>
      <c r="AI158">
        <v>57</v>
      </c>
      <c r="AJ158">
        <v>13</v>
      </c>
      <c r="AK158">
        <v>101</v>
      </c>
      <c r="AL158" t="s">
        <v>1099</v>
      </c>
      <c r="AM158" t="s">
        <v>305</v>
      </c>
      <c r="AN158" t="s">
        <v>1100</v>
      </c>
      <c r="AO158" t="s">
        <v>1610</v>
      </c>
      <c r="AP158" t="s">
        <v>1611</v>
      </c>
      <c r="AQ158" t="s">
        <v>74</v>
      </c>
      <c r="AR158" t="s">
        <v>1612</v>
      </c>
      <c r="AS158" t="s">
        <v>1613</v>
      </c>
      <c r="AT158" t="s">
        <v>2942</v>
      </c>
      <c r="AU158">
        <v>2018</v>
      </c>
      <c r="AV158">
        <v>29</v>
      </c>
      <c r="AW158">
        <v>20</v>
      </c>
      <c r="AX158" t="s">
        <v>74</v>
      </c>
      <c r="AY158" t="s">
        <v>74</v>
      </c>
      <c r="AZ158" t="s">
        <v>860</v>
      </c>
      <c r="BA158" t="s">
        <v>74</v>
      </c>
      <c r="BB158">
        <v>2905</v>
      </c>
      <c r="BC158">
        <v>2926</v>
      </c>
      <c r="BD158" t="s">
        <v>74</v>
      </c>
      <c r="BE158" t="s">
        <v>2943</v>
      </c>
      <c r="BF158" t="str">
        <f>HYPERLINK("http://dx.doi.org/10.1080/09585192.2017.1359792","http://dx.doi.org/10.1080/09585192.2017.1359792")</f>
        <v>http://dx.doi.org/10.1080/09585192.2017.1359792</v>
      </c>
      <c r="BG158" t="s">
        <v>74</v>
      </c>
      <c r="BH158" t="s">
        <v>74</v>
      </c>
      <c r="BI158">
        <v>22</v>
      </c>
      <c r="BJ158" t="s">
        <v>442</v>
      </c>
      <c r="BK158" t="s">
        <v>94</v>
      </c>
      <c r="BL158" t="s">
        <v>95</v>
      </c>
      <c r="BM158" t="s">
        <v>2944</v>
      </c>
      <c r="BN158" t="s">
        <v>74</v>
      </c>
      <c r="BO158" t="s">
        <v>378</v>
      </c>
      <c r="BP158" t="s">
        <v>74</v>
      </c>
      <c r="BQ158" t="s">
        <v>74</v>
      </c>
      <c r="BR158" t="s">
        <v>97</v>
      </c>
      <c r="BS158" t="s">
        <v>2945</v>
      </c>
      <c r="BT158" t="str">
        <f>HYPERLINK("https%3A%2F%2Fwww.webofscience.com%2Fwos%2Fwoscc%2Ffull-record%2FWOS:000456813900004","View Full Record in Web of Science")</f>
        <v>View Full Record in Web of Science</v>
      </c>
    </row>
    <row r="159" spans="1:72" x14ac:dyDescent="0.25">
      <c r="A159" t="s">
        <v>72</v>
      </c>
      <c r="B159" t="s">
        <v>2946</v>
      </c>
      <c r="C159" t="s">
        <v>74</v>
      </c>
      <c r="D159" t="s">
        <v>74</v>
      </c>
      <c r="E159" t="s">
        <v>74</v>
      </c>
      <c r="F159" t="s">
        <v>2947</v>
      </c>
      <c r="G159" t="s">
        <v>74</v>
      </c>
      <c r="H159" t="s">
        <v>74</v>
      </c>
      <c r="I159" t="s">
        <v>2948</v>
      </c>
      <c r="J159" t="s">
        <v>616</v>
      </c>
      <c r="K159" t="s">
        <v>74</v>
      </c>
      <c r="L159" t="s">
        <v>74</v>
      </c>
      <c r="M159" t="s">
        <v>77</v>
      </c>
      <c r="N159" t="s">
        <v>78</v>
      </c>
      <c r="O159" t="s">
        <v>74</v>
      </c>
      <c r="P159" t="s">
        <v>74</v>
      </c>
      <c r="Q159" t="s">
        <v>74</v>
      </c>
      <c r="R159" t="s">
        <v>74</v>
      </c>
      <c r="S159" t="s">
        <v>74</v>
      </c>
      <c r="T159" t="s">
        <v>2949</v>
      </c>
      <c r="U159" t="s">
        <v>2950</v>
      </c>
      <c r="V159" t="s">
        <v>2951</v>
      </c>
      <c r="W159" t="s">
        <v>2952</v>
      </c>
      <c r="X159" t="s">
        <v>2953</v>
      </c>
      <c r="Y159" t="s">
        <v>2954</v>
      </c>
      <c r="Z159" t="s">
        <v>2955</v>
      </c>
      <c r="AA159" t="s">
        <v>2956</v>
      </c>
      <c r="AB159" t="s">
        <v>2957</v>
      </c>
      <c r="AC159" t="s">
        <v>74</v>
      </c>
      <c r="AD159" t="s">
        <v>74</v>
      </c>
      <c r="AE159" t="s">
        <v>74</v>
      </c>
      <c r="AF159" t="s">
        <v>74</v>
      </c>
      <c r="AG159">
        <v>77</v>
      </c>
      <c r="AH159">
        <v>56</v>
      </c>
      <c r="AI159">
        <v>56</v>
      </c>
      <c r="AJ159">
        <v>9</v>
      </c>
      <c r="AK159">
        <v>83</v>
      </c>
      <c r="AL159" t="s">
        <v>602</v>
      </c>
      <c r="AM159" t="s">
        <v>160</v>
      </c>
      <c r="AN159" t="s">
        <v>603</v>
      </c>
      <c r="AO159" t="s">
        <v>625</v>
      </c>
      <c r="AP159" t="s">
        <v>626</v>
      </c>
      <c r="AQ159" t="s">
        <v>74</v>
      </c>
      <c r="AR159" t="s">
        <v>627</v>
      </c>
      <c r="AS159" t="s">
        <v>628</v>
      </c>
      <c r="AT159" t="s">
        <v>792</v>
      </c>
      <c r="AU159">
        <v>2016</v>
      </c>
      <c r="AV159">
        <v>56</v>
      </c>
      <c r="AW159" t="s">
        <v>74</v>
      </c>
      <c r="AX159" t="s">
        <v>74</v>
      </c>
      <c r="AY159" t="s">
        <v>74</v>
      </c>
      <c r="AZ159" t="s">
        <v>74</v>
      </c>
      <c r="BA159" t="s">
        <v>74</v>
      </c>
      <c r="BB159">
        <v>87</v>
      </c>
      <c r="BC159">
        <v>97</v>
      </c>
      <c r="BD159" t="s">
        <v>74</v>
      </c>
      <c r="BE159" t="s">
        <v>2958</v>
      </c>
      <c r="BF159" t="str">
        <f>HYPERLINK("http://dx.doi.org/10.1016/j.ijhm.2016.04.015","http://dx.doi.org/10.1016/j.ijhm.2016.04.015")</f>
        <v>http://dx.doi.org/10.1016/j.ijhm.2016.04.015</v>
      </c>
      <c r="BG159" t="s">
        <v>74</v>
      </c>
      <c r="BH159" t="s">
        <v>74</v>
      </c>
      <c r="BI159">
        <v>11</v>
      </c>
      <c r="BJ159" t="s">
        <v>630</v>
      </c>
      <c r="BK159" t="s">
        <v>94</v>
      </c>
      <c r="BL159" t="s">
        <v>631</v>
      </c>
      <c r="BM159" t="s">
        <v>2959</v>
      </c>
      <c r="BN159" t="s">
        <v>74</v>
      </c>
      <c r="BO159" t="s">
        <v>378</v>
      </c>
      <c r="BP159" t="s">
        <v>74</v>
      </c>
      <c r="BQ159" t="s">
        <v>74</v>
      </c>
      <c r="BR159" t="s">
        <v>97</v>
      </c>
      <c r="BS159" t="s">
        <v>2960</v>
      </c>
      <c r="BT159" t="str">
        <f>HYPERLINK("https%3A%2F%2Fwww.webofscience.com%2Fwos%2Fwoscc%2Ffull-record%2FWOS:000379376200010","View Full Record in Web of Science")</f>
        <v>View Full Record in Web of Science</v>
      </c>
    </row>
    <row r="160" spans="1:72" x14ac:dyDescent="0.25">
      <c r="A160" t="s">
        <v>72</v>
      </c>
      <c r="B160" t="s">
        <v>2961</v>
      </c>
      <c r="C160" t="s">
        <v>74</v>
      </c>
      <c r="D160" t="s">
        <v>74</v>
      </c>
      <c r="E160" t="s">
        <v>74</v>
      </c>
      <c r="F160" t="s">
        <v>2962</v>
      </c>
      <c r="G160" t="s">
        <v>74</v>
      </c>
      <c r="H160" t="s">
        <v>74</v>
      </c>
      <c r="I160" t="s">
        <v>2963</v>
      </c>
      <c r="J160" t="s">
        <v>1692</v>
      </c>
      <c r="K160" t="s">
        <v>74</v>
      </c>
      <c r="L160" t="s">
        <v>74</v>
      </c>
      <c r="M160" t="s">
        <v>77</v>
      </c>
      <c r="N160" t="s">
        <v>78</v>
      </c>
      <c r="O160" t="s">
        <v>74</v>
      </c>
      <c r="P160" t="s">
        <v>74</v>
      </c>
      <c r="Q160" t="s">
        <v>74</v>
      </c>
      <c r="R160" t="s">
        <v>74</v>
      </c>
      <c r="S160" t="s">
        <v>74</v>
      </c>
      <c r="T160" t="s">
        <v>74</v>
      </c>
      <c r="U160" t="s">
        <v>2964</v>
      </c>
      <c r="V160" t="s">
        <v>2965</v>
      </c>
      <c r="W160" t="s">
        <v>2966</v>
      </c>
      <c r="X160" t="s">
        <v>2967</v>
      </c>
      <c r="Y160" t="s">
        <v>2968</v>
      </c>
      <c r="Z160" t="s">
        <v>2969</v>
      </c>
      <c r="AA160" t="s">
        <v>74</v>
      </c>
      <c r="AB160" t="s">
        <v>74</v>
      </c>
      <c r="AC160" t="s">
        <v>74</v>
      </c>
      <c r="AD160" t="s">
        <v>74</v>
      </c>
      <c r="AE160" t="s">
        <v>74</v>
      </c>
      <c r="AF160" t="s">
        <v>74</v>
      </c>
      <c r="AG160">
        <v>122</v>
      </c>
      <c r="AH160">
        <v>56</v>
      </c>
      <c r="AI160">
        <v>56</v>
      </c>
      <c r="AJ160">
        <v>10</v>
      </c>
      <c r="AK160">
        <v>23</v>
      </c>
      <c r="AL160" t="s">
        <v>350</v>
      </c>
      <c r="AM160" t="s">
        <v>351</v>
      </c>
      <c r="AN160" t="s">
        <v>352</v>
      </c>
      <c r="AO160" t="s">
        <v>1701</v>
      </c>
      <c r="AP160" t="s">
        <v>1702</v>
      </c>
      <c r="AQ160" t="s">
        <v>74</v>
      </c>
      <c r="AR160" t="s">
        <v>1703</v>
      </c>
      <c r="AS160" t="s">
        <v>1704</v>
      </c>
      <c r="AT160" t="s">
        <v>165</v>
      </c>
      <c r="AU160">
        <v>2016</v>
      </c>
      <c r="AV160">
        <v>40</v>
      </c>
      <c r="AW160">
        <v>3</v>
      </c>
      <c r="AX160" t="s">
        <v>74</v>
      </c>
      <c r="AY160" t="s">
        <v>74</v>
      </c>
      <c r="AZ160" t="s">
        <v>74</v>
      </c>
      <c r="BA160" t="s">
        <v>74</v>
      </c>
      <c r="BB160">
        <v>515</v>
      </c>
      <c r="BC160">
        <v>542</v>
      </c>
      <c r="BD160" t="s">
        <v>74</v>
      </c>
      <c r="BE160" t="s">
        <v>2970</v>
      </c>
      <c r="BF160" t="str">
        <f>HYPERLINK("http://dx.doi.org/10.1111/etap.12121","http://dx.doi.org/10.1111/etap.12121")</f>
        <v>http://dx.doi.org/10.1111/etap.12121</v>
      </c>
      <c r="BG160" t="s">
        <v>74</v>
      </c>
      <c r="BH160" t="s">
        <v>74</v>
      </c>
      <c r="BI160">
        <v>28</v>
      </c>
      <c r="BJ160" t="s">
        <v>337</v>
      </c>
      <c r="BK160" t="s">
        <v>94</v>
      </c>
      <c r="BL160" t="s">
        <v>95</v>
      </c>
      <c r="BM160" t="s">
        <v>2971</v>
      </c>
      <c r="BN160" t="s">
        <v>74</v>
      </c>
      <c r="BO160" t="s">
        <v>378</v>
      </c>
      <c r="BP160" t="s">
        <v>74</v>
      </c>
      <c r="BQ160" t="s">
        <v>74</v>
      </c>
      <c r="BR160" t="s">
        <v>97</v>
      </c>
      <c r="BS160" t="s">
        <v>2972</v>
      </c>
      <c r="BT160" t="str">
        <f>HYPERLINK("https%3A%2F%2Fwww.webofscience.com%2Fwos%2Fwoscc%2Ffull-record%2FWOS:000380014100004","View Full Record in Web of Science")</f>
        <v>View Full Record in Web of Science</v>
      </c>
    </row>
    <row r="161" spans="1:72" x14ac:dyDescent="0.25">
      <c r="A161" t="s">
        <v>72</v>
      </c>
      <c r="B161" t="s">
        <v>916</v>
      </c>
      <c r="C161" t="s">
        <v>74</v>
      </c>
      <c r="D161" t="s">
        <v>74</v>
      </c>
      <c r="E161" t="s">
        <v>74</v>
      </c>
      <c r="F161" t="s">
        <v>917</v>
      </c>
      <c r="G161" t="s">
        <v>74</v>
      </c>
      <c r="H161" t="s">
        <v>74</v>
      </c>
      <c r="I161" t="s">
        <v>2973</v>
      </c>
      <c r="J161" t="s">
        <v>616</v>
      </c>
      <c r="K161" t="s">
        <v>74</v>
      </c>
      <c r="L161" t="s">
        <v>74</v>
      </c>
      <c r="M161" t="s">
        <v>77</v>
      </c>
      <c r="N161" t="s">
        <v>78</v>
      </c>
      <c r="O161" t="s">
        <v>74</v>
      </c>
      <c r="P161" t="s">
        <v>74</v>
      </c>
      <c r="Q161" t="s">
        <v>74</v>
      </c>
      <c r="R161" t="s">
        <v>74</v>
      </c>
      <c r="S161" t="s">
        <v>74</v>
      </c>
      <c r="T161" t="s">
        <v>2974</v>
      </c>
      <c r="U161" t="s">
        <v>2975</v>
      </c>
      <c r="V161" t="s">
        <v>2976</v>
      </c>
      <c r="W161" t="s">
        <v>2977</v>
      </c>
      <c r="X161" t="s">
        <v>923</v>
      </c>
      <c r="Y161" t="s">
        <v>2978</v>
      </c>
      <c r="Z161" t="s">
        <v>925</v>
      </c>
      <c r="AA161" t="s">
        <v>74</v>
      </c>
      <c r="AB161" t="s">
        <v>74</v>
      </c>
      <c r="AC161" t="s">
        <v>74</v>
      </c>
      <c r="AD161" t="s">
        <v>74</v>
      </c>
      <c r="AE161" t="s">
        <v>74</v>
      </c>
      <c r="AF161" t="s">
        <v>74</v>
      </c>
      <c r="AG161">
        <v>84</v>
      </c>
      <c r="AH161">
        <v>56</v>
      </c>
      <c r="AI161">
        <v>59</v>
      </c>
      <c r="AJ161">
        <v>6</v>
      </c>
      <c r="AK161">
        <v>76</v>
      </c>
      <c r="AL161" t="s">
        <v>602</v>
      </c>
      <c r="AM161" t="s">
        <v>160</v>
      </c>
      <c r="AN161" t="s">
        <v>603</v>
      </c>
      <c r="AO161" t="s">
        <v>625</v>
      </c>
      <c r="AP161" t="s">
        <v>626</v>
      </c>
      <c r="AQ161" t="s">
        <v>74</v>
      </c>
      <c r="AR161" t="s">
        <v>627</v>
      </c>
      <c r="AS161" t="s">
        <v>628</v>
      </c>
      <c r="AT161" t="s">
        <v>256</v>
      </c>
      <c r="AU161">
        <v>2015</v>
      </c>
      <c r="AV161">
        <v>51</v>
      </c>
      <c r="AW161" t="s">
        <v>74</v>
      </c>
      <c r="AX161" t="s">
        <v>74</v>
      </c>
      <c r="AY161" t="s">
        <v>74</v>
      </c>
      <c r="AZ161" t="s">
        <v>74</v>
      </c>
      <c r="BA161" t="s">
        <v>74</v>
      </c>
      <c r="BB161">
        <v>67</v>
      </c>
      <c r="BC161">
        <v>75</v>
      </c>
      <c r="BD161" t="s">
        <v>74</v>
      </c>
      <c r="BE161" t="s">
        <v>2979</v>
      </c>
      <c r="BF161" t="str">
        <f>HYPERLINK("http://dx.doi.org/10.1016/j.ijhm.2015.09.002","http://dx.doi.org/10.1016/j.ijhm.2015.09.002")</f>
        <v>http://dx.doi.org/10.1016/j.ijhm.2015.09.002</v>
      </c>
      <c r="BG161" t="s">
        <v>74</v>
      </c>
      <c r="BH161" t="s">
        <v>74</v>
      </c>
      <c r="BI161">
        <v>9</v>
      </c>
      <c r="BJ161" t="s">
        <v>630</v>
      </c>
      <c r="BK161" t="s">
        <v>94</v>
      </c>
      <c r="BL161" t="s">
        <v>631</v>
      </c>
      <c r="BM161" t="s">
        <v>2980</v>
      </c>
      <c r="BN161" t="s">
        <v>74</v>
      </c>
      <c r="BO161" t="s">
        <v>74</v>
      </c>
      <c r="BP161" t="s">
        <v>74</v>
      </c>
      <c r="BQ161" t="s">
        <v>74</v>
      </c>
      <c r="BR161" t="s">
        <v>97</v>
      </c>
      <c r="BS161" t="s">
        <v>2981</v>
      </c>
      <c r="BT161" t="str">
        <f>HYPERLINK("https%3A%2F%2Fwww.webofscience.com%2Fwos%2Fwoscc%2Ffull-record%2FWOS:000364608100008","View Full Record in Web of Science")</f>
        <v>View Full Record in Web of Science</v>
      </c>
    </row>
    <row r="162" spans="1:72" x14ac:dyDescent="0.25">
      <c r="A162" t="s">
        <v>72</v>
      </c>
      <c r="B162" t="s">
        <v>2982</v>
      </c>
      <c r="C162" t="s">
        <v>74</v>
      </c>
      <c r="D162" t="s">
        <v>74</v>
      </c>
      <c r="E162" t="s">
        <v>74</v>
      </c>
      <c r="F162" t="s">
        <v>2983</v>
      </c>
      <c r="G162" t="s">
        <v>74</v>
      </c>
      <c r="H162" t="s">
        <v>74</v>
      </c>
      <c r="I162" t="s">
        <v>2984</v>
      </c>
      <c r="J162" t="s">
        <v>2985</v>
      </c>
      <c r="K162" t="s">
        <v>74</v>
      </c>
      <c r="L162" t="s">
        <v>74</v>
      </c>
      <c r="M162" t="s">
        <v>77</v>
      </c>
      <c r="N162" t="s">
        <v>78</v>
      </c>
      <c r="O162" t="s">
        <v>74</v>
      </c>
      <c r="P162" t="s">
        <v>74</v>
      </c>
      <c r="Q162" t="s">
        <v>74</v>
      </c>
      <c r="R162" t="s">
        <v>74</v>
      </c>
      <c r="S162" t="s">
        <v>74</v>
      </c>
      <c r="T162" t="s">
        <v>74</v>
      </c>
      <c r="U162" t="s">
        <v>2986</v>
      </c>
      <c r="V162" t="s">
        <v>2987</v>
      </c>
      <c r="W162" t="s">
        <v>2988</v>
      </c>
      <c r="X162" t="s">
        <v>2989</v>
      </c>
      <c r="Y162" t="s">
        <v>2990</v>
      </c>
      <c r="Z162" t="s">
        <v>2991</v>
      </c>
      <c r="AA162" t="s">
        <v>74</v>
      </c>
      <c r="AB162" t="s">
        <v>74</v>
      </c>
      <c r="AC162" t="s">
        <v>2992</v>
      </c>
      <c r="AD162" t="s">
        <v>2993</v>
      </c>
      <c r="AE162" t="s">
        <v>74</v>
      </c>
      <c r="AF162" t="s">
        <v>74</v>
      </c>
      <c r="AG162">
        <v>39</v>
      </c>
      <c r="AH162">
        <v>56</v>
      </c>
      <c r="AI162">
        <v>57</v>
      </c>
      <c r="AJ162">
        <v>0</v>
      </c>
      <c r="AK162">
        <v>4</v>
      </c>
      <c r="AL162" t="s">
        <v>329</v>
      </c>
      <c r="AM162" t="s">
        <v>330</v>
      </c>
      <c r="AN162" t="s">
        <v>730</v>
      </c>
      <c r="AO162" t="s">
        <v>2994</v>
      </c>
      <c r="AP162" t="s">
        <v>74</v>
      </c>
      <c r="AQ162" t="s">
        <v>74</v>
      </c>
      <c r="AR162" t="s">
        <v>2995</v>
      </c>
      <c r="AS162" t="s">
        <v>2996</v>
      </c>
      <c r="AT162" t="s">
        <v>392</v>
      </c>
      <c r="AU162">
        <v>2006</v>
      </c>
      <c r="AV162">
        <v>31</v>
      </c>
      <c r="AW162">
        <v>2</v>
      </c>
      <c r="AX162" t="s">
        <v>74</v>
      </c>
      <c r="AY162" t="s">
        <v>74</v>
      </c>
      <c r="AZ162" t="s">
        <v>74</v>
      </c>
      <c r="BA162" t="s">
        <v>74</v>
      </c>
      <c r="BB162">
        <v>159</v>
      </c>
      <c r="BC162">
        <v>166</v>
      </c>
      <c r="BD162" t="s">
        <v>74</v>
      </c>
      <c r="BE162" t="s">
        <v>2997</v>
      </c>
      <c r="BF162" t="str">
        <f>HYPERLINK("http://dx.doi.org/10.1016/j.amepre.2006.04.001","http://dx.doi.org/10.1016/j.amepre.2006.04.001")</f>
        <v>http://dx.doi.org/10.1016/j.amepre.2006.04.001</v>
      </c>
      <c r="BG162" t="s">
        <v>74</v>
      </c>
      <c r="BH162" t="s">
        <v>74</v>
      </c>
      <c r="BI162">
        <v>8</v>
      </c>
      <c r="BJ162" t="s">
        <v>2998</v>
      </c>
      <c r="BK162" t="s">
        <v>147</v>
      </c>
      <c r="BL162" t="s">
        <v>2999</v>
      </c>
      <c r="BM162" t="s">
        <v>3000</v>
      </c>
      <c r="BN162">
        <v>16829333</v>
      </c>
      <c r="BO162" t="s">
        <v>74</v>
      </c>
      <c r="BP162" t="s">
        <v>74</v>
      </c>
      <c r="BQ162" t="s">
        <v>74</v>
      </c>
      <c r="BR162" t="s">
        <v>97</v>
      </c>
      <c r="BS162" t="s">
        <v>3001</v>
      </c>
      <c r="BT162" t="str">
        <f>HYPERLINK("https%3A%2F%2Fwww.webofscience.com%2Fwos%2Fwoscc%2Ffull-record%2FWOS:000239185600007","View Full Record in Web of Science")</f>
        <v>View Full Record in Web of Science</v>
      </c>
    </row>
    <row r="163" spans="1:72" x14ac:dyDescent="0.25">
      <c r="A163" t="s">
        <v>72</v>
      </c>
      <c r="B163" t="s">
        <v>3002</v>
      </c>
      <c r="C163" t="s">
        <v>74</v>
      </c>
      <c r="D163" t="s">
        <v>74</v>
      </c>
      <c r="E163" t="s">
        <v>74</v>
      </c>
      <c r="F163" t="s">
        <v>3003</v>
      </c>
      <c r="G163" t="s">
        <v>74</v>
      </c>
      <c r="H163" t="s">
        <v>74</v>
      </c>
      <c r="I163" t="s">
        <v>3004</v>
      </c>
      <c r="J163" t="s">
        <v>3005</v>
      </c>
      <c r="K163" t="s">
        <v>74</v>
      </c>
      <c r="L163" t="s">
        <v>74</v>
      </c>
      <c r="M163" t="s">
        <v>77</v>
      </c>
      <c r="N163" t="s">
        <v>78</v>
      </c>
      <c r="O163" t="s">
        <v>74</v>
      </c>
      <c r="P163" t="s">
        <v>74</v>
      </c>
      <c r="Q163" t="s">
        <v>74</v>
      </c>
      <c r="R163" t="s">
        <v>74</v>
      </c>
      <c r="S163" t="s">
        <v>74</v>
      </c>
      <c r="T163" t="s">
        <v>74</v>
      </c>
      <c r="U163" t="s">
        <v>3006</v>
      </c>
      <c r="V163" t="s">
        <v>3007</v>
      </c>
      <c r="W163" t="s">
        <v>3008</v>
      </c>
      <c r="X163" t="s">
        <v>3009</v>
      </c>
      <c r="Y163" t="s">
        <v>3010</v>
      </c>
      <c r="Z163" t="s">
        <v>3011</v>
      </c>
      <c r="AA163" t="s">
        <v>3012</v>
      </c>
      <c r="AB163" t="s">
        <v>3013</v>
      </c>
      <c r="AC163" t="s">
        <v>74</v>
      </c>
      <c r="AD163" t="s">
        <v>74</v>
      </c>
      <c r="AE163" t="s">
        <v>74</v>
      </c>
      <c r="AF163" t="s">
        <v>74</v>
      </c>
      <c r="AG163">
        <v>100</v>
      </c>
      <c r="AH163">
        <v>55</v>
      </c>
      <c r="AI163">
        <v>55</v>
      </c>
      <c r="AJ163">
        <v>7</v>
      </c>
      <c r="AK163">
        <v>70</v>
      </c>
      <c r="AL163" t="s">
        <v>3014</v>
      </c>
      <c r="AM163" t="s">
        <v>139</v>
      </c>
      <c r="AN163" t="s">
        <v>3015</v>
      </c>
      <c r="AO163" t="s">
        <v>3016</v>
      </c>
      <c r="AP163" t="s">
        <v>3017</v>
      </c>
      <c r="AQ163" t="s">
        <v>74</v>
      </c>
      <c r="AR163" t="s">
        <v>3018</v>
      </c>
      <c r="AS163" t="s">
        <v>3019</v>
      </c>
      <c r="AT163" t="s">
        <v>892</v>
      </c>
      <c r="AU163">
        <v>2017</v>
      </c>
      <c r="AV163">
        <v>55</v>
      </c>
      <c r="AW163">
        <v>1</v>
      </c>
      <c r="AX163" t="s">
        <v>74</v>
      </c>
      <c r="AY163" t="s">
        <v>74</v>
      </c>
      <c r="AZ163" t="s">
        <v>74</v>
      </c>
      <c r="BA163" t="s">
        <v>74</v>
      </c>
      <c r="BB163">
        <v>128</v>
      </c>
      <c r="BC163">
        <v>148</v>
      </c>
      <c r="BD163" t="s">
        <v>74</v>
      </c>
      <c r="BE163" t="s">
        <v>3020</v>
      </c>
      <c r="BF163" t="str">
        <f>HYPERLINK("http://dx.doi.org/10.1111/jsbm.12241","http://dx.doi.org/10.1111/jsbm.12241")</f>
        <v>http://dx.doi.org/10.1111/jsbm.12241</v>
      </c>
      <c r="BG163" t="s">
        <v>74</v>
      </c>
      <c r="BH163" t="s">
        <v>74</v>
      </c>
      <c r="BI163">
        <v>21</v>
      </c>
      <c r="BJ163" t="s">
        <v>442</v>
      </c>
      <c r="BK163" t="s">
        <v>94</v>
      </c>
      <c r="BL163" t="s">
        <v>95</v>
      </c>
      <c r="BM163" t="s">
        <v>3021</v>
      </c>
      <c r="BN163" t="s">
        <v>74</v>
      </c>
      <c r="BO163" t="s">
        <v>3022</v>
      </c>
      <c r="BP163" t="s">
        <v>74</v>
      </c>
      <c r="BQ163" t="s">
        <v>74</v>
      </c>
      <c r="BR163" t="s">
        <v>97</v>
      </c>
      <c r="BS163" t="s">
        <v>3023</v>
      </c>
      <c r="BT163" t="str">
        <f>HYPERLINK("https%3A%2F%2Fwww.webofscience.com%2Fwos%2Fwoscc%2Ffull-record%2FWOS:000392605200006","View Full Record in Web of Science")</f>
        <v>View Full Record in Web of Science</v>
      </c>
    </row>
    <row r="164" spans="1:72" x14ac:dyDescent="0.25">
      <c r="A164" t="s">
        <v>72</v>
      </c>
      <c r="B164" t="s">
        <v>3024</v>
      </c>
      <c r="C164" t="s">
        <v>74</v>
      </c>
      <c r="D164" t="s">
        <v>74</v>
      </c>
      <c r="E164" t="s">
        <v>74</v>
      </c>
      <c r="F164" t="s">
        <v>3025</v>
      </c>
      <c r="G164" t="s">
        <v>74</v>
      </c>
      <c r="H164" t="s">
        <v>74</v>
      </c>
      <c r="I164" t="s">
        <v>3026</v>
      </c>
      <c r="J164" t="s">
        <v>209</v>
      </c>
      <c r="K164" t="s">
        <v>74</v>
      </c>
      <c r="L164" t="s">
        <v>74</v>
      </c>
      <c r="M164" t="s">
        <v>77</v>
      </c>
      <c r="N164" t="s">
        <v>78</v>
      </c>
      <c r="O164" t="s">
        <v>74</v>
      </c>
      <c r="P164" t="s">
        <v>74</v>
      </c>
      <c r="Q164" t="s">
        <v>74</v>
      </c>
      <c r="R164" t="s">
        <v>74</v>
      </c>
      <c r="S164" t="s">
        <v>74</v>
      </c>
      <c r="T164" t="s">
        <v>3027</v>
      </c>
      <c r="U164" t="s">
        <v>3028</v>
      </c>
      <c r="V164" t="s">
        <v>3029</v>
      </c>
      <c r="W164" t="s">
        <v>3030</v>
      </c>
      <c r="X164" t="s">
        <v>3031</v>
      </c>
      <c r="Y164" t="s">
        <v>3032</v>
      </c>
      <c r="Z164" t="s">
        <v>3033</v>
      </c>
      <c r="AA164" t="s">
        <v>74</v>
      </c>
      <c r="AB164" t="s">
        <v>3034</v>
      </c>
      <c r="AC164" t="s">
        <v>74</v>
      </c>
      <c r="AD164" t="s">
        <v>74</v>
      </c>
      <c r="AE164" t="s">
        <v>74</v>
      </c>
      <c r="AF164" t="s">
        <v>74</v>
      </c>
      <c r="AG164">
        <v>63</v>
      </c>
      <c r="AH164">
        <v>55</v>
      </c>
      <c r="AI164">
        <v>57</v>
      </c>
      <c r="AJ164">
        <v>9</v>
      </c>
      <c r="AK164">
        <v>196</v>
      </c>
      <c r="AL164" t="s">
        <v>786</v>
      </c>
      <c r="AM164" t="s">
        <v>219</v>
      </c>
      <c r="AN164" t="s">
        <v>220</v>
      </c>
      <c r="AO164" t="s">
        <v>221</v>
      </c>
      <c r="AP164" t="s">
        <v>222</v>
      </c>
      <c r="AQ164" t="s">
        <v>74</v>
      </c>
      <c r="AR164" t="s">
        <v>223</v>
      </c>
      <c r="AS164" t="s">
        <v>224</v>
      </c>
      <c r="AT164" t="s">
        <v>584</v>
      </c>
      <c r="AU164">
        <v>2013</v>
      </c>
      <c r="AV164">
        <v>34</v>
      </c>
      <c r="AW164">
        <v>8</v>
      </c>
      <c r="AX164" t="s">
        <v>74</v>
      </c>
      <c r="AY164" t="s">
        <v>74</v>
      </c>
      <c r="AZ164" t="s">
        <v>74</v>
      </c>
      <c r="BA164" t="s">
        <v>74</v>
      </c>
      <c r="BB164">
        <v>1061</v>
      </c>
      <c r="BC164">
        <v>1075</v>
      </c>
      <c r="BD164" t="s">
        <v>74</v>
      </c>
      <c r="BE164" t="s">
        <v>3035</v>
      </c>
      <c r="BF164" t="str">
        <f>HYPERLINK("http://dx.doi.org/10.1002/job.1833","http://dx.doi.org/10.1002/job.1833")</f>
        <v>http://dx.doi.org/10.1002/job.1833</v>
      </c>
      <c r="BG164" t="s">
        <v>74</v>
      </c>
      <c r="BH164" t="s">
        <v>74</v>
      </c>
      <c r="BI164">
        <v>15</v>
      </c>
      <c r="BJ164" t="s">
        <v>226</v>
      </c>
      <c r="BK164" t="s">
        <v>94</v>
      </c>
      <c r="BL164" t="s">
        <v>227</v>
      </c>
      <c r="BM164" t="s">
        <v>3036</v>
      </c>
      <c r="BN164" t="s">
        <v>74</v>
      </c>
      <c r="BO164" t="s">
        <v>74</v>
      </c>
      <c r="BP164" t="s">
        <v>74</v>
      </c>
      <c r="BQ164" t="s">
        <v>74</v>
      </c>
      <c r="BR164" t="s">
        <v>97</v>
      </c>
      <c r="BS164" t="s">
        <v>3037</v>
      </c>
      <c r="BT164" t="str">
        <f>HYPERLINK("https%3A%2F%2Fwww.webofscience.com%2Fwos%2Fwoscc%2Ffull-record%2FWOS:000325933800001","View Full Record in Web of Science")</f>
        <v>View Full Record in Web of Science</v>
      </c>
    </row>
    <row r="165" spans="1:72" x14ac:dyDescent="0.25">
      <c r="A165" t="s">
        <v>72</v>
      </c>
      <c r="B165" t="s">
        <v>3038</v>
      </c>
      <c r="C165" t="s">
        <v>74</v>
      </c>
      <c r="D165" t="s">
        <v>74</v>
      </c>
      <c r="E165" t="s">
        <v>74</v>
      </c>
      <c r="F165" t="s">
        <v>3039</v>
      </c>
      <c r="G165" t="s">
        <v>74</v>
      </c>
      <c r="H165" t="s">
        <v>74</v>
      </c>
      <c r="I165" t="s">
        <v>3040</v>
      </c>
      <c r="J165" t="s">
        <v>447</v>
      </c>
      <c r="K165" t="s">
        <v>74</v>
      </c>
      <c r="L165" t="s">
        <v>74</v>
      </c>
      <c r="M165" t="s">
        <v>77</v>
      </c>
      <c r="N165" t="s">
        <v>78</v>
      </c>
      <c r="O165" t="s">
        <v>74</v>
      </c>
      <c r="P165" t="s">
        <v>74</v>
      </c>
      <c r="Q165" t="s">
        <v>74</v>
      </c>
      <c r="R165" t="s">
        <v>74</v>
      </c>
      <c r="S165" t="s">
        <v>74</v>
      </c>
      <c r="T165" t="s">
        <v>74</v>
      </c>
      <c r="U165" t="s">
        <v>3041</v>
      </c>
      <c r="V165" t="s">
        <v>3042</v>
      </c>
      <c r="W165" t="s">
        <v>3043</v>
      </c>
      <c r="X165" t="s">
        <v>3044</v>
      </c>
      <c r="Y165" t="s">
        <v>3045</v>
      </c>
      <c r="Z165" t="s">
        <v>3046</v>
      </c>
      <c r="AA165" t="s">
        <v>74</v>
      </c>
      <c r="AB165" t="s">
        <v>74</v>
      </c>
      <c r="AC165" t="s">
        <v>74</v>
      </c>
      <c r="AD165" t="s">
        <v>74</v>
      </c>
      <c r="AE165" t="s">
        <v>74</v>
      </c>
      <c r="AF165" t="s">
        <v>74</v>
      </c>
      <c r="AG165">
        <v>122</v>
      </c>
      <c r="AH165">
        <v>54</v>
      </c>
      <c r="AI165">
        <v>57</v>
      </c>
      <c r="AJ165">
        <v>14</v>
      </c>
      <c r="AK165">
        <v>145</v>
      </c>
      <c r="AL165" t="s">
        <v>218</v>
      </c>
      <c r="AM165" t="s">
        <v>219</v>
      </c>
      <c r="AN165" t="s">
        <v>220</v>
      </c>
      <c r="AO165" t="s">
        <v>453</v>
      </c>
      <c r="AP165" t="s">
        <v>454</v>
      </c>
      <c r="AQ165" t="s">
        <v>74</v>
      </c>
      <c r="AR165" t="s">
        <v>455</v>
      </c>
      <c r="AS165" t="s">
        <v>456</v>
      </c>
      <c r="AT165" t="s">
        <v>165</v>
      </c>
      <c r="AU165">
        <v>2017</v>
      </c>
      <c r="AV165">
        <v>47</v>
      </c>
      <c r="AW165">
        <v>5</v>
      </c>
      <c r="AX165" t="s">
        <v>74</v>
      </c>
      <c r="AY165" t="s">
        <v>74</v>
      </c>
      <c r="AZ165" t="s">
        <v>74</v>
      </c>
      <c r="BA165" t="s">
        <v>74</v>
      </c>
      <c r="BB165">
        <v>235</v>
      </c>
      <c r="BC165">
        <v>246</v>
      </c>
      <c r="BD165" t="s">
        <v>74</v>
      </c>
      <c r="BE165" t="s">
        <v>3047</v>
      </c>
      <c r="BF165" t="str">
        <f>HYPERLINK("http://dx.doi.org/10.1111/jasp.12431","http://dx.doi.org/10.1111/jasp.12431")</f>
        <v>http://dx.doi.org/10.1111/jasp.12431</v>
      </c>
      <c r="BG165" t="s">
        <v>74</v>
      </c>
      <c r="BH165" t="s">
        <v>74</v>
      </c>
      <c r="BI165">
        <v>12</v>
      </c>
      <c r="BJ165" t="s">
        <v>459</v>
      </c>
      <c r="BK165" t="s">
        <v>94</v>
      </c>
      <c r="BL165" t="s">
        <v>460</v>
      </c>
      <c r="BM165" t="s">
        <v>3048</v>
      </c>
      <c r="BN165" t="s">
        <v>74</v>
      </c>
      <c r="BO165" t="s">
        <v>74</v>
      </c>
      <c r="BP165" t="s">
        <v>74</v>
      </c>
      <c r="BQ165" t="s">
        <v>74</v>
      </c>
      <c r="BR165" t="s">
        <v>97</v>
      </c>
      <c r="BS165" t="s">
        <v>3049</v>
      </c>
      <c r="BT165" t="str">
        <f>HYPERLINK("https%3A%2F%2Fwww.webofscience.com%2Fwos%2Fwoscc%2Ffull-record%2FWOS:000400163200001","View Full Record in Web of Science")</f>
        <v>View Full Record in Web of Science</v>
      </c>
    </row>
    <row r="166" spans="1:72" x14ac:dyDescent="0.25">
      <c r="A166" t="s">
        <v>72</v>
      </c>
      <c r="B166" t="s">
        <v>3050</v>
      </c>
      <c r="C166" t="s">
        <v>74</v>
      </c>
      <c r="D166" t="s">
        <v>74</v>
      </c>
      <c r="E166" t="s">
        <v>74</v>
      </c>
      <c r="F166" t="s">
        <v>3051</v>
      </c>
      <c r="G166" t="s">
        <v>74</v>
      </c>
      <c r="H166" t="s">
        <v>74</v>
      </c>
      <c r="I166" t="s">
        <v>3052</v>
      </c>
      <c r="J166" t="s">
        <v>1546</v>
      </c>
      <c r="K166" t="s">
        <v>74</v>
      </c>
      <c r="L166" t="s">
        <v>74</v>
      </c>
      <c r="M166" t="s">
        <v>77</v>
      </c>
      <c r="N166" t="s">
        <v>78</v>
      </c>
      <c r="O166" t="s">
        <v>74</v>
      </c>
      <c r="P166" t="s">
        <v>74</v>
      </c>
      <c r="Q166" t="s">
        <v>74</v>
      </c>
      <c r="R166" t="s">
        <v>74</v>
      </c>
      <c r="S166" t="s">
        <v>74</v>
      </c>
      <c r="T166" t="s">
        <v>74</v>
      </c>
      <c r="U166" t="s">
        <v>3053</v>
      </c>
      <c r="V166" t="s">
        <v>3054</v>
      </c>
      <c r="W166" t="s">
        <v>3055</v>
      </c>
      <c r="X166" t="s">
        <v>3056</v>
      </c>
      <c r="Y166" t="s">
        <v>3057</v>
      </c>
      <c r="Z166" t="s">
        <v>3058</v>
      </c>
      <c r="AA166" t="s">
        <v>3059</v>
      </c>
      <c r="AB166" t="s">
        <v>3060</v>
      </c>
      <c r="AC166" t="s">
        <v>74</v>
      </c>
      <c r="AD166" t="s">
        <v>74</v>
      </c>
      <c r="AE166" t="s">
        <v>74</v>
      </c>
      <c r="AF166" t="s">
        <v>74</v>
      </c>
      <c r="AG166">
        <v>77</v>
      </c>
      <c r="AH166">
        <v>54</v>
      </c>
      <c r="AI166">
        <v>55</v>
      </c>
      <c r="AJ166">
        <v>4</v>
      </c>
      <c r="AK166">
        <v>102</v>
      </c>
      <c r="AL166" t="s">
        <v>218</v>
      </c>
      <c r="AM166" t="s">
        <v>219</v>
      </c>
      <c r="AN166" t="s">
        <v>220</v>
      </c>
      <c r="AO166" t="s">
        <v>1558</v>
      </c>
      <c r="AP166" t="s">
        <v>1559</v>
      </c>
      <c r="AQ166" t="s">
        <v>74</v>
      </c>
      <c r="AR166" t="s">
        <v>1560</v>
      </c>
      <c r="AS166" t="s">
        <v>1561</v>
      </c>
      <c r="AT166" t="s">
        <v>3061</v>
      </c>
      <c r="AU166">
        <v>2013</v>
      </c>
      <c r="AV166">
        <v>73</v>
      </c>
      <c r="AW166">
        <v>3</v>
      </c>
      <c r="AX166" t="s">
        <v>74</v>
      </c>
      <c r="AY166" t="s">
        <v>74</v>
      </c>
      <c r="AZ166" t="s">
        <v>74</v>
      </c>
      <c r="BA166" t="s">
        <v>74</v>
      </c>
      <c r="BB166">
        <v>453</v>
      </c>
      <c r="BC166">
        <v>464</v>
      </c>
      <c r="BD166" t="s">
        <v>74</v>
      </c>
      <c r="BE166" t="s">
        <v>3062</v>
      </c>
      <c r="BF166" t="str">
        <f>HYPERLINK("http://dx.doi.org/10.1111/puar.12040","http://dx.doi.org/10.1111/puar.12040")</f>
        <v>http://dx.doi.org/10.1111/puar.12040</v>
      </c>
      <c r="BG166" t="s">
        <v>74</v>
      </c>
      <c r="BH166" t="s">
        <v>74</v>
      </c>
      <c r="BI166">
        <v>12</v>
      </c>
      <c r="BJ166" t="s">
        <v>1564</v>
      </c>
      <c r="BK166" t="s">
        <v>94</v>
      </c>
      <c r="BL166" t="s">
        <v>1564</v>
      </c>
      <c r="BM166" t="s">
        <v>3063</v>
      </c>
      <c r="BN166" t="s">
        <v>74</v>
      </c>
      <c r="BO166" t="s">
        <v>74</v>
      </c>
      <c r="BP166" t="s">
        <v>74</v>
      </c>
      <c r="BQ166" t="s">
        <v>74</v>
      </c>
      <c r="BR166" t="s">
        <v>97</v>
      </c>
      <c r="BS166" t="s">
        <v>3064</v>
      </c>
      <c r="BT166" t="str">
        <f>HYPERLINK("https%3A%2F%2Fwww.webofscience.com%2Fwos%2Fwoscc%2Ffull-record%2FWOS:000318439900012","View Full Record in Web of Science")</f>
        <v>View Full Record in Web of Science</v>
      </c>
    </row>
    <row r="167" spans="1:72" x14ac:dyDescent="0.25">
      <c r="A167" t="s">
        <v>72</v>
      </c>
      <c r="B167" t="s">
        <v>3065</v>
      </c>
      <c r="C167" t="s">
        <v>74</v>
      </c>
      <c r="D167" t="s">
        <v>74</v>
      </c>
      <c r="E167" t="s">
        <v>74</v>
      </c>
      <c r="F167" t="s">
        <v>3066</v>
      </c>
      <c r="G167" t="s">
        <v>74</v>
      </c>
      <c r="H167" t="s">
        <v>74</v>
      </c>
      <c r="I167" t="s">
        <v>3067</v>
      </c>
      <c r="J167" t="s">
        <v>2643</v>
      </c>
      <c r="K167" t="s">
        <v>74</v>
      </c>
      <c r="L167" t="s">
        <v>74</v>
      </c>
      <c r="M167" t="s">
        <v>77</v>
      </c>
      <c r="N167" t="s">
        <v>78</v>
      </c>
      <c r="O167" t="s">
        <v>74</v>
      </c>
      <c r="P167" t="s">
        <v>74</v>
      </c>
      <c r="Q167" t="s">
        <v>74</v>
      </c>
      <c r="R167" t="s">
        <v>74</v>
      </c>
      <c r="S167" t="s">
        <v>74</v>
      </c>
      <c r="T167" t="s">
        <v>3068</v>
      </c>
      <c r="U167" t="s">
        <v>3069</v>
      </c>
      <c r="V167" t="s">
        <v>3070</v>
      </c>
      <c r="W167" t="s">
        <v>3071</v>
      </c>
      <c r="X167" t="s">
        <v>3072</v>
      </c>
      <c r="Y167" t="s">
        <v>3073</v>
      </c>
      <c r="Z167" t="s">
        <v>3074</v>
      </c>
      <c r="AA167" t="s">
        <v>3075</v>
      </c>
      <c r="AB167" t="s">
        <v>3076</v>
      </c>
      <c r="AC167" t="s">
        <v>74</v>
      </c>
      <c r="AD167" t="s">
        <v>74</v>
      </c>
      <c r="AE167" t="s">
        <v>74</v>
      </c>
      <c r="AF167" t="s">
        <v>74</v>
      </c>
      <c r="AG167">
        <v>72</v>
      </c>
      <c r="AH167">
        <v>54</v>
      </c>
      <c r="AI167">
        <v>58</v>
      </c>
      <c r="AJ167">
        <v>4</v>
      </c>
      <c r="AK167">
        <v>97</v>
      </c>
      <c r="AL167" t="s">
        <v>2652</v>
      </c>
      <c r="AM167" t="s">
        <v>2653</v>
      </c>
      <c r="AN167" t="s">
        <v>2654</v>
      </c>
      <c r="AO167" t="s">
        <v>2655</v>
      </c>
      <c r="AP167" t="s">
        <v>2656</v>
      </c>
      <c r="AQ167" t="s">
        <v>74</v>
      </c>
      <c r="AR167" t="s">
        <v>2657</v>
      </c>
      <c r="AS167" t="s">
        <v>2658</v>
      </c>
      <c r="AT167" t="s">
        <v>74</v>
      </c>
      <c r="AU167">
        <v>2012</v>
      </c>
      <c r="AV167">
        <v>11</v>
      </c>
      <c r="AW167">
        <v>3</v>
      </c>
      <c r="AX167" t="s">
        <v>74</v>
      </c>
      <c r="AY167" t="s">
        <v>74</v>
      </c>
      <c r="AZ167" t="s">
        <v>74</v>
      </c>
      <c r="BA167" t="s">
        <v>74</v>
      </c>
      <c r="BB167">
        <v>127</v>
      </c>
      <c r="BC167">
        <v>137</v>
      </c>
      <c r="BD167" t="s">
        <v>74</v>
      </c>
      <c r="BE167" t="s">
        <v>3077</v>
      </c>
      <c r="BF167" t="str">
        <f>HYPERLINK("http://dx.doi.org/10.1027/1866-5888/a000065","http://dx.doi.org/10.1027/1866-5888/a000065")</f>
        <v>http://dx.doi.org/10.1027/1866-5888/a000065</v>
      </c>
      <c r="BG167" t="s">
        <v>74</v>
      </c>
      <c r="BH167" t="s">
        <v>74</v>
      </c>
      <c r="BI167">
        <v>11</v>
      </c>
      <c r="BJ167" t="s">
        <v>692</v>
      </c>
      <c r="BK167" t="s">
        <v>94</v>
      </c>
      <c r="BL167" t="s">
        <v>460</v>
      </c>
      <c r="BM167" t="s">
        <v>3078</v>
      </c>
      <c r="BN167" t="s">
        <v>74</v>
      </c>
      <c r="BO167" t="s">
        <v>74</v>
      </c>
      <c r="BP167" t="s">
        <v>74</v>
      </c>
      <c r="BQ167" t="s">
        <v>74</v>
      </c>
      <c r="BR167" t="s">
        <v>97</v>
      </c>
      <c r="BS167" t="s">
        <v>3079</v>
      </c>
      <c r="BT167" t="str">
        <f>HYPERLINK("https%3A%2F%2Fwww.webofscience.com%2Fwos%2Fwoscc%2Ffull-record%2FWOS:000306808400003","View Full Record in Web of Science")</f>
        <v>View Full Record in Web of Science</v>
      </c>
    </row>
    <row r="168" spans="1:72" x14ac:dyDescent="0.25">
      <c r="A168" t="s">
        <v>72</v>
      </c>
      <c r="B168" t="s">
        <v>3080</v>
      </c>
      <c r="C168" t="s">
        <v>74</v>
      </c>
      <c r="D168" t="s">
        <v>74</v>
      </c>
      <c r="E168" t="s">
        <v>74</v>
      </c>
      <c r="F168" t="s">
        <v>3081</v>
      </c>
      <c r="G168" t="s">
        <v>74</v>
      </c>
      <c r="H168" t="s">
        <v>74</v>
      </c>
      <c r="I168" t="s">
        <v>3082</v>
      </c>
      <c r="J168" t="s">
        <v>2502</v>
      </c>
      <c r="K168" t="s">
        <v>74</v>
      </c>
      <c r="L168" t="s">
        <v>74</v>
      </c>
      <c r="M168" t="s">
        <v>77</v>
      </c>
      <c r="N168" t="s">
        <v>78</v>
      </c>
      <c r="O168" t="s">
        <v>74</v>
      </c>
      <c r="P168" t="s">
        <v>74</v>
      </c>
      <c r="Q168" t="s">
        <v>74</v>
      </c>
      <c r="R168" t="s">
        <v>74</v>
      </c>
      <c r="S168" t="s">
        <v>74</v>
      </c>
      <c r="T168" t="s">
        <v>3083</v>
      </c>
      <c r="U168" t="s">
        <v>3084</v>
      </c>
      <c r="V168" t="s">
        <v>3085</v>
      </c>
      <c r="W168" t="s">
        <v>3086</v>
      </c>
      <c r="X168" t="s">
        <v>3087</v>
      </c>
      <c r="Y168" t="s">
        <v>3088</v>
      </c>
      <c r="Z168" t="s">
        <v>3089</v>
      </c>
      <c r="AA168" t="s">
        <v>74</v>
      </c>
      <c r="AB168" t="s">
        <v>3090</v>
      </c>
      <c r="AC168" t="s">
        <v>74</v>
      </c>
      <c r="AD168" t="s">
        <v>74</v>
      </c>
      <c r="AE168" t="s">
        <v>74</v>
      </c>
      <c r="AF168" t="s">
        <v>74</v>
      </c>
      <c r="AG168">
        <v>57</v>
      </c>
      <c r="AH168">
        <v>54</v>
      </c>
      <c r="AI168">
        <v>54</v>
      </c>
      <c r="AJ168">
        <v>8</v>
      </c>
      <c r="AK168">
        <v>64</v>
      </c>
      <c r="AL168" t="s">
        <v>665</v>
      </c>
      <c r="AM168" t="s">
        <v>666</v>
      </c>
      <c r="AN168" t="s">
        <v>667</v>
      </c>
      <c r="AO168" t="s">
        <v>2510</v>
      </c>
      <c r="AP168" t="s">
        <v>2511</v>
      </c>
      <c r="AQ168" t="s">
        <v>74</v>
      </c>
      <c r="AR168" t="s">
        <v>2512</v>
      </c>
      <c r="AS168" t="s">
        <v>2513</v>
      </c>
      <c r="AT168" t="s">
        <v>74</v>
      </c>
      <c r="AU168">
        <v>2008</v>
      </c>
      <c r="AV168">
        <v>37</v>
      </c>
      <c r="AW168">
        <v>3</v>
      </c>
      <c r="AX168" t="s">
        <v>74</v>
      </c>
      <c r="AY168" t="s">
        <v>74</v>
      </c>
      <c r="AZ168" t="s">
        <v>74</v>
      </c>
      <c r="BA168" t="s">
        <v>74</v>
      </c>
      <c r="BB168">
        <v>317</v>
      </c>
      <c r="BC168">
        <v>331</v>
      </c>
      <c r="BD168" t="s">
        <v>74</v>
      </c>
      <c r="BE168" t="s">
        <v>3091</v>
      </c>
      <c r="BF168" t="str">
        <f>HYPERLINK("http://dx.doi.org/10.1108/00483480810862297","http://dx.doi.org/10.1108/00483480810862297")</f>
        <v>http://dx.doi.org/10.1108/00483480810862297</v>
      </c>
      <c r="BG168" t="s">
        <v>74</v>
      </c>
      <c r="BH168" t="s">
        <v>74</v>
      </c>
      <c r="BI168">
        <v>15</v>
      </c>
      <c r="BJ168" t="s">
        <v>2515</v>
      </c>
      <c r="BK168" t="s">
        <v>94</v>
      </c>
      <c r="BL168" t="s">
        <v>227</v>
      </c>
      <c r="BM168" t="s">
        <v>3092</v>
      </c>
      <c r="BN168" t="s">
        <v>74</v>
      </c>
      <c r="BO168" t="s">
        <v>74</v>
      </c>
      <c r="BP168" t="s">
        <v>74</v>
      </c>
      <c r="BQ168" t="s">
        <v>74</v>
      </c>
      <c r="BR168" t="s">
        <v>97</v>
      </c>
      <c r="BS168" t="s">
        <v>3093</v>
      </c>
      <c r="BT168" t="str">
        <f>HYPERLINK("https%3A%2F%2Fwww.webofscience.com%2Fwos%2Fwoscc%2Ffull-record%2FWOS:000255492900005","View Full Record in Web of Science")</f>
        <v>View Full Record in Web of Science</v>
      </c>
    </row>
    <row r="169" spans="1:72" x14ac:dyDescent="0.25">
      <c r="A169" t="s">
        <v>72</v>
      </c>
      <c r="B169" t="s">
        <v>3094</v>
      </c>
      <c r="C169" t="s">
        <v>74</v>
      </c>
      <c r="D169" t="s">
        <v>74</v>
      </c>
      <c r="E169" t="s">
        <v>74</v>
      </c>
      <c r="F169" t="s">
        <v>3095</v>
      </c>
      <c r="G169" t="s">
        <v>74</v>
      </c>
      <c r="H169" t="s">
        <v>74</v>
      </c>
      <c r="I169" t="s">
        <v>3096</v>
      </c>
      <c r="J169" t="s">
        <v>779</v>
      </c>
      <c r="K169" t="s">
        <v>74</v>
      </c>
      <c r="L169" t="s">
        <v>74</v>
      </c>
      <c r="M169" t="s">
        <v>77</v>
      </c>
      <c r="N169" t="s">
        <v>78</v>
      </c>
      <c r="O169" t="s">
        <v>74</v>
      </c>
      <c r="P169" t="s">
        <v>74</v>
      </c>
      <c r="Q169" t="s">
        <v>74</v>
      </c>
      <c r="R169" t="s">
        <v>74</v>
      </c>
      <c r="S169" t="s">
        <v>74</v>
      </c>
      <c r="T169" t="s">
        <v>74</v>
      </c>
      <c r="U169" t="s">
        <v>3097</v>
      </c>
      <c r="V169" t="s">
        <v>3098</v>
      </c>
      <c r="W169" t="s">
        <v>3099</v>
      </c>
      <c r="X169" t="s">
        <v>3100</v>
      </c>
      <c r="Y169" t="s">
        <v>3101</v>
      </c>
      <c r="Z169" t="s">
        <v>3102</v>
      </c>
      <c r="AA169" t="s">
        <v>74</v>
      </c>
      <c r="AB169" t="s">
        <v>3103</v>
      </c>
      <c r="AC169" t="s">
        <v>74</v>
      </c>
      <c r="AD169" t="s">
        <v>74</v>
      </c>
      <c r="AE169" t="s">
        <v>74</v>
      </c>
      <c r="AF169" t="s">
        <v>74</v>
      </c>
      <c r="AG169">
        <v>92</v>
      </c>
      <c r="AH169">
        <v>53</v>
      </c>
      <c r="AI169">
        <v>53</v>
      </c>
      <c r="AJ169">
        <v>10</v>
      </c>
      <c r="AK169">
        <v>148</v>
      </c>
      <c r="AL169" t="s">
        <v>218</v>
      </c>
      <c r="AM169" t="s">
        <v>219</v>
      </c>
      <c r="AN169" t="s">
        <v>220</v>
      </c>
      <c r="AO169" t="s">
        <v>789</v>
      </c>
      <c r="AP169" t="s">
        <v>1320</v>
      </c>
      <c r="AQ169" t="s">
        <v>74</v>
      </c>
      <c r="AR169" t="s">
        <v>790</v>
      </c>
      <c r="AS169" t="s">
        <v>791</v>
      </c>
      <c r="AT169" t="s">
        <v>584</v>
      </c>
      <c r="AU169">
        <v>2011</v>
      </c>
      <c r="AV169">
        <v>28</v>
      </c>
      <c r="AW169" t="s">
        <v>74</v>
      </c>
      <c r="AX169" t="s">
        <v>74</v>
      </c>
      <c r="AY169">
        <v>1</v>
      </c>
      <c r="AZ169" t="s">
        <v>74</v>
      </c>
      <c r="BA169" t="s">
        <v>74</v>
      </c>
      <c r="BB169">
        <v>196</v>
      </c>
      <c r="BC169">
        <v>207</v>
      </c>
      <c r="BD169" t="s">
        <v>74</v>
      </c>
      <c r="BE169" t="s">
        <v>3104</v>
      </c>
      <c r="BF169" t="str">
        <f>HYPERLINK("http://dx.doi.org/10.1111/j.1540-5885.2011.00870.x","http://dx.doi.org/10.1111/j.1540-5885.2011.00870.x")</f>
        <v>http://dx.doi.org/10.1111/j.1540-5885.2011.00870.x</v>
      </c>
      <c r="BG169" t="s">
        <v>74</v>
      </c>
      <c r="BH169" t="s">
        <v>74</v>
      </c>
      <c r="BI169">
        <v>12</v>
      </c>
      <c r="BJ169" t="s">
        <v>794</v>
      </c>
      <c r="BK169" t="s">
        <v>147</v>
      </c>
      <c r="BL169" t="s">
        <v>795</v>
      </c>
      <c r="BM169" t="s">
        <v>3105</v>
      </c>
      <c r="BN169" t="s">
        <v>74</v>
      </c>
      <c r="BO169" t="s">
        <v>74</v>
      </c>
      <c r="BP169" t="s">
        <v>74</v>
      </c>
      <c r="BQ169" t="s">
        <v>74</v>
      </c>
      <c r="BR169" t="s">
        <v>97</v>
      </c>
      <c r="BS169" t="s">
        <v>3106</v>
      </c>
      <c r="BT169" t="str">
        <f>HYPERLINK("https%3A%2F%2Fwww.webofscience.com%2Fwos%2Fwoscc%2Ffull-record%2FWOS:000296417800014","View Full Record in Web of Science")</f>
        <v>View Full Record in Web of Science</v>
      </c>
    </row>
    <row r="170" spans="1:72" x14ac:dyDescent="0.25">
      <c r="A170" t="s">
        <v>72</v>
      </c>
      <c r="B170" t="s">
        <v>3107</v>
      </c>
      <c r="C170" t="s">
        <v>74</v>
      </c>
      <c r="D170" t="s">
        <v>74</v>
      </c>
      <c r="E170" t="s">
        <v>74</v>
      </c>
      <c r="F170" t="s">
        <v>3108</v>
      </c>
      <c r="G170" t="s">
        <v>74</v>
      </c>
      <c r="H170" t="s">
        <v>74</v>
      </c>
      <c r="I170" t="s">
        <v>3109</v>
      </c>
      <c r="J170" t="s">
        <v>466</v>
      </c>
      <c r="K170" t="s">
        <v>74</v>
      </c>
      <c r="L170" t="s">
        <v>74</v>
      </c>
      <c r="M170" t="s">
        <v>77</v>
      </c>
      <c r="N170" t="s">
        <v>78</v>
      </c>
      <c r="O170" t="s">
        <v>74</v>
      </c>
      <c r="P170" t="s">
        <v>74</v>
      </c>
      <c r="Q170" t="s">
        <v>74</v>
      </c>
      <c r="R170" t="s">
        <v>74</v>
      </c>
      <c r="S170" t="s">
        <v>74</v>
      </c>
      <c r="T170" t="s">
        <v>3110</v>
      </c>
      <c r="U170" t="s">
        <v>3111</v>
      </c>
      <c r="V170" t="s">
        <v>3112</v>
      </c>
      <c r="W170" t="s">
        <v>3113</v>
      </c>
      <c r="X170" t="s">
        <v>3114</v>
      </c>
      <c r="Y170" t="s">
        <v>3115</v>
      </c>
      <c r="Z170" t="s">
        <v>3116</v>
      </c>
      <c r="AA170" t="s">
        <v>74</v>
      </c>
      <c r="AB170" t="s">
        <v>74</v>
      </c>
      <c r="AC170" t="s">
        <v>74</v>
      </c>
      <c r="AD170" t="s">
        <v>74</v>
      </c>
      <c r="AE170" t="s">
        <v>74</v>
      </c>
      <c r="AF170" t="s">
        <v>74</v>
      </c>
      <c r="AG170">
        <v>88</v>
      </c>
      <c r="AH170">
        <v>52</v>
      </c>
      <c r="AI170">
        <v>54</v>
      </c>
      <c r="AJ170">
        <v>18</v>
      </c>
      <c r="AK170">
        <v>153</v>
      </c>
      <c r="AL170" t="s">
        <v>218</v>
      </c>
      <c r="AM170" t="s">
        <v>219</v>
      </c>
      <c r="AN170" t="s">
        <v>220</v>
      </c>
      <c r="AO170" t="s">
        <v>476</v>
      </c>
      <c r="AP170" t="s">
        <v>477</v>
      </c>
      <c r="AQ170" t="s">
        <v>74</v>
      </c>
      <c r="AR170" t="s">
        <v>478</v>
      </c>
      <c r="AS170" t="s">
        <v>479</v>
      </c>
      <c r="AT170" t="s">
        <v>91</v>
      </c>
      <c r="AU170">
        <v>2017</v>
      </c>
      <c r="AV170">
        <v>51</v>
      </c>
      <c r="AW170">
        <v>2</v>
      </c>
      <c r="AX170" t="s">
        <v>74</v>
      </c>
      <c r="AY170" t="s">
        <v>74</v>
      </c>
      <c r="AZ170" t="s">
        <v>74</v>
      </c>
      <c r="BA170" t="s">
        <v>74</v>
      </c>
      <c r="BB170">
        <v>128</v>
      </c>
      <c r="BC170">
        <v>139</v>
      </c>
      <c r="BD170" t="s">
        <v>74</v>
      </c>
      <c r="BE170" t="s">
        <v>3117</v>
      </c>
      <c r="BF170" t="str">
        <f>HYPERLINK("http://dx.doi.org/10.1002/jocb.90","http://dx.doi.org/10.1002/jocb.90")</f>
        <v>http://dx.doi.org/10.1002/jocb.90</v>
      </c>
      <c r="BG170" t="s">
        <v>74</v>
      </c>
      <c r="BH170" t="s">
        <v>74</v>
      </c>
      <c r="BI170">
        <v>12</v>
      </c>
      <c r="BJ170" t="s">
        <v>481</v>
      </c>
      <c r="BK170" t="s">
        <v>94</v>
      </c>
      <c r="BL170" t="s">
        <v>460</v>
      </c>
      <c r="BM170" t="s">
        <v>3118</v>
      </c>
      <c r="BN170" t="s">
        <v>74</v>
      </c>
      <c r="BO170" t="s">
        <v>74</v>
      </c>
      <c r="BP170" t="s">
        <v>74</v>
      </c>
      <c r="BQ170" t="s">
        <v>74</v>
      </c>
      <c r="BR170" t="s">
        <v>97</v>
      </c>
      <c r="BS170" t="s">
        <v>3119</v>
      </c>
      <c r="BT170" t="str">
        <f>HYPERLINK("https%3A%2F%2Fwww.webofscience.com%2Fwos%2Fwoscc%2Ffull-record%2FWOS:000402619800003","View Full Record in Web of Science")</f>
        <v>View Full Record in Web of Science</v>
      </c>
    </row>
    <row r="171" spans="1:72" x14ac:dyDescent="0.25">
      <c r="A171" t="s">
        <v>72</v>
      </c>
      <c r="B171" t="s">
        <v>3120</v>
      </c>
      <c r="C171" t="s">
        <v>74</v>
      </c>
      <c r="D171" t="s">
        <v>74</v>
      </c>
      <c r="E171" t="s">
        <v>74</v>
      </c>
      <c r="F171" t="s">
        <v>3121</v>
      </c>
      <c r="G171" t="s">
        <v>74</v>
      </c>
      <c r="H171" t="s">
        <v>74</v>
      </c>
      <c r="I171" t="s">
        <v>3122</v>
      </c>
      <c r="J171" t="s">
        <v>3123</v>
      </c>
      <c r="K171" t="s">
        <v>74</v>
      </c>
      <c r="L171" t="s">
        <v>74</v>
      </c>
      <c r="M171" t="s">
        <v>77</v>
      </c>
      <c r="N171" t="s">
        <v>78</v>
      </c>
      <c r="O171" t="s">
        <v>74</v>
      </c>
      <c r="P171" t="s">
        <v>74</v>
      </c>
      <c r="Q171" t="s">
        <v>74</v>
      </c>
      <c r="R171" t="s">
        <v>74</v>
      </c>
      <c r="S171" t="s">
        <v>74</v>
      </c>
      <c r="T171" t="s">
        <v>3124</v>
      </c>
      <c r="U171" t="s">
        <v>3125</v>
      </c>
      <c r="V171" t="s">
        <v>3126</v>
      </c>
      <c r="W171" t="s">
        <v>3127</v>
      </c>
      <c r="X171" t="s">
        <v>3128</v>
      </c>
      <c r="Y171" t="s">
        <v>3129</v>
      </c>
      <c r="Z171" t="s">
        <v>3130</v>
      </c>
      <c r="AA171" t="s">
        <v>74</v>
      </c>
      <c r="AB171" t="s">
        <v>3131</v>
      </c>
      <c r="AC171" t="s">
        <v>74</v>
      </c>
      <c r="AD171" t="s">
        <v>74</v>
      </c>
      <c r="AE171" t="s">
        <v>74</v>
      </c>
      <c r="AF171" t="s">
        <v>74</v>
      </c>
      <c r="AG171">
        <v>86</v>
      </c>
      <c r="AH171">
        <v>52</v>
      </c>
      <c r="AI171">
        <v>55</v>
      </c>
      <c r="AJ171">
        <v>3</v>
      </c>
      <c r="AK171">
        <v>104</v>
      </c>
      <c r="AL171" t="s">
        <v>766</v>
      </c>
      <c r="AM171" t="s">
        <v>330</v>
      </c>
      <c r="AN171" t="s">
        <v>767</v>
      </c>
      <c r="AO171" t="s">
        <v>3132</v>
      </c>
      <c r="AP171" t="s">
        <v>3133</v>
      </c>
      <c r="AQ171" t="s">
        <v>74</v>
      </c>
      <c r="AR171" t="s">
        <v>3134</v>
      </c>
      <c r="AS171" t="s">
        <v>3135</v>
      </c>
      <c r="AT171" t="s">
        <v>200</v>
      </c>
      <c r="AU171">
        <v>2014</v>
      </c>
      <c r="AV171">
        <v>31</v>
      </c>
      <c r="AW171">
        <v>1</v>
      </c>
      <c r="AX171" t="s">
        <v>74</v>
      </c>
      <c r="AY171" t="s">
        <v>74</v>
      </c>
      <c r="AZ171" t="s">
        <v>74</v>
      </c>
      <c r="BA171" t="s">
        <v>74</v>
      </c>
      <c r="BB171">
        <v>105</v>
      </c>
      <c r="BC171">
        <v>126</v>
      </c>
      <c r="BD171" t="s">
        <v>74</v>
      </c>
      <c r="BE171" t="s">
        <v>3136</v>
      </c>
      <c r="BF171" t="str">
        <f>HYPERLINK("http://dx.doi.org/10.1007/s10490-011-9277-1","http://dx.doi.org/10.1007/s10490-011-9277-1")</f>
        <v>http://dx.doi.org/10.1007/s10490-011-9277-1</v>
      </c>
      <c r="BG171" t="s">
        <v>74</v>
      </c>
      <c r="BH171" t="s">
        <v>74</v>
      </c>
      <c r="BI171">
        <v>22</v>
      </c>
      <c r="BJ171" t="s">
        <v>442</v>
      </c>
      <c r="BK171" t="s">
        <v>94</v>
      </c>
      <c r="BL171" t="s">
        <v>95</v>
      </c>
      <c r="BM171" t="s">
        <v>3137</v>
      </c>
      <c r="BN171" t="s">
        <v>74</v>
      </c>
      <c r="BO171" t="s">
        <v>74</v>
      </c>
      <c r="BP171" t="s">
        <v>74</v>
      </c>
      <c r="BQ171" t="s">
        <v>74</v>
      </c>
      <c r="BR171" t="s">
        <v>97</v>
      </c>
      <c r="BS171" t="s">
        <v>3138</v>
      </c>
      <c r="BT171" t="str">
        <f>HYPERLINK("https%3A%2F%2Fwww.webofscience.com%2Fwos%2Fwoscc%2Ffull-record%2FWOS:000331967200005","View Full Record in Web of Science")</f>
        <v>View Full Record in Web of Science</v>
      </c>
    </row>
    <row r="172" spans="1:72" x14ac:dyDescent="0.25">
      <c r="A172" t="s">
        <v>72</v>
      </c>
      <c r="B172" t="s">
        <v>3139</v>
      </c>
      <c r="C172" t="s">
        <v>74</v>
      </c>
      <c r="D172" t="s">
        <v>74</v>
      </c>
      <c r="E172" t="s">
        <v>74</v>
      </c>
      <c r="F172" t="s">
        <v>3140</v>
      </c>
      <c r="G172" t="s">
        <v>74</v>
      </c>
      <c r="H172" t="s">
        <v>74</v>
      </c>
      <c r="I172" t="s">
        <v>3141</v>
      </c>
      <c r="J172" t="s">
        <v>3142</v>
      </c>
      <c r="K172" t="s">
        <v>74</v>
      </c>
      <c r="L172" t="s">
        <v>74</v>
      </c>
      <c r="M172" t="s">
        <v>77</v>
      </c>
      <c r="N172" t="s">
        <v>78</v>
      </c>
      <c r="O172" t="s">
        <v>74</v>
      </c>
      <c r="P172" t="s">
        <v>74</v>
      </c>
      <c r="Q172" t="s">
        <v>74</v>
      </c>
      <c r="R172" t="s">
        <v>74</v>
      </c>
      <c r="S172" t="s">
        <v>74</v>
      </c>
      <c r="T172" t="s">
        <v>3143</v>
      </c>
      <c r="U172" t="s">
        <v>3144</v>
      </c>
      <c r="V172" t="s">
        <v>3145</v>
      </c>
      <c r="W172" t="s">
        <v>3146</v>
      </c>
      <c r="X172" t="s">
        <v>662</v>
      </c>
      <c r="Y172" t="s">
        <v>472</v>
      </c>
      <c r="Z172" t="s">
        <v>3147</v>
      </c>
      <c r="AA172" t="s">
        <v>3148</v>
      </c>
      <c r="AB172" t="s">
        <v>475</v>
      </c>
      <c r="AC172" t="s">
        <v>74</v>
      </c>
      <c r="AD172" t="s">
        <v>74</v>
      </c>
      <c r="AE172" t="s">
        <v>74</v>
      </c>
      <c r="AF172" t="s">
        <v>74</v>
      </c>
      <c r="AG172">
        <v>93</v>
      </c>
      <c r="AH172">
        <v>52</v>
      </c>
      <c r="AI172">
        <v>55</v>
      </c>
      <c r="AJ172">
        <v>1</v>
      </c>
      <c r="AK172">
        <v>50</v>
      </c>
      <c r="AL172" t="s">
        <v>3149</v>
      </c>
      <c r="AM172" t="s">
        <v>195</v>
      </c>
      <c r="AN172" t="s">
        <v>3150</v>
      </c>
      <c r="AO172" t="s">
        <v>3151</v>
      </c>
      <c r="AP172" t="s">
        <v>3152</v>
      </c>
      <c r="AQ172" t="s">
        <v>74</v>
      </c>
      <c r="AR172" t="s">
        <v>3153</v>
      </c>
      <c r="AS172" t="s">
        <v>3154</v>
      </c>
      <c r="AT172" t="s">
        <v>405</v>
      </c>
      <c r="AU172">
        <v>2011</v>
      </c>
      <c r="AV172">
        <v>5</v>
      </c>
      <c r="AW172">
        <v>1</v>
      </c>
      <c r="AX172" t="s">
        <v>74</v>
      </c>
      <c r="AY172" t="s">
        <v>74</v>
      </c>
      <c r="AZ172" t="s">
        <v>860</v>
      </c>
      <c r="BA172" t="s">
        <v>74</v>
      </c>
      <c r="BB172">
        <v>43</v>
      </c>
      <c r="BC172">
        <v>53</v>
      </c>
      <c r="BD172" t="s">
        <v>74</v>
      </c>
      <c r="BE172" t="s">
        <v>3155</v>
      </c>
      <c r="BF172" t="str">
        <f>HYPERLINK("http://dx.doi.org/10.1037/a0018241","http://dx.doi.org/10.1037/a0018241")</f>
        <v>http://dx.doi.org/10.1037/a0018241</v>
      </c>
      <c r="BG172" t="s">
        <v>74</v>
      </c>
      <c r="BH172" t="s">
        <v>74</v>
      </c>
      <c r="BI172">
        <v>11</v>
      </c>
      <c r="BJ172" t="s">
        <v>3156</v>
      </c>
      <c r="BK172" t="s">
        <v>3157</v>
      </c>
      <c r="BL172" t="s">
        <v>3158</v>
      </c>
      <c r="BM172" t="s">
        <v>3159</v>
      </c>
      <c r="BN172" t="s">
        <v>74</v>
      </c>
      <c r="BO172" t="s">
        <v>74</v>
      </c>
      <c r="BP172" t="s">
        <v>74</v>
      </c>
      <c r="BQ172" t="s">
        <v>74</v>
      </c>
      <c r="BR172" t="s">
        <v>97</v>
      </c>
      <c r="BS172" t="s">
        <v>3160</v>
      </c>
      <c r="BT172" t="str">
        <f>HYPERLINK("https%3A%2F%2Fwww.webofscience.com%2Fwos%2Fwoscc%2Ffull-record%2FWOS:000288777100006","View Full Record in Web of Science")</f>
        <v>View Full Record in Web of Science</v>
      </c>
    </row>
    <row r="173" spans="1:72" x14ac:dyDescent="0.25">
      <c r="A173" t="s">
        <v>72</v>
      </c>
      <c r="B173" t="s">
        <v>3161</v>
      </c>
      <c r="C173" t="s">
        <v>74</v>
      </c>
      <c r="D173" t="s">
        <v>74</v>
      </c>
      <c r="E173" t="s">
        <v>74</v>
      </c>
      <c r="F173" t="s">
        <v>3162</v>
      </c>
      <c r="G173" t="s">
        <v>74</v>
      </c>
      <c r="H173" t="s">
        <v>74</v>
      </c>
      <c r="I173" t="s">
        <v>3163</v>
      </c>
      <c r="J173" t="s">
        <v>3164</v>
      </c>
      <c r="K173" t="s">
        <v>74</v>
      </c>
      <c r="L173" t="s">
        <v>74</v>
      </c>
      <c r="M173" t="s">
        <v>77</v>
      </c>
      <c r="N173" t="s">
        <v>78</v>
      </c>
      <c r="O173" t="s">
        <v>74</v>
      </c>
      <c r="P173" t="s">
        <v>74</v>
      </c>
      <c r="Q173" t="s">
        <v>74</v>
      </c>
      <c r="R173" t="s">
        <v>74</v>
      </c>
      <c r="S173" t="s">
        <v>74</v>
      </c>
      <c r="T173" t="s">
        <v>3165</v>
      </c>
      <c r="U173" t="s">
        <v>3166</v>
      </c>
      <c r="V173" t="s">
        <v>3167</v>
      </c>
      <c r="W173" t="s">
        <v>3168</v>
      </c>
      <c r="X173" t="s">
        <v>3169</v>
      </c>
      <c r="Y173" t="s">
        <v>3170</v>
      </c>
      <c r="Z173" t="s">
        <v>3171</v>
      </c>
      <c r="AA173" t="s">
        <v>74</v>
      </c>
      <c r="AB173" t="s">
        <v>74</v>
      </c>
      <c r="AC173" t="s">
        <v>74</v>
      </c>
      <c r="AD173" t="s">
        <v>74</v>
      </c>
      <c r="AE173" t="s">
        <v>74</v>
      </c>
      <c r="AF173" t="s">
        <v>74</v>
      </c>
      <c r="AG173">
        <v>64</v>
      </c>
      <c r="AH173">
        <v>52</v>
      </c>
      <c r="AI173">
        <v>53</v>
      </c>
      <c r="AJ173">
        <v>3</v>
      </c>
      <c r="AK173">
        <v>55</v>
      </c>
      <c r="AL173" t="s">
        <v>665</v>
      </c>
      <c r="AM173" t="s">
        <v>666</v>
      </c>
      <c r="AN173" t="s">
        <v>667</v>
      </c>
      <c r="AO173" t="s">
        <v>3172</v>
      </c>
      <c r="AP173" t="s">
        <v>3173</v>
      </c>
      <c r="AQ173" t="s">
        <v>74</v>
      </c>
      <c r="AR173" t="s">
        <v>3174</v>
      </c>
      <c r="AS173" t="s">
        <v>3175</v>
      </c>
      <c r="AT173" t="s">
        <v>74</v>
      </c>
      <c r="AU173">
        <v>2011</v>
      </c>
      <c r="AV173">
        <v>22</v>
      </c>
      <c r="AW173">
        <v>2</v>
      </c>
      <c r="AX173" t="s">
        <v>74</v>
      </c>
      <c r="AY173" t="s">
        <v>74</v>
      </c>
      <c r="AZ173" t="s">
        <v>74</v>
      </c>
      <c r="BA173" t="s">
        <v>74</v>
      </c>
      <c r="BB173">
        <v>131</v>
      </c>
      <c r="BC173">
        <v>150</v>
      </c>
      <c r="BD173" t="s">
        <v>74</v>
      </c>
      <c r="BE173" t="s">
        <v>3176</v>
      </c>
      <c r="BF173" t="str">
        <f>HYPERLINK("http://dx.doi.org/10.1108/10444061111126675","http://dx.doi.org/10.1108/10444061111126675")</f>
        <v>http://dx.doi.org/10.1108/10444061111126675</v>
      </c>
      <c r="BG173" t="s">
        <v>74</v>
      </c>
      <c r="BH173" t="s">
        <v>74</v>
      </c>
      <c r="BI173">
        <v>20</v>
      </c>
      <c r="BJ173" t="s">
        <v>3177</v>
      </c>
      <c r="BK173" t="s">
        <v>94</v>
      </c>
      <c r="BL173" t="s">
        <v>3178</v>
      </c>
      <c r="BM173" t="s">
        <v>3179</v>
      </c>
      <c r="BN173" t="s">
        <v>74</v>
      </c>
      <c r="BO173" t="s">
        <v>74</v>
      </c>
      <c r="BP173" t="s">
        <v>74</v>
      </c>
      <c r="BQ173" t="s">
        <v>74</v>
      </c>
      <c r="BR173" t="s">
        <v>97</v>
      </c>
      <c r="BS173" t="s">
        <v>3180</v>
      </c>
      <c r="BT173" t="str">
        <f>HYPERLINK("https%3A%2F%2Fwww.webofscience.com%2Fwos%2Fwoscc%2Ffull-record%2FWOS:000290592900003","View Full Record in Web of Science")</f>
        <v>View Full Record in Web of Science</v>
      </c>
    </row>
    <row r="174" spans="1:72" x14ac:dyDescent="0.25">
      <c r="A174" t="s">
        <v>72</v>
      </c>
      <c r="B174" t="s">
        <v>3181</v>
      </c>
      <c r="C174" t="s">
        <v>74</v>
      </c>
      <c r="D174" t="s">
        <v>74</v>
      </c>
      <c r="E174" t="s">
        <v>74</v>
      </c>
      <c r="F174" t="s">
        <v>3182</v>
      </c>
      <c r="G174" t="s">
        <v>74</v>
      </c>
      <c r="H174" t="s">
        <v>74</v>
      </c>
      <c r="I174" t="s">
        <v>3183</v>
      </c>
      <c r="J174" t="s">
        <v>3184</v>
      </c>
      <c r="K174" t="s">
        <v>74</v>
      </c>
      <c r="L174" t="s">
        <v>74</v>
      </c>
      <c r="M174" t="s">
        <v>77</v>
      </c>
      <c r="N174" t="s">
        <v>78</v>
      </c>
      <c r="O174" t="s">
        <v>74</v>
      </c>
      <c r="P174" t="s">
        <v>74</v>
      </c>
      <c r="Q174" t="s">
        <v>74</v>
      </c>
      <c r="R174" t="s">
        <v>74</v>
      </c>
      <c r="S174" t="s">
        <v>74</v>
      </c>
      <c r="T174" t="s">
        <v>3185</v>
      </c>
      <c r="U174" t="s">
        <v>3186</v>
      </c>
      <c r="V174" t="s">
        <v>3187</v>
      </c>
      <c r="W174" t="s">
        <v>3188</v>
      </c>
      <c r="X174" t="s">
        <v>3189</v>
      </c>
      <c r="Y174" t="s">
        <v>3190</v>
      </c>
      <c r="Z174" t="s">
        <v>3191</v>
      </c>
      <c r="AA174" t="s">
        <v>74</v>
      </c>
      <c r="AB174" t="s">
        <v>74</v>
      </c>
      <c r="AC174" t="s">
        <v>3192</v>
      </c>
      <c r="AD174" t="s">
        <v>3193</v>
      </c>
      <c r="AE174" t="s">
        <v>3194</v>
      </c>
      <c r="AF174" t="s">
        <v>74</v>
      </c>
      <c r="AG174">
        <v>66</v>
      </c>
      <c r="AH174">
        <v>51</v>
      </c>
      <c r="AI174">
        <v>52</v>
      </c>
      <c r="AJ174">
        <v>31</v>
      </c>
      <c r="AK174">
        <v>133</v>
      </c>
      <c r="AL174" t="s">
        <v>3195</v>
      </c>
      <c r="AM174" t="s">
        <v>3196</v>
      </c>
      <c r="AN174" t="s">
        <v>3197</v>
      </c>
      <c r="AO174" t="s">
        <v>3198</v>
      </c>
      <c r="AP174" t="s">
        <v>74</v>
      </c>
      <c r="AQ174" t="s">
        <v>74</v>
      </c>
      <c r="AR174" t="s">
        <v>3199</v>
      </c>
      <c r="AS174" t="s">
        <v>3200</v>
      </c>
      <c r="AT174" t="s">
        <v>3201</v>
      </c>
      <c r="AU174">
        <v>2019</v>
      </c>
      <c r="AV174">
        <v>10</v>
      </c>
      <c r="AW174" t="s">
        <v>74</v>
      </c>
      <c r="AX174" t="s">
        <v>74</v>
      </c>
      <c r="AY174" t="s">
        <v>74</v>
      </c>
      <c r="AZ174" t="s">
        <v>74</v>
      </c>
      <c r="BA174" t="s">
        <v>74</v>
      </c>
      <c r="BB174" t="s">
        <v>74</v>
      </c>
      <c r="BC174" t="s">
        <v>74</v>
      </c>
      <c r="BD174">
        <v>1803</v>
      </c>
      <c r="BE174" t="s">
        <v>3202</v>
      </c>
      <c r="BF174" t="str">
        <f>HYPERLINK("http://dx.doi.org/10.3389/fpsyg.2019.01803","http://dx.doi.org/10.3389/fpsyg.2019.01803")</f>
        <v>http://dx.doi.org/10.3389/fpsyg.2019.01803</v>
      </c>
      <c r="BG174" t="s">
        <v>74</v>
      </c>
      <c r="BH174" t="s">
        <v>74</v>
      </c>
      <c r="BI174">
        <v>11</v>
      </c>
      <c r="BJ174" t="s">
        <v>3203</v>
      </c>
      <c r="BK174" t="s">
        <v>94</v>
      </c>
      <c r="BL174" t="s">
        <v>460</v>
      </c>
      <c r="BM174" t="s">
        <v>3204</v>
      </c>
      <c r="BN174">
        <v>31447740</v>
      </c>
      <c r="BO174" t="s">
        <v>3205</v>
      </c>
      <c r="BP174" t="s">
        <v>74</v>
      </c>
      <c r="BQ174" t="s">
        <v>74</v>
      </c>
      <c r="BR174" t="s">
        <v>97</v>
      </c>
      <c r="BS174" t="s">
        <v>3206</v>
      </c>
      <c r="BT174" t="str">
        <f>HYPERLINK("https%3A%2F%2Fwww.webofscience.com%2Fwos%2Fwoscc%2Ffull-record%2FWOS:000478975000002","View Full Record in Web of Science")</f>
        <v>View Full Record in Web of Science</v>
      </c>
    </row>
    <row r="175" spans="1:72" x14ac:dyDescent="0.25">
      <c r="A175" t="s">
        <v>72</v>
      </c>
      <c r="B175" t="s">
        <v>3207</v>
      </c>
      <c r="C175" t="s">
        <v>74</v>
      </c>
      <c r="D175" t="s">
        <v>74</v>
      </c>
      <c r="E175" t="s">
        <v>74</v>
      </c>
      <c r="F175" t="s">
        <v>3208</v>
      </c>
      <c r="G175" t="s">
        <v>74</v>
      </c>
      <c r="H175" t="s">
        <v>74</v>
      </c>
      <c r="I175" t="s">
        <v>3209</v>
      </c>
      <c r="J175" t="s">
        <v>2228</v>
      </c>
      <c r="K175" t="s">
        <v>74</v>
      </c>
      <c r="L175" t="s">
        <v>74</v>
      </c>
      <c r="M175" t="s">
        <v>77</v>
      </c>
      <c r="N175" t="s">
        <v>78</v>
      </c>
      <c r="O175" t="s">
        <v>74</v>
      </c>
      <c r="P175" t="s">
        <v>74</v>
      </c>
      <c r="Q175" t="s">
        <v>74</v>
      </c>
      <c r="R175" t="s">
        <v>74</v>
      </c>
      <c r="S175" t="s">
        <v>74</v>
      </c>
      <c r="T175" t="s">
        <v>3210</v>
      </c>
      <c r="U175" t="s">
        <v>3211</v>
      </c>
      <c r="V175" t="s">
        <v>3212</v>
      </c>
      <c r="W175" t="s">
        <v>3213</v>
      </c>
      <c r="X175" t="s">
        <v>3214</v>
      </c>
      <c r="Y175" t="s">
        <v>3215</v>
      </c>
      <c r="Z175" t="s">
        <v>3216</v>
      </c>
      <c r="AA175" t="s">
        <v>74</v>
      </c>
      <c r="AB175" t="s">
        <v>3217</v>
      </c>
      <c r="AC175" t="s">
        <v>74</v>
      </c>
      <c r="AD175" t="s">
        <v>74</v>
      </c>
      <c r="AE175" t="s">
        <v>74</v>
      </c>
      <c r="AF175" t="s">
        <v>74</v>
      </c>
      <c r="AG175">
        <v>83</v>
      </c>
      <c r="AH175">
        <v>51</v>
      </c>
      <c r="AI175">
        <v>52</v>
      </c>
      <c r="AJ175">
        <v>51</v>
      </c>
      <c r="AK175">
        <v>214</v>
      </c>
      <c r="AL175" t="s">
        <v>1099</v>
      </c>
      <c r="AM175" t="s">
        <v>305</v>
      </c>
      <c r="AN175" t="s">
        <v>1100</v>
      </c>
      <c r="AO175" t="s">
        <v>2239</v>
      </c>
      <c r="AP175" t="s">
        <v>2240</v>
      </c>
      <c r="AQ175" t="s">
        <v>74</v>
      </c>
      <c r="AR175" t="s">
        <v>2241</v>
      </c>
      <c r="AS175" t="s">
        <v>2242</v>
      </c>
      <c r="AT175" t="s">
        <v>3218</v>
      </c>
      <c r="AU175">
        <v>2019</v>
      </c>
      <c r="AV175">
        <v>21</v>
      </c>
      <c r="AW175">
        <v>6</v>
      </c>
      <c r="AX175" t="s">
        <v>74</v>
      </c>
      <c r="AY175" t="s">
        <v>74</v>
      </c>
      <c r="AZ175" t="s">
        <v>74</v>
      </c>
      <c r="BA175" t="s">
        <v>74</v>
      </c>
      <c r="BB175">
        <v>918</v>
      </c>
      <c r="BC175">
        <v>944</v>
      </c>
      <c r="BD175" t="s">
        <v>74</v>
      </c>
      <c r="BE175" t="s">
        <v>3219</v>
      </c>
      <c r="BF175" t="str">
        <f>HYPERLINK("http://dx.doi.org/10.1080/14719037.2018.1544272","http://dx.doi.org/10.1080/14719037.2018.1544272")</f>
        <v>http://dx.doi.org/10.1080/14719037.2018.1544272</v>
      </c>
      <c r="BG175" t="s">
        <v>74</v>
      </c>
      <c r="BH175" t="s">
        <v>74</v>
      </c>
      <c r="BI175">
        <v>27</v>
      </c>
      <c r="BJ175" t="s">
        <v>2245</v>
      </c>
      <c r="BK175" t="s">
        <v>94</v>
      </c>
      <c r="BL175" t="s">
        <v>2246</v>
      </c>
      <c r="BM175" t="s">
        <v>3220</v>
      </c>
      <c r="BN175" t="s">
        <v>74</v>
      </c>
      <c r="BO175" t="s">
        <v>111</v>
      </c>
      <c r="BP175" t="s">
        <v>74</v>
      </c>
      <c r="BQ175" t="s">
        <v>74</v>
      </c>
      <c r="BR175" t="s">
        <v>97</v>
      </c>
      <c r="BS175" t="s">
        <v>3221</v>
      </c>
      <c r="BT175" t="str">
        <f>HYPERLINK("https%3A%2F%2Fwww.webofscience.com%2Fwos%2Fwoscc%2Ffull-record%2FWOS:000467072800007","View Full Record in Web of Science")</f>
        <v>View Full Record in Web of Science</v>
      </c>
    </row>
    <row r="176" spans="1:72" x14ac:dyDescent="0.25">
      <c r="A176" t="s">
        <v>72</v>
      </c>
      <c r="B176" t="s">
        <v>3222</v>
      </c>
      <c r="C176" t="s">
        <v>74</v>
      </c>
      <c r="D176" t="s">
        <v>74</v>
      </c>
      <c r="E176" t="s">
        <v>74</v>
      </c>
      <c r="F176" t="s">
        <v>3223</v>
      </c>
      <c r="G176" t="s">
        <v>74</v>
      </c>
      <c r="H176" t="s">
        <v>74</v>
      </c>
      <c r="I176" t="s">
        <v>3224</v>
      </c>
      <c r="J176" t="s">
        <v>3225</v>
      </c>
      <c r="K176" t="s">
        <v>74</v>
      </c>
      <c r="L176" t="s">
        <v>74</v>
      </c>
      <c r="M176" t="s">
        <v>77</v>
      </c>
      <c r="N176" t="s">
        <v>78</v>
      </c>
      <c r="O176" t="s">
        <v>74</v>
      </c>
      <c r="P176" t="s">
        <v>74</v>
      </c>
      <c r="Q176" t="s">
        <v>74</v>
      </c>
      <c r="R176" t="s">
        <v>74</v>
      </c>
      <c r="S176" t="s">
        <v>74</v>
      </c>
      <c r="T176" t="s">
        <v>3226</v>
      </c>
      <c r="U176" t="s">
        <v>3227</v>
      </c>
      <c r="V176" t="s">
        <v>3228</v>
      </c>
      <c r="W176" t="s">
        <v>3229</v>
      </c>
      <c r="X176" t="s">
        <v>3230</v>
      </c>
      <c r="Y176" t="s">
        <v>3231</v>
      </c>
      <c r="Z176" t="s">
        <v>3232</v>
      </c>
      <c r="AA176" t="s">
        <v>74</v>
      </c>
      <c r="AB176" t="s">
        <v>3233</v>
      </c>
      <c r="AC176" t="s">
        <v>74</v>
      </c>
      <c r="AD176" t="s">
        <v>74</v>
      </c>
      <c r="AE176" t="s">
        <v>74</v>
      </c>
      <c r="AF176" t="s">
        <v>74</v>
      </c>
      <c r="AG176">
        <v>79</v>
      </c>
      <c r="AH176">
        <v>51</v>
      </c>
      <c r="AI176">
        <v>51</v>
      </c>
      <c r="AJ176">
        <v>10</v>
      </c>
      <c r="AK176">
        <v>72</v>
      </c>
      <c r="AL176" t="s">
        <v>1099</v>
      </c>
      <c r="AM176" t="s">
        <v>305</v>
      </c>
      <c r="AN176" t="s">
        <v>1100</v>
      </c>
      <c r="AO176" t="s">
        <v>3234</v>
      </c>
      <c r="AP176" t="s">
        <v>3235</v>
      </c>
      <c r="AQ176" t="s">
        <v>74</v>
      </c>
      <c r="AR176" t="s">
        <v>3236</v>
      </c>
      <c r="AS176" t="s">
        <v>3237</v>
      </c>
      <c r="AT176" t="s">
        <v>74</v>
      </c>
      <c r="AU176">
        <v>2018</v>
      </c>
      <c r="AV176">
        <v>62</v>
      </c>
      <c r="AW176">
        <v>5</v>
      </c>
      <c r="AX176" t="s">
        <v>74</v>
      </c>
      <c r="AY176" t="s">
        <v>74</v>
      </c>
      <c r="AZ176" t="s">
        <v>74</v>
      </c>
      <c r="BA176" t="s">
        <v>74</v>
      </c>
      <c r="BB176">
        <v>769</v>
      </c>
      <c r="BC176">
        <v>782</v>
      </c>
      <c r="BD176" t="s">
        <v>74</v>
      </c>
      <c r="BE176" t="s">
        <v>3238</v>
      </c>
      <c r="BF176" t="str">
        <f>HYPERLINK("http://dx.doi.org/10.1080/00313831.2017.1306803","http://dx.doi.org/10.1080/00313831.2017.1306803")</f>
        <v>http://dx.doi.org/10.1080/00313831.2017.1306803</v>
      </c>
      <c r="BG176" t="s">
        <v>74</v>
      </c>
      <c r="BH176" t="s">
        <v>74</v>
      </c>
      <c r="BI176">
        <v>14</v>
      </c>
      <c r="BJ176" t="s">
        <v>815</v>
      </c>
      <c r="BK176" t="s">
        <v>94</v>
      </c>
      <c r="BL176" t="s">
        <v>815</v>
      </c>
      <c r="BM176" t="s">
        <v>3239</v>
      </c>
      <c r="BN176" t="s">
        <v>74</v>
      </c>
      <c r="BO176" t="s">
        <v>74</v>
      </c>
      <c r="BP176" t="s">
        <v>74</v>
      </c>
      <c r="BQ176" t="s">
        <v>74</v>
      </c>
      <c r="BR176" t="s">
        <v>97</v>
      </c>
      <c r="BS176" t="s">
        <v>3240</v>
      </c>
      <c r="BT176" t="str">
        <f>HYPERLINK("https%3A%2F%2Fwww.webofscience.com%2Fwos%2Fwoscc%2Ffull-record%2FWOS:000442296200008","View Full Record in Web of Science")</f>
        <v>View Full Record in Web of Science</v>
      </c>
    </row>
    <row r="177" spans="1:72" x14ac:dyDescent="0.25">
      <c r="A177" t="s">
        <v>72</v>
      </c>
      <c r="B177" t="s">
        <v>3241</v>
      </c>
      <c r="C177" t="s">
        <v>74</v>
      </c>
      <c r="D177" t="s">
        <v>74</v>
      </c>
      <c r="E177" t="s">
        <v>74</v>
      </c>
      <c r="F177" t="s">
        <v>3242</v>
      </c>
      <c r="G177" t="s">
        <v>74</v>
      </c>
      <c r="H177" t="s">
        <v>74</v>
      </c>
      <c r="I177" t="s">
        <v>3243</v>
      </c>
      <c r="J177" t="s">
        <v>1692</v>
      </c>
      <c r="K177" t="s">
        <v>74</v>
      </c>
      <c r="L177" t="s">
        <v>74</v>
      </c>
      <c r="M177" t="s">
        <v>77</v>
      </c>
      <c r="N177" t="s">
        <v>78</v>
      </c>
      <c r="O177" t="s">
        <v>74</v>
      </c>
      <c r="P177" t="s">
        <v>74</v>
      </c>
      <c r="Q177" t="s">
        <v>74</v>
      </c>
      <c r="R177" t="s">
        <v>74</v>
      </c>
      <c r="S177" t="s">
        <v>74</v>
      </c>
      <c r="T177" t="s">
        <v>74</v>
      </c>
      <c r="U177" t="s">
        <v>3244</v>
      </c>
      <c r="V177" t="s">
        <v>3245</v>
      </c>
      <c r="W177" t="s">
        <v>3246</v>
      </c>
      <c r="X177" t="s">
        <v>3247</v>
      </c>
      <c r="Y177" t="s">
        <v>3248</v>
      </c>
      <c r="Z177" t="s">
        <v>3249</v>
      </c>
      <c r="AA177" t="s">
        <v>3250</v>
      </c>
      <c r="AB177" t="s">
        <v>74</v>
      </c>
      <c r="AC177" t="s">
        <v>74</v>
      </c>
      <c r="AD177" t="s">
        <v>74</v>
      </c>
      <c r="AE177" t="s">
        <v>74</v>
      </c>
      <c r="AF177" t="s">
        <v>74</v>
      </c>
      <c r="AG177">
        <v>50</v>
      </c>
      <c r="AH177">
        <v>51</v>
      </c>
      <c r="AI177">
        <v>54</v>
      </c>
      <c r="AJ177">
        <v>4</v>
      </c>
      <c r="AK177">
        <v>111</v>
      </c>
      <c r="AL177" t="s">
        <v>350</v>
      </c>
      <c r="AM177" t="s">
        <v>351</v>
      </c>
      <c r="AN177" t="s">
        <v>352</v>
      </c>
      <c r="AO177" t="s">
        <v>1701</v>
      </c>
      <c r="AP177" t="s">
        <v>1702</v>
      </c>
      <c r="AQ177" t="s">
        <v>74</v>
      </c>
      <c r="AR177" t="s">
        <v>1703</v>
      </c>
      <c r="AS177" t="s">
        <v>1704</v>
      </c>
      <c r="AT177" t="s">
        <v>892</v>
      </c>
      <c r="AU177">
        <v>2016</v>
      </c>
      <c r="AV177">
        <v>40</v>
      </c>
      <c r="AW177">
        <v>1</v>
      </c>
      <c r="AX177" t="s">
        <v>74</v>
      </c>
      <c r="AY177" t="s">
        <v>74</v>
      </c>
      <c r="AZ177" t="s">
        <v>74</v>
      </c>
      <c r="BA177" t="s">
        <v>74</v>
      </c>
      <c r="BB177">
        <v>161</v>
      </c>
      <c r="BC177">
        <v>176</v>
      </c>
      <c r="BD177" t="s">
        <v>74</v>
      </c>
      <c r="BE177" t="s">
        <v>3251</v>
      </c>
      <c r="BF177" t="str">
        <f>HYPERLINK("http://dx.doi.org/10.1111/etap.12113","http://dx.doi.org/10.1111/etap.12113")</f>
        <v>http://dx.doi.org/10.1111/etap.12113</v>
      </c>
      <c r="BG177" t="s">
        <v>74</v>
      </c>
      <c r="BH177" t="s">
        <v>74</v>
      </c>
      <c r="BI177">
        <v>16</v>
      </c>
      <c r="BJ177" t="s">
        <v>337</v>
      </c>
      <c r="BK177" t="s">
        <v>94</v>
      </c>
      <c r="BL177" t="s">
        <v>95</v>
      </c>
      <c r="BM177" t="s">
        <v>3252</v>
      </c>
      <c r="BN177" t="s">
        <v>74</v>
      </c>
      <c r="BO177" t="s">
        <v>378</v>
      </c>
      <c r="BP177" t="s">
        <v>74</v>
      </c>
      <c r="BQ177" t="s">
        <v>74</v>
      </c>
      <c r="BR177" t="s">
        <v>97</v>
      </c>
      <c r="BS177" t="s">
        <v>3253</v>
      </c>
      <c r="BT177" t="str">
        <f>HYPERLINK("https%3A%2F%2Fwww.webofscience.com%2Fwos%2Fwoscc%2Ffull-record%2FWOS:000368943800008","View Full Record in Web of Science")</f>
        <v>View Full Record in Web of Science</v>
      </c>
    </row>
    <row r="178" spans="1:72" x14ac:dyDescent="0.25">
      <c r="A178" t="s">
        <v>72</v>
      </c>
      <c r="B178" t="s">
        <v>3254</v>
      </c>
      <c r="C178" t="s">
        <v>74</v>
      </c>
      <c r="D178" t="s">
        <v>74</v>
      </c>
      <c r="E178" t="s">
        <v>74</v>
      </c>
      <c r="F178" t="s">
        <v>3255</v>
      </c>
      <c r="G178" t="s">
        <v>74</v>
      </c>
      <c r="H178" t="s">
        <v>74</v>
      </c>
      <c r="I178" t="s">
        <v>3256</v>
      </c>
      <c r="J178" t="s">
        <v>2182</v>
      </c>
      <c r="K178" t="s">
        <v>74</v>
      </c>
      <c r="L178" t="s">
        <v>74</v>
      </c>
      <c r="M178" t="s">
        <v>77</v>
      </c>
      <c r="N178" t="s">
        <v>78</v>
      </c>
      <c r="O178" t="s">
        <v>74</v>
      </c>
      <c r="P178" t="s">
        <v>74</v>
      </c>
      <c r="Q178" t="s">
        <v>74</v>
      </c>
      <c r="R178" t="s">
        <v>74</v>
      </c>
      <c r="S178" t="s">
        <v>74</v>
      </c>
      <c r="T178" t="s">
        <v>3257</v>
      </c>
      <c r="U178" t="s">
        <v>3258</v>
      </c>
      <c r="V178" t="s">
        <v>3259</v>
      </c>
      <c r="W178" t="s">
        <v>3260</v>
      </c>
      <c r="X178" t="s">
        <v>3261</v>
      </c>
      <c r="Y178" t="s">
        <v>3262</v>
      </c>
      <c r="Z178" t="s">
        <v>3263</v>
      </c>
      <c r="AA178" t="s">
        <v>74</v>
      </c>
      <c r="AB178" t="s">
        <v>74</v>
      </c>
      <c r="AC178" t="s">
        <v>74</v>
      </c>
      <c r="AD178" t="s">
        <v>74</v>
      </c>
      <c r="AE178" t="s">
        <v>74</v>
      </c>
      <c r="AF178" t="s">
        <v>74</v>
      </c>
      <c r="AG178">
        <v>60</v>
      </c>
      <c r="AH178">
        <v>51</v>
      </c>
      <c r="AI178">
        <v>53</v>
      </c>
      <c r="AJ178">
        <v>9</v>
      </c>
      <c r="AK178">
        <v>129</v>
      </c>
      <c r="AL178" t="s">
        <v>665</v>
      </c>
      <c r="AM178" t="s">
        <v>666</v>
      </c>
      <c r="AN178" t="s">
        <v>667</v>
      </c>
      <c r="AO178" t="s">
        <v>2192</v>
      </c>
      <c r="AP178" t="s">
        <v>2193</v>
      </c>
      <c r="AQ178" t="s">
        <v>74</v>
      </c>
      <c r="AR178" t="s">
        <v>2194</v>
      </c>
      <c r="AS178" t="s">
        <v>2195</v>
      </c>
      <c r="AT178" t="s">
        <v>74</v>
      </c>
      <c r="AU178">
        <v>2015</v>
      </c>
      <c r="AV178">
        <v>30</v>
      </c>
      <c r="AW178">
        <v>8</v>
      </c>
      <c r="AX178" t="s">
        <v>74</v>
      </c>
      <c r="AY178" t="s">
        <v>74</v>
      </c>
      <c r="AZ178" t="s">
        <v>74</v>
      </c>
      <c r="BA178" t="s">
        <v>74</v>
      </c>
      <c r="BB178">
        <v>878</v>
      </c>
      <c r="BC178">
        <v>893</v>
      </c>
      <c r="BD178" t="s">
        <v>74</v>
      </c>
      <c r="BE178" t="s">
        <v>3264</v>
      </c>
      <c r="BF178" t="str">
        <f>HYPERLINK("http://dx.doi.org/10.1108/JMP-03-2013-0082","http://dx.doi.org/10.1108/JMP-03-2013-0082")</f>
        <v>http://dx.doi.org/10.1108/JMP-03-2013-0082</v>
      </c>
      <c r="BG178" t="s">
        <v>74</v>
      </c>
      <c r="BH178" t="s">
        <v>74</v>
      </c>
      <c r="BI178">
        <v>16</v>
      </c>
      <c r="BJ178" t="s">
        <v>202</v>
      </c>
      <c r="BK178" t="s">
        <v>94</v>
      </c>
      <c r="BL178" t="s">
        <v>203</v>
      </c>
      <c r="BM178" t="s">
        <v>3265</v>
      </c>
      <c r="BN178" t="s">
        <v>74</v>
      </c>
      <c r="BO178" t="s">
        <v>74</v>
      </c>
      <c r="BP178" t="s">
        <v>74</v>
      </c>
      <c r="BQ178" t="s">
        <v>74</v>
      </c>
      <c r="BR178" t="s">
        <v>97</v>
      </c>
      <c r="BS178" t="s">
        <v>3266</v>
      </c>
      <c r="BT178" t="str">
        <f>HYPERLINK("https%3A%2F%2Fwww.webofscience.com%2Fwos%2Fwoscc%2Ffull-record%2FWOS:000368260000001","View Full Record in Web of Science")</f>
        <v>View Full Record in Web of Science</v>
      </c>
    </row>
    <row r="179" spans="1:72" x14ac:dyDescent="0.25">
      <c r="A179" t="s">
        <v>72</v>
      </c>
      <c r="B179" t="s">
        <v>3267</v>
      </c>
      <c r="C179" t="s">
        <v>74</v>
      </c>
      <c r="D179" t="s">
        <v>74</v>
      </c>
      <c r="E179" t="s">
        <v>74</v>
      </c>
      <c r="F179" t="s">
        <v>3268</v>
      </c>
      <c r="G179" t="s">
        <v>74</v>
      </c>
      <c r="H179" t="s">
        <v>74</v>
      </c>
      <c r="I179" t="s">
        <v>3269</v>
      </c>
      <c r="J179" t="s">
        <v>1290</v>
      </c>
      <c r="K179" t="s">
        <v>74</v>
      </c>
      <c r="L179" t="s">
        <v>74</v>
      </c>
      <c r="M179" t="s">
        <v>77</v>
      </c>
      <c r="N179" t="s">
        <v>78</v>
      </c>
      <c r="O179" t="s">
        <v>74</v>
      </c>
      <c r="P179" t="s">
        <v>74</v>
      </c>
      <c r="Q179" t="s">
        <v>74</v>
      </c>
      <c r="R179" t="s">
        <v>74</v>
      </c>
      <c r="S179" t="s">
        <v>74</v>
      </c>
      <c r="T179" t="s">
        <v>3270</v>
      </c>
      <c r="U179" t="s">
        <v>3271</v>
      </c>
      <c r="V179" t="s">
        <v>3272</v>
      </c>
      <c r="W179" t="s">
        <v>3273</v>
      </c>
      <c r="X179" t="s">
        <v>3274</v>
      </c>
      <c r="Y179" t="s">
        <v>3275</v>
      </c>
      <c r="Z179" t="s">
        <v>3276</v>
      </c>
      <c r="AA179" t="s">
        <v>74</v>
      </c>
      <c r="AB179" t="s">
        <v>74</v>
      </c>
      <c r="AC179" t="s">
        <v>74</v>
      </c>
      <c r="AD179" t="s">
        <v>74</v>
      </c>
      <c r="AE179" t="s">
        <v>74</v>
      </c>
      <c r="AF179" t="s">
        <v>74</v>
      </c>
      <c r="AG179">
        <v>74</v>
      </c>
      <c r="AH179">
        <v>51</v>
      </c>
      <c r="AI179">
        <v>52</v>
      </c>
      <c r="AJ179">
        <v>8</v>
      </c>
      <c r="AK179">
        <v>101</v>
      </c>
      <c r="AL179" t="s">
        <v>665</v>
      </c>
      <c r="AM179" t="s">
        <v>666</v>
      </c>
      <c r="AN179" t="s">
        <v>667</v>
      </c>
      <c r="AO179" t="s">
        <v>1300</v>
      </c>
      <c r="AP179" t="s">
        <v>1301</v>
      </c>
      <c r="AQ179" t="s">
        <v>74</v>
      </c>
      <c r="AR179" t="s">
        <v>1302</v>
      </c>
      <c r="AS179" t="s">
        <v>1303</v>
      </c>
      <c r="AT179" t="s">
        <v>74</v>
      </c>
      <c r="AU179">
        <v>2014</v>
      </c>
      <c r="AV179">
        <v>26</v>
      </c>
      <c r="AW179">
        <v>7</v>
      </c>
      <c r="AX179" t="s">
        <v>74</v>
      </c>
      <c r="AY179" t="s">
        <v>74</v>
      </c>
      <c r="AZ179" t="s">
        <v>74</v>
      </c>
      <c r="BA179" t="s">
        <v>74</v>
      </c>
      <c r="BB179">
        <v>1100</v>
      </c>
      <c r="BC179">
        <v>1117</v>
      </c>
      <c r="BD179" t="s">
        <v>74</v>
      </c>
      <c r="BE179" t="s">
        <v>3277</v>
      </c>
      <c r="BF179" t="str">
        <f>HYPERLINK("http://dx.doi.org/10.1108/IJCHM-03-2013-0153","http://dx.doi.org/10.1108/IJCHM-03-2013-0153")</f>
        <v>http://dx.doi.org/10.1108/IJCHM-03-2013-0153</v>
      </c>
      <c r="BG179" t="s">
        <v>74</v>
      </c>
      <c r="BH179" t="s">
        <v>74</v>
      </c>
      <c r="BI179">
        <v>18</v>
      </c>
      <c r="BJ179" t="s">
        <v>1305</v>
      </c>
      <c r="BK179" t="s">
        <v>94</v>
      </c>
      <c r="BL179" t="s">
        <v>1306</v>
      </c>
      <c r="BM179" t="s">
        <v>3278</v>
      </c>
      <c r="BN179" t="s">
        <v>74</v>
      </c>
      <c r="BO179" t="s">
        <v>74</v>
      </c>
      <c r="BP179" t="s">
        <v>74</v>
      </c>
      <c r="BQ179" t="s">
        <v>74</v>
      </c>
      <c r="BR179" t="s">
        <v>97</v>
      </c>
      <c r="BS179" t="s">
        <v>3279</v>
      </c>
      <c r="BT179" t="str">
        <f>HYPERLINK("https%3A%2F%2Fwww.webofscience.com%2Fwos%2Fwoscc%2Ffull-record%2FWOS:000345029700006","View Full Record in Web of Science")</f>
        <v>View Full Record in Web of Science</v>
      </c>
    </row>
    <row r="180" spans="1:72" x14ac:dyDescent="0.25">
      <c r="A180" t="s">
        <v>72</v>
      </c>
      <c r="B180" t="s">
        <v>3280</v>
      </c>
      <c r="C180" t="s">
        <v>74</v>
      </c>
      <c r="D180" t="s">
        <v>74</v>
      </c>
      <c r="E180" t="s">
        <v>74</v>
      </c>
      <c r="F180" t="s">
        <v>3281</v>
      </c>
      <c r="G180" t="s">
        <v>74</v>
      </c>
      <c r="H180" t="s">
        <v>74</v>
      </c>
      <c r="I180" t="s">
        <v>3282</v>
      </c>
      <c r="J180" t="s">
        <v>3283</v>
      </c>
      <c r="K180" t="s">
        <v>74</v>
      </c>
      <c r="L180" t="s">
        <v>74</v>
      </c>
      <c r="M180" t="s">
        <v>77</v>
      </c>
      <c r="N180" t="s">
        <v>78</v>
      </c>
      <c r="O180" t="s">
        <v>74</v>
      </c>
      <c r="P180" t="s">
        <v>74</v>
      </c>
      <c r="Q180" t="s">
        <v>74</v>
      </c>
      <c r="R180" t="s">
        <v>74</v>
      </c>
      <c r="S180" t="s">
        <v>74</v>
      </c>
      <c r="T180" t="s">
        <v>3284</v>
      </c>
      <c r="U180" t="s">
        <v>3285</v>
      </c>
      <c r="V180" t="s">
        <v>3286</v>
      </c>
      <c r="W180" t="s">
        <v>3287</v>
      </c>
      <c r="X180" t="s">
        <v>3288</v>
      </c>
      <c r="Y180" t="s">
        <v>3289</v>
      </c>
      <c r="Z180" t="s">
        <v>3290</v>
      </c>
      <c r="AA180" t="s">
        <v>74</v>
      </c>
      <c r="AB180" t="s">
        <v>74</v>
      </c>
      <c r="AC180" t="s">
        <v>74</v>
      </c>
      <c r="AD180" t="s">
        <v>74</v>
      </c>
      <c r="AE180" t="s">
        <v>74</v>
      </c>
      <c r="AF180" t="s">
        <v>74</v>
      </c>
      <c r="AG180">
        <v>35</v>
      </c>
      <c r="AH180">
        <v>51</v>
      </c>
      <c r="AI180">
        <v>59</v>
      </c>
      <c r="AJ180">
        <v>2</v>
      </c>
      <c r="AK180">
        <v>42</v>
      </c>
      <c r="AL180" t="s">
        <v>2304</v>
      </c>
      <c r="AM180" t="s">
        <v>160</v>
      </c>
      <c r="AN180" t="s">
        <v>2305</v>
      </c>
      <c r="AO180" t="s">
        <v>3291</v>
      </c>
      <c r="AP180" t="s">
        <v>3292</v>
      </c>
      <c r="AQ180" t="s">
        <v>74</v>
      </c>
      <c r="AR180" t="s">
        <v>3293</v>
      </c>
      <c r="AS180" t="s">
        <v>3294</v>
      </c>
      <c r="AT180" t="s">
        <v>256</v>
      </c>
      <c r="AU180">
        <v>2008</v>
      </c>
      <c r="AV180">
        <v>45</v>
      </c>
      <c r="AW180">
        <v>10</v>
      </c>
      <c r="AX180" t="s">
        <v>74</v>
      </c>
      <c r="AY180" t="s">
        <v>74</v>
      </c>
      <c r="AZ180" t="s">
        <v>74</v>
      </c>
      <c r="BA180" t="s">
        <v>74</v>
      </c>
      <c r="BB180">
        <v>1442</v>
      </c>
      <c r="BC180">
        <v>1448</v>
      </c>
      <c r="BD180" t="s">
        <v>74</v>
      </c>
      <c r="BE180" t="s">
        <v>3295</v>
      </c>
      <c r="BF180" t="str">
        <f>HYPERLINK("http://dx.doi.org/10.1016/j.ijnurstu.2007.12.006","http://dx.doi.org/10.1016/j.ijnurstu.2007.12.006")</f>
        <v>http://dx.doi.org/10.1016/j.ijnurstu.2007.12.006</v>
      </c>
      <c r="BG180" t="s">
        <v>74</v>
      </c>
      <c r="BH180" t="s">
        <v>74</v>
      </c>
      <c r="BI180">
        <v>7</v>
      </c>
      <c r="BJ180" t="s">
        <v>980</v>
      </c>
      <c r="BK180" t="s">
        <v>147</v>
      </c>
      <c r="BL180" t="s">
        <v>980</v>
      </c>
      <c r="BM180" t="s">
        <v>3296</v>
      </c>
      <c r="BN180">
        <v>18295217</v>
      </c>
      <c r="BO180" t="s">
        <v>74</v>
      </c>
      <c r="BP180" t="s">
        <v>74</v>
      </c>
      <c r="BQ180" t="s">
        <v>74</v>
      </c>
      <c r="BR180" t="s">
        <v>97</v>
      </c>
      <c r="BS180" t="s">
        <v>3297</v>
      </c>
      <c r="BT180" t="str">
        <f>HYPERLINK("https%3A%2F%2Fwww.webofscience.com%2Fwos%2Fwoscc%2Ffull-record%2FWOS:000259848300006","View Full Record in Web of Science")</f>
        <v>View Full Record in Web of Science</v>
      </c>
    </row>
    <row r="181" spans="1:72" x14ac:dyDescent="0.25">
      <c r="A181" t="s">
        <v>72</v>
      </c>
      <c r="B181" t="s">
        <v>3298</v>
      </c>
      <c r="C181" t="s">
        <v>74</v>
      </c>
      <c r="D181" t="s">
        <v>74</v>
      </c>
      <c r="E181" t="s">
        <v>74</v>
      </c>
      <c r="F181" t="s">
        <v>3298</v>
      </c>
      <c r="G181" t="s">
        <v>74</v>
      </c>
      <c r="H181" t="s">
        <v>74</v>
      </c>
      <c r="I181" t="s">
        <v>3299</v>
      </c>
      <c r="J181" t="s">
        <v>3300</v>
      </c>
      <c r="K181" t="s">
        <v>74</v>
      </c>
      <c r="L181" t="s">
        <v>74</v>
      </c>
      <c r="M181" t="s">
        <v>77</v>
      </c>
      <c r="N181" t="s">
        <v>78</v>
      </c>
      <c r="O181" t="s">
        <v>74</v>
      </c>
      <c r="P181" t="s">
        <v>74</v>
      </c>
      <c r="Q181" t="s">
        <v>74</v>
      </c>
      <c r="R181" t="s">
        <v>74</v>
      </c>
      <c r="S181" t="s">
        <v>74</v>
      </c>
      <c r="T181" t="s">
        <v>74</v>
      </c>
      <c r="U181" t="s">
        <v>74</v>
      </c>
      <c r="V181" t="s">
        <v>74</v>
      </c>
      <c r="W181" t="s">
        <v>74</v>
      </c>
      <c r="X181" t="s">
        <v>74</v>
      </c>
      <c r="Y181" t="s">
        <v>74</v>
      </c>
      <c r="Z181" t="s">
        <v>74</v>
      </c>
      <c r="AA181" t="s">
        <v>74</v>
      </c>
      <c r="AB181" t="s">
        <v>74</v>
      </c>
      <c r="AC181" t="s">
        <v>74</v>
      </c>
      <c r="AD181" t="s">
        <v>74</v>
      </c>
      <c r="AE181" t="s">
        <v>74</v>
      </c>
      <c r="AF181" t="s">
        <v>74</v>
      </c>
      <c r="AG181">
        <v>9</v>
      </c>
      <c r="AH181">
        <v>51</v>
      </c>
      <c r="AI181">
        <v>50</v>
      </c>
      <c r="AJ181">
        <v>2</v>
      </c>
      <c r="AK181">
        <v>8</v>
      </c>
      <c r="AL181" t="s">
        <v>194</v>
      </c>
      <c r="AM181" t="s">
        <v>195</v>
      </c>
      <c r="AN181" t="s">
        <v>1341</v>
      </c>
      <c r="AO181" t="s">
        <v>74</v>
      </c>
      <c r="AP181" t="s">
        <v>74</v>
      </c>
      <c r="AQ181" t="s">
        <v>74</v>
      </c>
      <c r="AR181" t="s">
        <v>3301</v>
      </c>
      <c r="AS181" t="s">
        <v>74</v>
      </c>
      <c r="AT181" t="s">
        <v>74</v>
      </c>
      <c r="AU181">
        <v>1961</v>
      </c>
      <c r="AV181">
        <v>63</v>
      </c>
      <c r="AW181">
        <v>2</v>
      </c>
      <c r="AX181" t="s">
        <v>74</v>
      </c>
      <c r="AY181" t="s">
        <v>74</v>
      </c>
      <c r="AZ181" t="s">
        <v>74</v>
      </c>
      <c r="BA181" t="s">
        <v>74</v>
      </c>
      <c r="BB181">
        <v>247</v>
      </c>
      <c r="BC181" t="s">
        <v>1345</v>
      </c>
      <c r="BD181" t="s">
        <v>74</v>
      </c>
      <c r="BE181" t="s">
        <v>3302</v>
      </c>
      <c r="BF181" t="str">
        <f>HYPERLINK("http://dx.doi.org/10.1037/h0048240","http://dx.doi.org/10.1037/h0048240")</f>
        <v>http://dx.doi.org/10.1037/h0048240</v>
      </c>
      <c r="BG181" t="s">
        <v>74</v>
      </c>
      <c r="BH181" t="s">
        <v>74</v>
      </c>
      <c r="BI181">
        <v>0</v>
      </c>
      <c r="BJ181" t="s">
        <v>460</v>
      </c>
      <c r="BK181" t="s">
        <v>1347</v>
      </c>
      <c r="BL181" t="s">
        <v>460</v>
      </c>
      <c r="BM181">
        <v>5627</v>
      </c>
      <c r="BN181">
        <v>13908382</v>
      </c>
      <c r="BO181" t="s">
        <v>74</v>
      </c>
      <c r="BP181" t="s">
        <v>74</v>
      </c>
      <c r="BQ181" t="s">
        <v>74</v>
      </c>
      <c r="BR181" t="s">
        <v>97</v>
      </c>
      <c r="BS181" t="s">
        <v>3303</v>
      </c>
      <c r="BT181" t="str">
        <f>HYPERLINK("https%3A%2F%2Fwww.webofscience.com%2Fwos%2Fwoscc%2Ffull-record%2FWOS:A19610562700019","View Full Record in Web of Science")</f>
        <v>View Full Record in Web of Science</v>
      </c>
    </row>
    <row r="182" spans="1:72" x14ac:dyDescent="0.25">
      <c r="A182" t="s">
        <v>72</v>
      </c>
      <c r="B182" t="s">
        <v>3304</v>
      </c>
      <c r="C182" t="s">
        <v>74</v>
      </c>
      <c r="D182" t="s">
        <v>74</v>
      </c>
      <c r="E182" t="s">
        <v>74</v>
      </c>
      <c r="F182" t="s">
        <v>3304</v>
      </c>
      <c r="G182" t="s">
        <v>74</v>
      </c>
      <c r="H182" t="s">
        <v>74</v>
      </c>
      <c r="I182" t="s">
        <v>3305</v>
      </c>
      <c r="J182" t="s">
        <v>3306</v>
      </c>
      <c r="K182" t="s">
        <v>74</v>
      </c>
      <c r="L182" t="s">
        <v>74</v>
      </c>
      <c r="M182" t="s">
        <v>77</v>
      </c>
      <c r="N182" t="s">
        <v>78</v>
      </c>
      <c r="O182" t="s">
        <v>74</v>
      </c>
      <c r="P182" t="s">
        <v>74</v>
      </c>
      <c r="Q182" t="s">
        <v>74</v>
      </c>
      <c r="R182" t="s">
        <v>74</v>
      </c>
      <c r="S182" t="s">
        <v>74</v>
      </c>
      <c r="T182" t="s">
        <v>3307</v>
      </c>
      <c r="U182" t="s">
        <v>3308</v>
      </c>
      <c r="V182" t="s">
        <v>3309</v>
      </c>
      <c r="W182" t="s">
        <v>3310</v>
      </c>
      <c r="X182" t="s">
        <v>3311</v>
      </c>
      <c r="Y182" t="s">
        <v>3312</v>
      </c>
      <c r="Z182" t="s">
        <v>74</v>
      </c>
      <c r="AA182" t="s">
        <v>74</v>
      </c>
      <c r="AB182" t="s">
        <v>74</v>
      </c>
      <c r="AC182" t="s">
        <v>74</v>
      </c>
      <c r="AD182" t="s">
        <v>74</v>
      </c>
      <c r="AE182" t="s">
        <v>74</v>
      </c>
      <c r="AF182" t="s">
        <v>74</v>
      </c>
      <c r="AG182">
        <v>68</v>
      </c>
      <c r="AH182">
        <v>50</v>
      </c>
      <c r="AI182">
        <v>50</v>
      </c>
      <c r="AJ182">
        <v>3</v>
      </c>
      <c r="AK182">
        <v>42</v>
      </c>
      <c r="AL182" t="s">
        <v>2351</v>
      </c>
      <c r="AM182" t="s">
        <v>541</v>
      </c>
      <c r="AN182" t="s">
        <v>2352</v>
      </c>
      <c r="AO182" t="s">
        <v>3313</v>
      </c>
      <c r="AP182" t="s">
        <v>3314</v>
      </c>
      <c r="AQ182" t="s">
        <v>74</v>
      </c>
      <c r="AR182" t="s">
        <v>3315</v>
      </c>
      <c r="AS182" t="s">
        <v>3316</v>
      </c>
      <c r="AT182" t="s">
        <v>74</v>
      </c>
      <c r="AU182">
        <v>2001</v>
      </c>
      <c r="AV182">
        <v>22</v>
      </c>
      <c r="AW182">
        <v>5</v>
      </c>
      <c r="AX182" t="s">
        <v>74</v>
      </c>
      <c r="AY182" t="s">
        <v>74</v>
      </c>
      <c r="AZ182" t="s">
        <v>74</v>
      </c>
      <c r="BA182" t="s">
        <v>74</v>
      </c>
      <c r="BB182">
        <v>765</v>
      </c>
      <c r="BC182">
        <v>795</v>
      </c>
      <c r="BD182" t="s">
        <v>74</v>
      </c>
      <c r="BE182" t="s">
        <v>3317</v>
      </c>
      <c r="BF182" t="str">
        <f>HYPERLINK("http://dx.doi.org/10.1177/0170840601225002","http://dx.doi.org/10.1177/0170840601225002")</f>
        <v>http://dx.doi.org/10.1177/0170840601225002</v>
      </c>
      <c r="BG182" t="s">
        <v>74</v>
      </c>
      <c r="BH182" t="s">
        <v>74</v>
      </c>
      <c r="BI182">
        <v>31</v>
      </c>
      <c r="BJ182" t="s">
        <v>442</v>
      </c>
      <c r="BK182" t="s">
        <v>94</v>
      </c>
      <c r="BL182" t="s">
        <v>95</v>
      </c>
      <c r="BM182" t="s">
        <v>3318</v>
      </c>
      <c r="BN182" t="s">
        <v>74</v>
      </c>
      <c r="BO182" t="s">
        <v>74</v>
      </c>
      <c r="BP182" t="s">
        <v>74</v>
      </c>
      <c r="BQ182" t="s">
        <v>74</v>
      </c>
      <c r="BR182" t="s">
        <v>97</v>
      </c>
      <c r="BS182" t="s">
        <v>3319</v>
      </c>
      <c r="BT182" t="str">
        <f>HYPERLINK("https%3A%2F%2Fwww.webofscience.com%2Fwos%2Fwoscc%2Ffull-record%2FWOS:000173493200002","View Full Record in Web of Science")</f>
        <v>View Full Record in Web of Science</v>
      </c>
    </row>
    <row r="183" spans="1:72" x14ac:dyDescent="0.25">
      <c r="A183" t="s">
        <v>72</v>
      </c>
      <c r="B183" t="s">
        <v>3320</v>
      </c>
      <c r="C183" t="s">
        <v>74</v>
      </c>
      <c r="D183" t="s">
        <v>74</v>
      </c>
      <c r="E183" t="s">
        <v>74</v>
      </c>
      <c r="F183" t="s">
        <v>3321</v>
      </c>
      <c r="G183" t="s">
        <v>74</v>
      </c>
      <c r="H183" t="s">
        <v>74</v>
      </c>
      <c r="I183" t="s">
        <v>3322</v>
      </c>
      <c r="J183" t="s">
        <v>2252</v>
      </c>
      <c r="K183" t="s">
        <v>74</v>
      </c>
      <c r="L183" t="s">
        <v>74</v>
      </c>
      <c r="M183" t="s">
        <v>77</v>
      </c>
      <c r="N183" t="s">
        <v>78</v>
      </c>
      <c r="O183" t="s">
        <v>74</v>
      </c>
      <c r="P183" t="s">
        <v>74</v>
      </c>
      <c r="Q183" t="s">
        <v>74</v>
      </c>
      <c r="R183" t="s">
        <v>74</v>
      </c>
      <c r="S183" t="s">
        <v>74</v>
      </c>
      <c r="T183" t="s">
        <v>74</v>
      </c>
      <c r="U183" t="s">
        <v>3323</v>
      </c>
      <c r="V183" t="s">
        <v>3324</v>
      </c>
      <c r="W183" t="s">
        <v>3325</v>
      </c>
      <c r="X183" t="s">
        <v>3326</v>
      </c>
      <c r="Y183" t="s">
        <v>3327</v>
      </c>
      <c r="Z183" t="s">
        <v>3328</v>
      </c>
      <c r="AA183" t="s">
        <v>3329</v>
      </c>
      <c r="AB183" t="s">
        <v>3330</v>
      </c>
      <c r="AC183" t="s">
        <v>74</v>
      </c>
      <c r="AD183" t="s">
        <v>74</v>
      </c>
      <c r="AE183" t="s">
        <v>74</v>
      </c>
      <c r="AF183" t="s">
        <v>74</v>
      </c>
      <c r="AG183">
        <v>61</v>
      </c>
      <c r="AH183">
        <v>49</v>
      </c>
      <c r="AI183">
        <v>49</v>
      </c>
      <c r="AJ183">
        <v>22</v>
      </c>
      <c r="AK183">
        <v>83</v>
      </c>
      <c r="AL183" t="s">
        <v>602</v>
      </c>
      <c r="AM183" t="s">
        <v>160</v>
      </c>
      <c r="AN183" t="s">
        <v>603</v>
      </c>
      <c r="AO183" t="s">
        <v>2261</v>
      </c>
      <c r="AP183" t="s">
        <v>2262</v>
      </c>
      <c r="AQ183" t="s">
        <v>74</v>
      </c>
      <c r="AR183" t="s">
        <v>2263</v>
      </c>
      <c r="AS183" t="s">
        <v>2264</v>
      </c>
      <c r="AT183" t="s">
        <v>892</v>
      </c>
      <c r="AU183">
        <v>2021</v>
      </c>
      <c r="AV183">
        <v>39</v>
      </c>
      <c r="AW183">
        <v>1</v>
      </c>
      <c r="AX183" t="s">
        <v>74</v>
      </c>
      <c r="AY183" t="s">
        <v>74</v>
      </c>
      <c r="AZ183" t="s">
        <v>74</v>
      </c>
      <c r="BA183" t="s">
        <v>74</v>
      </c>
      <c r="BB183">
        <v>10</v>
      </c>
      <c r="BC183">
        <v>20</v>
      </c>
      <c r="BD183" t="s">
        <v>74</v>
      </c>
      <c r="BE183" t="s">
        <v>3331</v>
      </c>
      <c r="BF183" t="str">
        <f>HYPERLINK("http://dx.doi.org/10.1016/j.ijproman.2020.09.002","http://dx.doi.org/10.1016/j.ijproman.2020.09.002")</f>
        <v>http://dx.doi.org/10.1016/j.ijproman.2020.09.002</v>
      </c>
      <c r="BG183" t="s">
        <v>74</v>
      </c>
      <c r="BH183" t="s">
        <v>74</v>
      </c>
      <c r="BI183">
        <v>11</v>
      </c>
      <c r="BJ183" t="s">
        <v>442</v>
      </c>
      <c r="BK183" t="s">
        <v>94</v>
      </c>
      <c r="BL183" t="s">
        <v>95</v>
      </c>
      <c r="BM183" t="s">
        <v>3332</v>
      </c>
      <c r="BN183" t="s">
        <v>74</v>
      </c>
      <c r="BO183" t="s">
        <v>74</v>
      </c>
      <c r="BP183" t="s">
        <v>74</v>
      </c>
      <c r="BQ183" t="s">
        <v>74</v>
      </c>
      <c r="BR183" t="s">
        <v>97</v>
      </c>
      <c r="BS183" t="s">
        <v>3333</v>
      </c>
      <c r="BT183" t="str">
        <f>HYPERLINK("https%3A%2F%2Fwww.webofscience.com%2Fwos%2Fwoscc%2Ffull-record%2FWOS:000604267900002","View Full Record in Web of Science")</f>
        <v>View Full Record in Web of Science</v>
      </c>
    </row>
    <row r="184" spans="1:72" x14ac:dyDescent="0.25">
      <c r="A184" t="s">
        <v>72</v>
      </c>
      <c r="B184" t="s">
        <v>3334</v>
      </c>
      <c r="C184" t="s">
        <v>74</v>
      </c>
      <c r="D184" t="s">
        <v>74</v>
      </c>
      <c r="E184" t="s">
        <v>74</v>
      </c>
      <c r="F184" t="s">
        <v>3335</v>
      </c>
      <c r="G184" t="s">
        <v>74</v>
      </c>
      <c r="H184" t="s">
        <v>74</v>
      </c>
      <c r="I184" t="s">
        <v>3336</v>
      </c>
      <c r="J184" t="s">
        <v>2114</v>
      </c>
      <c r="K184" t="s">
        <v>74</v>
      </c>
      <c r="L184" t="s">
        <v>74</v>
      </c>
      <c r="M184" t="s">
        <v>77</v>
      </c>
      <c r="N184" t="s">
        <v>78</v>
      </c>
      <c r="O184" t="s">
        <v>74</v>
      </c>
      <c r="P184" t="s">
        <v>74</v>
      </c>
      <c r="Q184" t="s">
        <v>74</v>
      </c>
      <c r="R184" t="s">
        <v>74</v>
      </c>
      <c r="S184" t="s">
        <v>74</v>
      </c>
      <c r="T184" t="s">
        <v>3337</v>
      </c>
      <c r="U184" t="s">
        <v>3338</v>
      </c>
      <c r="V184" t="s">
        <v>3339</v>
      </c>
      <c r="W184" t="s">
        <v>3340</v>
      </c>
      <c r="X184" t="s">
        <v>3341</v>
      </c>
      <c r="Y184" t="s">
        <v>3342</v>
      </c>
      <c r="Z184" t="s">
        <v>3343</v>
      </c>
      <c r="AA184" t="s">
        <v>3344</v>
      </c>
      <c r="AB184" t="s">
        <v>3345</v>
      </c>
      <c r="AC184" t="s">
        <v>2814</v>
      </c>
      <c r="AD184" t="s">
        <v>2815</v>
      </c>
      <c r="AE184" t="s">
        <v>74</v>
      </c>
      <c r="AF184" t="s">
        <v>74</v>
      </c>
      <c r="AG184">
        <v>63</v>
      </c>
      <c r="AH184">
        <v>49</v>
      </c>
      <c r="AI184">
        <v>49</v>
      </c>
      <c r="AJ184">
        <v>4</v>
      </c>
      <c r="AK184">
        <v>83</v>
      </c>
      <c r="AL184" t="s">
        <v>218</v>
      </c>
      <c r="AM184" t="s">
        <v>219</v>
      </c>
      <c r="AN184" t="s">
        <v>220</v>
      </c>
      <c r="AO184" t="s">
        <v>2124</v>
      </c>
      <c r="AP184" t="s">
        <v>2125</v>
      </c>
      <c r="AQ184" t="s">
        <v>74</v>
      </c>
      <c r="AR184" t="s">
        <v>2126</v>
      </c>
      <c r="AS184" t="s">
        <v>2127</v>
      </c>
      <c r="AT184" t="s">
        <v>122</v>
      </c>
      <c r="AU184">
        <v>2017</v>
      </c>
      <c r="AV184">
        <v>27</v>
      </c>
      <c r="AW184">
        <v>2</v>
      </c>
      <c r="AX184" t="s">
        <v>74</v>
      </c>
      <c r="AY184" t="s">
        <v>74</v>
      </c>
      <c r="AZ184" t="s">
        <v>860</v>
      </c>
      <c r="BA184" t="s">
        <v>74</v>
      </c>
      <c r="BB184">
        <v>246</v>
      </c>
      <c r="BC184">
        <v>263</v>
      </c>
      <c r="BD184" t="s">
        <v>74</v>
      </c>
      <c r="BE184" t="s">
        <v>3346</v>
      </c>
      <c r="BF184" t="str">
        <f>HYPERLINK("http://dx.doi.org/10.1111/1748-8583.12102","http://dx.doi.org/10.1111/1748-8583.12102")</f>
        <v>http://dx.doi.org/10.1111/1748-8583.12102</v>
      </c>
      <c r="BG184" t="s">
        <v>74</v>
      </c>
      <c r="BH184" t="s">
        <v>74</v>
      </c>
      <c r="BI184">
        <v>18</v>
      </c>
      <c r="BJ184" t="s">
        <v>673</v>
      </c>
      <c r="BK184" t="s">
        <v>94</v>
      </c>
      <c r="BL184" t="s">
        <v>95</v>
      </c>
      <c r="BM184" t="s">
        <v>3347</v>
      </c>
      <c r="BN184" t="s">
        <v>74</v>
      </c>
      <c r="BO184" t="s">
        <v>378</v>
      </c>
      <c r="BP184" t="s">
        <v>74</v>
      </c>
      <c r="BQ184" t="s">
        <v>74</v>
      </c>
      <c r="BR184" t="s">
        <v>97</v>
      </c>
      <c r="BS184" t="s">
        <v>3348</v>
      </c>
      <c r="BT184" t="str">
        <f>HYPERLINK("https%3A%2F%2Fwww.webofscience.com%2Fwos%2Fwoscc%2Ffull-record%2FWOS:000398852000004","View Full Record in Web of Science")</f>
        <v>View Full Record in Web of Science</v>
      </c>
    </row>
    <row r="185" spans="1:72" x14ac:dyDescent="0.25">
      <c r="A185" t="s">
        <v>72</v>
      </c>
      <c r="B185" t="s">
        <v>3349</v>
      </c>
      <c r="C185" t="s">
        <v>74</v>
      </c>
      <c r="D185" t="s">
        <v>74</v>
      </c>
      <c r="E185" t="s">
        <v>74</v>
      </c>
      <c r="F185" t="s">
        <v>3350</v>
      </c>
      <c r="G185" t="s">
        <v>74</v>
      </c>
      <c r="H185" t="s">
        <v>74</v>
      </c>
      <c r="I185" t="s">
        <v>3351</v>
      </c>
      <c r="J185" t="s">
        <v>3352</v>
      </c>
      <c r="K185" t="s">
        <v>74</v>
      </c>
      <c r="L185" t="s">
        <v>74</v>
      </c>
      <c r="M185" t="s">
        <v>77</v>
      </c>
      <c r="N185" t="s">
        <v>78</v>
      </c>
      <c r="O185" t="s">
        <v>74</v>
      </c>
      <c r="P185" t="s">
        <v>74</v>
      </c>
      <c r="Q185" t="s">
        <v>74</v>
      </c>
      <c r="R185" t="s">
        <v>74</v>
      </c>
      <c r="S185" t="s">
        <v>74</v>
      </c>
      <c r="T185" t="s">
        <v>3353</v>
      </c>
      <c r="U185" t="s">
        <v>3354</v>
      </c>
      <c r="V185" t="s">
        <v>3355</v>
      </c>
      <c r="W185" t="s">
        <v>3356</v>
      </c>
      <c r="X185" t="s">
        <v>3357</v>
      </c>
      <c r="Y185" t="s">
        <v>3358</v>
      </c>
      <c r="Z185" t="s">
        <v>3359</v>
      </c>
      <c r="AA185" t="s">
        <v>74</v>
      </c>
      <c r="AB185" t="s">
        <v>74</v>
      </c>
      <c r="AC185" t="s">
        <v>3360</v>
      </c>
      <c r="AD185" t="s">
        <v>3361</v>
      </c>
      <c r="AE185" t="s">
        <v>3362</v>
      </c>
      <c r="AF185" t="s">
        <v>74</v>
      </c>
      <c r="AG185">
        <v>74</v>
      </c>
      <c r="AH185">
        <v>49</v>
      </c>
      <c r="AI185">
        <v>57</v>
      </c>
      <c r="AJ185">
        <v>18</v>
      </c>
      <c r="AK185">
        <v>294</v>
      </c>
      <c r="AL185" t="s">
        <v>766</v>
      </c>
      <c r="AM185" t="s">
        <v>1193</v>
      </c>
      <c r="AN185" t="s">
        <v>1498</v>
      </c>
      <c r="AO185" t="s">
        <v>3363</v>
      </c>
      <c r="AP185" t="s">
        <v>3364</v>
      </c>
      <c r="AQ185" t="s">
        <v>74</v>
      </c>
      <c r="AR185" t="s">
        <v>3365</v>
      </c>
      <c r="AS185" t="s">
        <v>3366</v>
      </c>
      <c r="AT185" t="s">
        <v>165</v>
      </c>
      <c r="AU185">
        <v>2013</v>
      </c>
      <c r="AV185">
        <v>28</v>
      </c>
      <c r="AW185">
        <v>5</v>
      </c>
      <c r="AX185" t="s">
        <v>74</v>
      </c>
      <c r="AY185" t="s">
        <v>74</v>
      </c>
      <c r="AZ185" t="s">
        <v>74</v>
      </c>
      <c r="BA185" t="s">
        <v>74</v>
      </c>
      <c r="BB185">
        <v>943</v>
      </c>
      <c r="BC185">
        <v>957</v>
      </c>
      <c r="BD185" t="s">
        <v>74</v>
      </c>
      <c r="BE185" t="s">
        <v>3367</v>
      </c>
      <c r="BF185" t="str">
        <f>HYPERLINK("http://dx.doi.org/10.1007/s10980-013-9867-z","http://dx.doi.org/10.1007/s10980-013-9867-z")</f>
        <v>http://dx.doi.org/10.1007/s10980-013-9867-z</v>
      </c>
      <c r="BG185" t="s">
        <v>74</v>
      </c>
      <c r="BH185" t="s">
        <v>74</v>
      </c>
      <c r="BI185">
        <v>15</v>
      </c>
      <c r="BJ185" t="s">
        <v>3368</v>
      </c>
      <c r="BK185" t="s">
        <v>283</v>
      </c>
      <c r="BL185" t="s">
        <v>3369</v>
      </c>
      <c r="BM185" t="s">
        <v>3370</v>
      </c>
      <c r="BN185" t="s">
        <v>74</v>
      </c>
      <c r="BO185" t="s">
        <v>74</v>
      </c>
      <c r="BP185" t="s">
        <v>74</v>
      </c>
      <c r="BQ185" t="s">
        <v>74</v>
      </c>
      <c r="BR185" t="s">
        <v>97</v>
      </c>
      <c r="BS185" t="s">
        <v>3371</v>
      </c>
      <c r="BT185" t="str">
        <f>HYPERLINK("https%3A%2F%2Fwww.webofscience.com%2Fwos%2Fwoscc%2Ffull-record%2FWOS:000318494500012","View Full Record in Web of Science")</f>
        <v>View Full Record in Web of Science</v>
      </c>
    </row>
    <row r="186" spans="1:72" x14ac:dyDescent="0.25">
      <c r="A186" t="s">
        <v>72</v>
      </c>
      <c r="B186" t="s">
        <v>3372</v>
      </c>
      <c r="C186" t="s">
        <v>74</v>
      </c>
      <c r="D186" t="s">
        <v>74</v>
      </c>
      <c r="E186" t="s">
        <v>74</v>
      </c>
      <c r="F186" t="s">
        <v>3373</v>
      </c>
      <c r="G186" t="s">
        <v>74</v>
      </c>
      <c r="H186" t="s">
        <v>74</v>
      </c>
      <c r="I186" t="s">
        <v>3374</v>
      </c>
      <c r="J186" t="s">
        <v>3375</v>
      </c>
      <c r="K186" t="s">
        <v>74</v>
      </c>
      <c r="L186" t="s">
        <v>74</v>
      </c>
      <c r="M186" t="s">
        <v>77</v>
      </c>
      <c r="N186" t="s">
        <v>78</v>
      </c>
      <c r="O186" t="s">
        <v>74</v>
      </c>
      <c r="P186" t="s">
        <v>74</v>
      </c>
      <c r="Q186" t="s">
        <v>74</v>
      </c>
      <c r="R186" t="s">
        <v>74</v>
      </c>
      <c r="S186" t="s">
        <v>74</v>
      </c>
      <c r="T186" t="s">
        <v>3376</v>
      </c>
      <c r="U186" t="s">
        <v>3377</v>
      </c>
      <c r="V186" t="s">
        <v>3378</v>
      </c>
      <c r="W186" t="s">
        <v>3379</v>
      </c>
      <c r="X186" t="s">
        <v>3380</v>
      </c>
      <c r="Y186" t="s">
        <v>1002</v>
      </c>
      <c r="Z186" t="s">
        <v>74</v>
      </c>
      <c r="AA186" t="s">
        <v>74</v>
      </c>
      <c r="AB186" t="s">
        <v>3381</v>
      </c>
      <c r="AC186" t="s">
        <v>74</v>
      </c>
      <c r="AD186" t="s">
        <v>74</v>
      </c>
      <c r="AE186" t="s">
        <v>74</v>
      </c>
      <c r="AF186" t="s">
        <v>74</v>
      </c>
      <c r="AG186">
        <v>105</v>
      </c>
      <c r="AH186">
        <v>49</v>
      </c>
      <c r="AI186">
        <v>50</v>
      </c>
      <c r="AJ186">
        <v>1</v>
      </c>
      <c r="AK186">
        <v>77</v>
      </c>
      <c r="AL186" t="s">
        <v>218</v>
      </c>
      <c r="AM186" t="s">
        <v>219</v>
      </c>
      <c r="AN186" t="s">
        <v>220</v>
      </c>
      <c r="AO186" t="s">
        <v>3382</v>
      </c>
      <c r="AP186" t="s">
        <v>3383</v>
      </c>
      <c r="AQ186" t="s">
        <v>74</v>
      </c>
      <c r="AR186" t="s">
        <v>3384</v>
      </c>
      <c r="AS186" t="s">
        <v>3385</v>
      </c>
      <c r="AT186" t="s">
        <v>91</v>
      </c>
      <c r="AU186">
        <v>2011</v>
      </c>
      <c r="AV186">
        <v>70</v>
      </c>
      <c r="AW186">
        <v>2</v>
      </c>
      <c r="AX186" t="s">
        <v>74</v>
      </c>
      <c r="AY186" t="s">
        <v>74</v>
      </c>
      <c r="AZ186" t="s">
        <v>74</v>
      </c>
      <c r="BA186" t="s">
        <v>74</v>
      </c>
      <c r="BB186">
        <v>202</v>
      </c>
      <c r="BC186">
        <v>222</v>
      </c>
      <c r="BD186" t="s">
        <v>74</v>
      </c>
      <c r="BE186" t="s">
        <v>3386</v>
      </c>
      <c r="BF186" t="str">
        <f>HYPERLINK("http://dx.doi.org/10.1111/j.1467-8500.2011.00726.x","http://dx.doi.org/10.1111/j.1467-8500.2011.00726.x")</f>
        <v>http://dx.doi.org/10.1111/j.1467-8500.2011.00726.x</v>
      </c>
      <c r="BG186" t="s">
        <v>74</v>
      </c>
      <c r="BH186" t="s">
        <v>74</v>
      </c>
      <c r="BI186">
        <v>21</v>
      </c>
      <c r="BJ186" t="s">
        <v>1564</v>
      </c>
      <c r="BK186" t="s">
        <v>94</v>
      </c>
      <c r="BL186" t="s">
        <v>1564</v>
      </c>
      <c r="BM186" t="s">
        <v>3387</v>
      </c>
      <c r="BN186" t="s">
        <v>74</v>
      </c>
      <c r="BO186" t="s">
        <v>74</v>
      </c>
      <c r="BP186" t="s">
        <v>74</v>
      </c>
      <c r="BQ186" t="s">
        <v>74</v>
      </c>
      <c r="BR186" t="s">
        <v>97</v>
      </c>
      <c r="BS186" t="s">
        <v>3388</v>
      </c>
      <c r="BT186" t="str">
        <f>HYPERLINK("https%3A%2F%2Fwww.webofscience.com%2Fwos%2Fwoscc%2Ffull-record%2FWOS:000292101200007","View Full Record in Web of Science")</f>
        <v>View Full Record in Web of Science</v>
      </c>
    </row>
    <row r="187" spans="1:72" x14ac:dyDescent="0.25">
      <c r="A187" t="s">
        <v>72</v>
      </c>
      <c r="B187" t="s">
        <v>3389</v>
      </c>
      <c r="C187" t="s">
        <v>74</v>
      </c>
      <c r="D187" t="s">
        <v>74</v>
      </c>
      <c r="E187" t="s">
        <v>74</v>
      </c>
      <c r="F187" t="s">
        <v>3390</v>
      </c>
      <c r="G187" t="s">
        <v>74</v>
      </c>
      <c r="H187" t="s">
        <v>74</v>
      </c>
      <c r="I187" t="s">
        <v>3391</v>
      </c>
      <c r="J187" t="s">
        <v>1090</v>
      </c>
      <c r="K187" t="s">
        <v>74</v>
      </c>
      <c r="L187" t="s">
        <v>74</v>
      </c>
      <c r="M187" t="s">
        <v>77</v>
      </c>
      <c r="N187" t="s">
        <v>78</v>
      </c>
      <c r="O187" t="s">
        <v>74</v>
      </c>
      <c r="P187" t="s">
        <v>74</v>
      </c>
      <c r="Q187" t="s">
        <v>74</v>
      </c>
      <c r="R187" t="s">
        <v>74</v>
      </c>
      <c r="S187" t="s">
        <v>74</v>
      </c>
      <c r="T187" t="s">
        <v>74</v>
      </c>
      <c r="U187" t="s">
        <v>3392</v>
      </c>
      <c r="V187" t="s">
        <v>3393</v>
      </c>
      <c r="W187" t="s">
        <v>3394</v>
      </c>
      <c r="X187" t="s">
        <v>3395</v>
      </c>
      <c r="Y187" t="s">
        <v>3396</v>
      </c>
      <c r="Z187" t="s">
        <v>3397</v>
      </c>
      <c r="AA187" t="s">
        <v>74</v>
      </c>
      <c r="AB187" t="s">
        <v>74</v>
      </c>
      <c r="AC187" t="s">
        <v>74</v>
      </c>
      <c r="AD187" t="s">
        <v>74</v>
      </c>
      <c r="AE187" t="s">
        <v>74</v>
      </c>
      <c r="AF187" t="s">
        <v>74</v>
      </c>
      <c r="AG187">
        <v>47</v>
      </c>
      <c r="AH187">
        <v>49</v>
      </c>
      <c r="AI187">
        <v>50</v>
      </c>
      <c r="AJ187">
        <v>3</v>
      </c>
      <c r="AK187">
        <v>74</v>
      </c>
      <c r="AL187" t="s">
        <v>1099</v>
      </c>
      <c r="AM187" t="s">
        <v>305</v>
      </c>
      <c r="AN187" t="s">
        <v>1100</v>
      </c>
      <c r="AO187" t="s">
        <v>1101</v>
      </c>
      <c r="AP187" t="s">
        <v>1102</v>
      </c>
      <c r="AQ187" t="s">
        <v>74</v>
      </c>
      <c r="AR187" t="s">
        <v>1103</v>
      </c>
      <c r="AS187" t="s">
        <v>1104</v>
      </c>
      <c r="AT187" t="s">
        <v>74</v>
      </c>
      <c r="AU187">
        <v>2009</v>
      </c>
      <c r="AV187">
        <v>21</v>
      </c>
      <c r="AW187">
        <v>4</v>
      </c>
      <c r="AX187" t="s">
        <v>74</v>
      </c>
      <c r="AY187" t="s">
        <v>74</v>
      </c>
      <c r="AZ187" t="s">
        <v>74</v>
      </c>
      <c r="BA187" t="s">
        <v>74</v>
      </c>
      <c r="BB187">
        <v>384</v>
      </c>
      <c r="BC187">
        <v>393</v>
      </c>
      <c r="BD187" t="s">
        <v>74</v>
      </c>
      <c r="BE187" t="s">
        <v>3398</v>
      </c>
      <c r="BF187" t="str">
        <f>HYPERLINK("http://dx.doi.org/10.1080/10400410903297964","http://dx.doi.org/10.1080/10400410903297964")</f>
        <v>http://dx.doi.org/10.1080/10400410903297964</v>
      </c>
      <c r="BG187" t="s">
        <v>74</v>
      </c>
      <c r="BH187" t="s">
        <v>74</v>
      </c>
      <c r="BI187">
        <v>10</v>
      </c>
      <c r="BJ187" t="s">
        <v>1107</v>
      </c>
      <c r="BK187" t="s">
        <v>94</v>
      </c>
      <c r="BL187" t="s">
        <v>460</v>
      </c>
      <c r="BM187" t="s">
        <v>3399</v>
      </c>
      <c r="BN187" t="s">
        <v>74</v>
      </c>
      <c r="BO187" t="s">
        <v>74</v>
      </c>
      <c r="BP187" t="s">
        <v>74</v>
      </c>
      <c r="BQ187" t="s">
        <v>74</v>
      </c>
      <c r="BR187" t="s">
        <v>97</v>
      </c>
      <c r="BS187" t="s">
        <v>3400</v>
      </c>
      <c r="BT187" t="str">
        <f>HYPERLINK("https%3A%2F%2Fwww.webofscience.com%2Fwos%2Fwoscc%2Ffull-record%2FWOS:000277716900008","View Full Record in Web of Science")</f>
        <v>View Full Record in Web of Science</v>
      </c>
    </row>
    <row r="188" spans="1:72" x14ac:dyDescent="0.25">
      <c r="A188" t="s">
        <v>72</v>
      </c>
      <c r="B188" t="s">
        <v>3401</v>
      </c>
      <c r="C188" t="s">
        <v>74</v>
      </c>
      <c r="D188" t="s">
        <v>74</v>
      </c>
      <c r="E188" t="s">
        <v>74</v>
      </c>
      <c r="F188" t="s">
        <v>3401</v>
      </c>
      <c r="G188" t="s">
        <v>74</v>
      </c>
      <c r="H188" t="s">
        <v>74</v>
      </c>
      <c r="I188" t="s">
        <v>3402</v>
      </c>
      <c r="J188" t="s">
        <v>3403</v>
      </c>
      <c r="K188" t="s">
        <v>74</v>
      </c>
      <c r="L188" t="s">
        <v>74</v>
      </c>
      <c r="M188" t="s">
        <v>77</v>
      </c>
      <c r="N188" t="s">
        <v>78</v>
      </c>
      <c r="O188" t="s">
        <v>74</v>
      </c>
      <c r="P188" t="s">
        <v>74</v>
      </c>
      <c r="Q188" t="s">
        <v>74</v>
      </c>
      <c r="R188" t="s">
        <v>74</v>
      </c>
      <c r="S188" t="s">
        <v>74</v>
      </c>
      <c r="T188" t="s">
        <v>74</v>
      </c>
      <c r="U188" t="s">
        <v>3404</v>
      </c>
      <c r="V188" t="s">
        <v>3405</v>
      </c>
      <c r="W188" t="s">
        <v>3406</v>
      </c>
      <c r="X188" t="s">
        <v>3407</v>
      </c>
      <c r="Y188" t="s">
        <v>3408</v>
      </c>
      <c r="Z188" t="s">
        <v>3409</v>
      </c>
      <c r="AA188" t="s">
        <v>3410</v>
      </c>
      <c r="AB188" t="s">
        <v>3411</v>
      </c>
      <c r="AC188" t="s">
        <v>74</v>
      </c>
      <c r="AD188" t="s">
        <v>74</v>
      </c>
      <c r="AE188" t="s">
        <v>74</v>
      </c>
      <c r="AF188" t="s">
        <v>74</v>
      </c>
      <c r="AG188">
        <v>66</v>
      </c>
      <c r="AH188">
        <v>49</v>
      </c>
      <c r="AI188">
        <v>50</v>
      </c>
      <c r="AJ188">
        <v>2</v>
      </c>
      <c r="AK188">
        <v>24</v>
      </c>
      <c r="AL188" t="s">
        <v>350</v>
      </c>
      <c r="AM188" t="s">
        <v>351</v>
      </c>
      <c r="AN188" t="s">
        <v>352</v>
      </c>
      <c r="AO188" t="s">
        <v>3412</v>
      </c>
      <c r="AP188" t="s">
        <v>3413</v>
      </c>
      <c r="AQ188" t="s">
        <v>74</v>
      </c>
      <c r="AR188" t="s">
        <v>3414</v>
      </c>
      <c r="AS188" t="s">
        <v>3415</v>
      </c>
      <c r="AT188" t="s">
        <v>91</v>
      </c>
      <c r="AU188">
        <v>2002</v>
      </c>
      <c r="AV188">
        <v>34</v>
      </c>
      <c r="AW188">
        <v>6</v>
      </c>
      <c r="AX188" t="s">
        <v>74</v>
      </c>
      <c r="AY188" t="s">
        <v>74</v>
      </c>
      <c r="AZ188" t="s">
        <v>74</v>
      </c>
      <c r="BA188" t="s">
        <v>74</v>
      </c>
      <c r="BB188">
        <v>1059</v>
      </c>
      <c r="BC188">
        <v>1072</v>
      </c>
      <c r="BD188" t="s">
        <v>74</v>
      </c>
      <c r="BE188" t="s">
        <v>3416</v>
      </c>
      <c r="BF188" t="str">
        <f>HYPERLINK("http://dx.doi.org/10.1068/a34107","http://dx.doi.org/10.1068/a34107")</f>
        <v>http://dx.doi.org/10.1068/a34107</v>
      </c>
      <c r="BG188" t="s">
        <v>74</v>
      </c>
      <c r="BH188" t="s">
        <v>74</v>
      </c>
      <c r="BI188">
        <v>14</v>
      </c>
      <c r="BJ188" t="s">
        <v>3417</v>
      </c>
      <c r="BK188" t="s">
        <v>94</v>
      </c>
      <c r="BL188" t="s">
        <v>3418</v>
      </c>
      <c r="BM188" t="s">
        <v>3419</v>
      </c>
      <c r="BN188" t="s">
        <v>74</v>
      </c>
      <c r="BO188" t="s">
        <v>74</v>
      </c>
      <c r="BP188" t="s">
        <v>74</v>
      </c>
      <c r="BQ188" t="s">
        <v>74</v>
      </c>
      <c r="BR188" t="s">
        <v>97</v>
      </c>
      <c r="BS188" t="s">
        <v>3420</v>
      </c>
      <c r="BT188" t="str">
        <f>HYPERLINK("https%3A%2F%2Fwww.webofscience.com%2Fwos%2Fwoscc%2Ffull-record%2FWOS:000176332800008","View Full Record in Web of Science")</f>
        <v>View Full Record in Web of Science</v>
      </c>
    </row>
    <row r="189" spans="1:72" x14ac:dyDescent="0.25">
      <c r="A189" t="s">
        <v>72</v>
      </c>
      <c r="B189" t="s">
        <v>3421</v>
      </c>
      <c r="C189" t="s">
        <v>74</v>
      </c>
      <c r="D189" t="s">
        <v>74</v>
      </c>
      <c r="E189" t="s">
        <v>74</v>
      </c>
      <c r="F189" t="s">
        <v>3422</v>
      </c>
      <c r="G189" t="s">
        <v>74</v>
      </c>
      <c r="H189" t="s">
        <v>74</v>
      </c>
      <c r="I189" t="s">
        <v>3423</v>
      </c>
      <c r="J189" t="s">
        <v>3424</v>
      </c>
      <c r="K189" t="s">
        <v>74</v>
      </c>
      <c r="L189" t="s">
        <v>74</v>
      </c>
      <c r="M189" t="s">
        <v>77</v>
      </c>
      <c r="N189" t="s">
        <v>78</v>
      </c>
      <c r="O189" t="s">
        <v>74</v>
      </c>
      <c r="P189" t="s">
        <v>74</v>
      </c>
      <c r="Q189" t="s">
        <v>74</v>
      </c>
      <c r="R189" t="s">
        <v>74</v>
      </c>
      <c r="S189" t="s">
        <v>74</v>
      </c>
      <c r="T189" t="s">
        <v>3425</v>
      </c>
      <c r="U189" t="s">
        <v>3426</v>
      </c>
      <c r="V189" t="s">
        <v>3427</v>
      </c>
      <c r="W189" t="s">
        <v>3428</v>
      </c>
      <c r="X189" t="s">
        <v>1605</v>
      </c>
      <c r="Y189" t="s">
        <v>3429</v>
      </c>
      <c r="Z189" t="s">
        <v>1607</v>
      </c>
      <c r="AA189" t="s">
        <v>74</v>
      </c>
      <c r="AB189" t="s">
        <v>3430</v>
      </c>
      <c r="AC189" t="s">
        <v>74</v>
      </c>
      <c r="AD189" t="s">
        <v>74</v>
      </c>
      <c r="AE189" t="s">
        <v>74</v>
      </c>
      <c r="AF189" t="s">
        <v>74</v>
      </c>
      <c r="AG189">
        <v>85</v>
      </c>
      <c r="AH189">
        <v>48</v>
      </c>
      <c r="AI189">
        <v>49</v>
      </c>
      <c r="AJ189">
        <v>0</v>
      </c>
      <c r="AK189">
        <v>62</v>
      </c>
      <c r="AL189" t="s">
        <v>218</v>
      </c>
      <c r="AM189" t="s">
        <v>219</v>
      </c>
      <c r="AN189" t="s">
        <v>220</v>
      </c>
      <c r="AO189" t="s">
        <v>3431</v>
      </c>
      <c r="AP189" t="s">
        <v>3432</v>
      </c>
      <c r="AQ189" t="s">
        <v>74</v>
      </c>
      <c r="AR189" t="s">
        <v>3433</v>
      </c>
      <c r="AS189" t="s">
        <v>3434</v>
      </c>
      <c r="AT189" t="s">
        <v>892</v>
      </c>
      <c r="AU189">
        <v>2013</v>
      </c>
      <c r="AV189">
        <v>51</v>
      </c>
      <c r="AW189">
        <v>1</v>
      </c>
      <c r="AX189" t="s">
        <v>74</v>
      </c>
      <c r="AY189" t="s">
        <v>74</v>
      </c>
      <c r="AZ189" t="s">
        <v>74</v>
      </c>
      <c r="BA189" t="s">
        <v>74</v>
      </c>
      <c r="BB189">
        <v>103</v>
      </c>
      <c r="BC189">
        <v>123</v>
      </c>
      <c r="BD189" t="s">
        <v>74</v>
      </c>
      <c r="BE189" t="s">
        <v>3435</v>
      </c>
      <c r="BF189" t="str">
        <f>HYPERLINK("http://dx.doi.org/10.1111/j.1744-7941.2012.00031.x","http://dx.doi.org/10.1111/j.1744-7941.2012.00031.x")</f>
        <v>http://dx.doi.org/10.1111/j.1744-7941.2012.00031.x</v>
      </c>
      <c r="BG189" t="s">
        <v>74</v>
      </c>
      <c r="BH189" t="s">
        <v>74</v>
      </c>
      <c r="BI189">
        <v>21</v>
      </c>
      <c r="BJ189" t="s">
        <v>673</v>
      </c>
      <c r="BK189" t="s">
        <v>94</v>
      </c>
      <c r="BL189" t="s">
        <v>95</v>
      </c>
      <c r="BM189" t="s">
        <v>3436</v>
      </c>
      <c r="BN189" t="s">
        <v>74</v>
      </c>
      <c r="BO189" t="s">
        <v>74</v>
      </c>
      <c r="BP189" t="s">
        <v>74</v>
      </c>
      <c r="BQ189" t="s">
        <v>74</v>
      </c>
      <c r="BR189" t="s">
        <v>97</v>
      </c>
      <c r="BS189" t="s">
        <v>3437</v>
      </c>
      <c r="BT189" t="str">
        <f>HYPERLINK("https%3A%2F%2Fwww.webofscience.com%2Fwos%2Fwoscc%2Ffull-record%2FWOS:000317014900007","View Full Record in Web of Science")</f>
        <v>View Full Record in Web of Science</v>
      </c>
    </row>
    <row r="190" spans="1:72" x14ac:dyDescent="0.25">
      <c r="A190" t="s">
        <v>72</v>
      </c>
      <c r="B190" t="s">
        <v>3438</v>
      </c>
      <c r="C190" t="s">
        <v>74</v>
      </c>
      <c r="D190" t="s">
        <v>74</v>
      </c>
      <c r="E190" t="s">
        <v>74</v>
      </c>
      <c r="F190" t="s">
        <v>3439</v>
      </c>
      <c r="G190" t="s">
        <v>74</v>
      </c>
      <c r="H190" t="s">
        <v>74</v>
      </c>
      <c r="I190" t="s">
        <v>3440</v>
      </c>
      <c r="J190" t="s">
        <v>3164</v>
      </c>
      <c r="K190" t="s">
        <v>74</v>
      </c>
      <c r="L190" t="s">
        <v>74</v>
      </c>
      <c r="M190" t="s">
        <v>77</v>
      </c>
      <c r="N190" t="s">
        <v>78</v>
      </c>
      <c r="O190" t="s">
        <v>74</v>
      </c>
      <c r="P190" t="s">
        <v>74</v>
      </c>
      <c r="Q190" t="s">
        <v>74</v>
      </c>
      <c r="R190" t="s">
        <v>74</v>
      </c>
      <c r="S190" t="s">
        <v>74</v>
      </c>
      <c r="T190" t="s">
        <v>3441</v>
      </c>
      <c r="U190" t="s">
        <v>3442</v>
      </c>
      <c r="V190" t="s">
        <v>3443</v>
      </c>
      <c r="W190" t="s">
        <v>3444</v>
      </c>
      <c r="X190" t="s">
        <v>3445</v>
      </c>
      <c r="Y190" t="s">
        <v>3446</v>
      </c>
      <c r="Z190" t="s">
        <v>3447</v>
      </c>
      <c r="AA190" t="s">
        <v>3448</v>
      </c>
      <c r="AB190" t="s">
        <v>3449</v>
      </c>
      <c r="AC190" t="s">
        <v>74</v>
      </c>
      <c r="AD190" t="s">
        <v>74</v>
      </c>
      <c r="AE190" t="s">
        <v>74</v>
      </c>
      <c r="AF190" t="s">
        <v>74</v>
      </c>
      <c r="AG190">
        <v>107</v>
      </c>
      <c r="AH190">
        <v>48</v>
      </c>
      <c r="AI190">
        <v>48</v>
      </c>
      <c r="AJ190">
        <v>2</v>
      </c>
      <c r="AK190">
        <v>74</v>
      </c>
      <c r="AL190" t="s">
        <v>665</v>
      </c>
      <c r="AM190" t="s">
        <v>666</v>
      </c>
      <c r="AN190" t="s">
        <v>667</v>
      </c>
      <c r="AO190" t="s">
        <v>3172</v>
      </c>
      <c r="AP190" t="s">
        <v>3173</v>
      </c>
      <c r="AQ190" t="s">
        <v>74</v>
      </c>
      <c r="AR190" t="s">
        <v>3174</v>
      </c>
      <c r="AS190" t="s">
        <v>3175</v>
      </c>
      <c r="AT190" t="s">
        <v>74</v>
      </c>
      <c r="AU190">
        <v>2011</v>
      </c>
      <c r="AV190">
        <v>22</v>
      </c>
      <c r="AW190">
        <v>2</v>
      </c>
      <c r="AX190" t="s">
        <v>74</v>
      </c>
      <c r="AY190" t="s">
        <v>74</v>
      </c>
      <c r="AZ190" t="s">
        <v>74</v>
      </c>
      <c r="BA190" t="s">
        <v>74</v>
      </c>
      <c r="BB190">
        <v>111</v>
      </c>
      <c r="BC190">
        <v>130</v>
      </c>
      <c r="BD190" t="s">
        <v>74</v>
      </c>
      <c r="BE190" t="s">
        <v>3450</v>
      </c>
      <c r="BF190" t="str">
        <f>HYPERLINK("http://dx.doi.org/10.1108/10444061111126666","http://dx.doi.org/10.1108/10444061111126666")</f>
        <v>http://dx.doi.org/10.1108/10444061111126666</v>
      </c>
      <c r="BG190" t="s">
        <v>74</v>
      </c>
      <c r="BH190" t="s">
        <v>74</v>
      </c>
      <c r="BI190">
        <v>20</v>
      </c>
      <c r="BJ190" t="s">
        <v>3177</v>
      </c>
      <c r="BK190" t="s">
        <v>94</v>
      </c>
      <c r="BL190" t="s">
        <v>3178</v>
      </c>
      <c r="BM190" t="s">
        <v>3179</v>
      </c>
      <c r="BN190" t="s">
        <v>74</v>
      </c>
      <c r="BO190" t="s">
        <v>74</v>
      </c>
      <c r="BP190" t="s">
        <v>74</v>
      </c>
      <c r="BQ190" t="s">
        <v>74</v>
      </c>
      <c r="BR190" t="s">
        <v>97</v>
      </c>
      <c r="BS190" t="s">
        <v>3451</v>
      </c>
      <c r="BT190" t="str">
        <f>HYPERLINK("https%3A%2F%2Fwww.webofscience.com%2Fwos%2Fwoscc%2Ffull-record%2FWOS:000290592900002","View Full Record in Web of Science")</f>
        <v>View Full Record in Web of Science</v>
      </c>
    </row>
    <row r="191" spans="1:72" x14ac:dyDescent="0.25">
      <c r="A191" t="s">
        <v>72</v>
      </c>
      <c r="B191" t="s">
        <v>3452</v>
      </c>
      <c r="C191" t="s">
        <v>74</v>
      </c>
      <c r="D191" t="s">
        <v>74</v>
      </c>
      <c r="E191" t="s">
        <v>74</v>
      </c>
      <c r="F191" t="s">
        <v>3453</v>
      </c>
      <c r="G191" t="s">
        <v>74</v>
      </c>
      <c r="H191" t="s">
        <v>74</v>
      </c>
      <c r="I191" t="s">
        <v>3454</v>
      </c>
      <c r="J191" t="s">
        <v>3455</v>
      </c>
      <c r="K191" t="s">
        <v>74</v>
      </c>
      <c r="L191" t="s">
        <v>74</v>
      </c>
      <c r="M191" t="s">
        <v>77</v>
      </c>
      <c r="N191" t="s">
        <v>78</v>
      </c>
      <c r="O191" t="s">
        <v>74</v>
      </c>
      <c r="P191" t="s">
        <v>74</v>
      </c>
      <c r="Q191" t="s">
        <v>74</v>
      </c>
      <c r="R191" t="s">
        <v>74</v>
      </c>
      <c r="S191" t="s">
        <v>74</v>
      </c>
      <c r="T191" t="s">
        <v>3456</v>
      </c>
      <c r="U191" t="s">
        <v>3457</v>
      </c>
      <c r="V191" t="s">
        <v>3458</v>
      </c>
      <c r="W191" t="s">
        <v>3459</v>
      </c>
      <c r="X191" t="s">
        <v>3460</v>
      </c>
      <c r="Y191" t="s">
        <v>3461</v>
      </c>
      <c r="Z191" t="s">
        <v>3462</v>
      </c>
      <c r="AA191" t="s">
        <v>3463</v>
      </c>
      <c r="AB191" t="s">
        <v>3464</v>
      </c>
      <c r="AC191" t="s">
        <v>3465</v>
      </c>
      <c r="AD191" t="s">
        <v>3466</v>
      </c>
      <c r="AE191" t="s">
        <v>3467</v>
      </c>
      <c r="AF191" t="s">
        <v>74</v>
      </c>
      <c r="AG191">
        <v>18</v>
      </c>
      <c r="AH191">
        <v>48</v>
      </c>
      <c r="AI191">
        <v>56</v>
      </c>
      <c r="AJ191">
        <v>1</v>
      </c>
      <c r="AK191">
        <v>7</v>
      </c>
      <c r="AL191" t="s">
        <v>138</v>
      </c>
      <c r="AM191" t="s">
        <v>139</v>
      </c>
      <c r="AN191" t="s">
        <v>140</v>
      </c>
      <c r="AO191" t="s">
        <v>3468</v>
      </c>
      <c r="AP191" t="s">
        <v>3469</v>
      </c>
      <c r="AQ191" t="s">
        <v>74</v>
      </c>
      <c r="AR191" t="s">
        <v>3470</v>
      </c>
      <c r="AS191" t="s">
        <v>3471</v>
      </c>
      <c r="AT191" t="s">
        <v>3472</v>
      </c>
      <c r="AU191">
        <v>2010</v>
      </c>
      <c r="AV191">
        <v>53</v>
      </c>
      <c r="AW191">
        <v>1</v>
      </c>
      <c r="AX191" t="s">
        <v>74</v>
      </c>
      <c r="AY191" t="s">
        <v>74</v>
      </c>
      <c r="AZ191" t="s">
        <v>74</v>
      </c>
      <c r="BA191" t="s">
        <v>74</v>
      </c>
      <c r="BB191">
        <v>131</v>
      </c>
      <c r="BC191">
        <v>135</v>
      </c>
      <c r="BD191" t="s">
        <v>74</v>
      </c>
      <c r="BE191" t="s">
        <v>3473</v>
      </c>
      <c r="BF191" t="str">
        <f>HYPERLINK("http://dx.doi.org/10.1097/QAI.0b013e3181b3552a","http://dx.doi.org/10.1097/QAI.0b013e3181b3552a")</f>
        <v>http://dx.doi.org/10.1097/QAI.0b013e3181b3552a</v>
      </c>
      <c r="BG191" t="s">
        <v>74</v>
      </c>
      <c r="BH191" t="s">
        <v>74</v>
      </c>
      <c r="BI191">
        <v>5</v>
      </c>
      <c r="BJ191" t="s">
        <v>3474</v>
      </c>
      <c r="BK191" t="s">
        <v>283</v>
      </c>
      <c r="BL191" t="s">
        <v>3474</v>
      </c>
      <c r="BM191" t="s">
        <v>3475</v>
      </c>
      <c r="BN191">
        <v>19730110</v>
      </c>
      <c r="BO191" t="s">
        <v>3476</v>
      </c>
      <c r="BP191" t="s">
        <v>74</v>
      </c>
      <c r="BQ191" t="s">
        <v>74</v>
      </c>
      <c r="BR191" t="s">
        <v>97</v>
      </c>
      <c r="BS191" t="s">
        <v>3477</v>
      </c>
      <c r="BT191" t="str">
        <f>HYPERLINK("https%3A%2F%2Fwww.webofscience.com%2Fwos%2Fwoscc%2Ffull-record%2FWOS:000273182400020","View Full Record in Web of Science")</f>
        <v>View Full Record in Web of Science</v>
      </c>
    </row>
    <row r="192" spans="1:72" x14ac:dyDescent="0.25">
      <c r="A192" t="s">
        <v>72</v>
      </c>
      <c r="B192" t="s">
        <v>3478</v>
      </c>
      <c r="C192" t="s">
        <v>74</v>
      </c>
      <c r="D192" t="s">
        <v>74</v>
      </c>
      <c r="E192" t="s">
        <v>74</v>
      </c>
      <c r="F192" t="s">
        <v>3478</v>
      </c>
      <c r="G192" t="s">
        <v>74</v>
      </c>
      <c r="H192" t="s">
        <v>74</v>
      </c>
      <c r="I192" t="s">
        <v>3479</v>
      </c>
      <c r="J192" t="s">
        <v>3480</v>
      </c>
      <c r="K192" t="s">
        <v>74</v>
      </c>
      <c r="L192" t="s">
        <v>74</v>
      </c>
      <c r="M192" t="s">
        <v>77</v>
      </c>
      <c r="N192" t="s">
        <v>78</v>
      </c>
      <c r="O192" t="s">
        <v>74</v>
      </c>
      <c r="P192" t="s">
        <v>74</v>
      </c>
      <c r="Q192" t="s">
        <v>74</v>
      </c>
      <c r="R192" t="s">
        <v>74</v>
      </c>
      <c r="S192" t="s">
        <v>74</v>
      </c>
      <c r="T192" t="s">
        <v>74</v>
      </c>
      <c r="U192" t="s">
        <v>3481</v>
      </c>
      <c r="V192" t="s">
        <v>3482</v>
      </c>
      <c r="W192" t="s">
        <v>3483</v>
      </c>
      <c r="X192" t="s">
        <v>3484</v>
      </c>
      <c r="Y192" t="s">
        <v>3485</v>
      </c>
      <c r="Z192" t="s">
        <v>3486</v>
      </c>
      <c r="AA192" t="s">
        <v>74</v>
      </c>
      <c r="AB192" t="s">
        <v>74</v>
      </c>
      <c r="AC192" t="s">
        <v>74</v>
      </c>
      <c r="AD192" t="s">
        <v>74</v>
      </c>
      <c r="AE192" t="s">
        <v>74</v>
      </c>
      <c r="AF192" t="s">
        <v>74</v>
      </c>
      <c r="AG192">
        <v>64</v>
      </c>
      <c r="AH192">
        <v>48</v>
      </c>
      <c r="AI192">
        <v>48</v>
      </c>
      <c r="AJ192">
        <v>0</v>
      </c>
      <c r="AK192">
        <v>11</v>
      </c>
      <c r="AL192" t="s">
        <v>368</v>
      </c>
      <c r="AM192" t="s">
        <v>369</v>
      </c>
      <c r="AN192" t="s">
        <v>370</v>
      </c>
      <c r="AO192" t="s">
        <v>3487</v>
      </c>
      <c r="AP192" t="s">
        <v>3488</v>
      </c>
      <c r="AQ192" t="s">
        <v>74</v>
      </c>
      <c r="AR192" t="s">
        <v>3489</v>
      </c>
      <c r="AS192" t="s">
        <v>3490</v>
      </c>
      <c r="AT192" t="s">
        <v>405</v>
      </c>
      <c r="AU192">
        <v>2002</v>
      </c>
      <c r="AV192">
        <v>49</v>
      </c>
      <c r="AW192">
        <v>1</v>
      </c>
      <c r="AX192" t="s">
        <v>74</v>
      </c>
      <c r="AY192" t="s">
        <v>74</v>
      </c>
      <c r="AZ192" t="s">
        <v>74</v>
      </c>
      <c r="BA192" t="s">
        <v>74</v>
      </c>
      <c r="BB192">
        <v>35</v>
      </c>
      <c r="BC192">
        <v>57</v>
      </c>
      <c r="BD192" t="s">
        <v>74</v>
      </c>
      <c r="BE192" t="s">
        <v>3491</v>
      </c>
      <c r="BF192" t="str">
        <f>HYPERLINK("http://dx.doi.org/10.1525/sp.2002.49.1.35","http://dx.doi.org/10.1525/sp.2002.49.1.35")</f>
        <v>http://dx.doi.org/10.1525/sp.2002.49.1.35</v>
      </c>
      <c r="BG192" t="s">
        <v>74</v>
      </c>
      <c r="BH192" t="s">
        <v>74</v>
      </c>
      <c r="BI192">
        <v>23</v>
      </c>
      <c r="BJ192" t="s">
        <v>3492</v>
      </c>
      <c r="BK192" t="s">
        <v>94</v>
      </c>
      <c r="BL192" t="s">
        <v>3492</v>
      </c>
      <c r="BM192" t="s">
        <v>3493</v>
      </c>
      <c r="BN192" t="s">
        <v>74</v>
      </c>
      <c r="BO192" t="s">
        <v>74</v>
      </c>
      <c r="BP192" t="s">
        <v>74</v>
      </c>
      <c r="BQ192" t="s">
        <v>74</v>
      </c>
      <c r="BR192" t="s">
        <v>97</v>
      </c>
      <c r="BS192" t="s">
        <v>3494</v>
      </c>
      <c r="BT192" t="str">
        <f>HYPERLINK("https%3A%2F%2Fwww.webofscience.com%2Fwos%2Fwoscc%2Ffull-record%2FWOS:000174752600003","View Full Record in Web of Science")</f>
        <v>View Full Record in Web of Science</v>
      </c>
    </row>
    <row r="193" spans="1:72" x14ac:dyDescent="0.25">
      <c r="A193" t="s">
        <v>72</v>
      </c>
      <c r="B193" t="s">
        <v>3495</v>
      </c>
      <c r="C193" t="s">
        <v>74</v>
      </c>
      <c r="D193" t="s">
        <v>74</v>
      </c>
      <c r="E193" t="s">
        <v>74</v>
      </c>
      <c r="F193" t="s">
        <v>3496</v>
      </c>
      <c r="G193" t="s">
        <v>74</v>
      </c>
      <c r="H193" t="s">
        <v>74</v>
      </c>
      <c r="I193" t="s">
        <v>3497</v>
      </c>
      <c r="J193" t="s">
        <v>2463</v>
      </c>
      <c r="K193" t="s">
        <v>74</v>
      </c>
      <c r="L193" t="s">
        <v>74</v>
      </c>
      <c r="M193" t="s">
        <v>77</v>
      </c>
      <c r="N193" t="s">
        <v>78</v>
      </c>
      <c r="O193" t="s">
        <v>74</v>
      </c>
      <c r="P193" t="s">
        <v>74</v>
      </c>
      <c r="Q193" t="s">
        <v>74</v>
      </c>
      <c r="R193" t="s">
        <v>74</v>
      </c>
      <c r="S193" t="s">
        <v>74</v>
      </c>
      <c r="T193" t="s">
        <v>3498</v>
      </c>
      <c r="U193" t="s">
        <v>3499</v>
      </c>
      <c r="V193" t="s">
        <v>3500</v>
      </c>
      <c r="W193" t="s">
        <v>3501</v>
      </c>
      <c r="X193" t="s">
        <v>3502</v>
      </c>
      <c r="Y193" t="s">
        <v>3503</v>
      </c>
      <c r="Z193" t="s">
        <v>3504</v>
      </c>
      <c r="AA193" t="s">
        <v>3505</v>
      </c>
      <c r="AB193" t="s">
        <v>3506</v>
      </c>
      <c r="AC193" t="s">
        <v>3507</v>
      </c>
      <c r="AD193" t="s">
        <v>3508</v>
      </c>
      <c r="AE193" t="s">
        <v>3509</v>
      </c>
      <c r="AF193" t="s">
        <v>74</v>
      </c>
      <c r="AG193">
        <v>167</v>
      </c>
      <c r="AH193">
        <v>47</v>
      </c>
      <c r="AI193">
        <v>51</v>
      </c>
      <c r="AJ193">
        <v>11</v>
      </c>
      <c r="AK193">
        <v>57</v>
      </c>
      <c r="AL193" t="s">
        <v>2473</v>
      </c>
      <c r="AM193" t="s">
        <v>2102</v>
      </c>
      <c r="AN193" t="s">
        <v>2474</v>
      </c>
      <c r="AO193" t="s">
        <v>74</v>
      </c>
      <c r="AP193" t="s">
        <v>2475</v>
      </c>
      <c r="AQ193" t="s">
        <v>74</v>
      </c>
      <c r="AR193" t="s">
        <v>2476</v>
      </c>
      <c r="AS193" t="s">
        <v>2477</v>
      </c>
      <c r="AT193" t="s">
        <v>3510</v>
      </c>
      <c r="AU193">
        <v>2019</v>
      </c>
      <c r="AV193">
        <v>11</v>
      </c>
      <c r="AW193">
        <v>6</v>
      </c>
      <c r="AX193" t="s">
        <v>74</v>
      </c>
      <c r="AY193" t="s">
        <v>74</v>
      </c>
      <c r="AZ193" t="s">
        <v>74</v>
      </c>
      <c r="BA193" t="s">
        <v>74</v>
      </c>
      <c r="BB193" t="s">
        <v>74</v>
      </c>
      <c r="BC193" t="s">
        <v>74</v>
      </c>
      <c r="BD193">
        <v>1594</v>
      </c>
      <c r="BE193" t="s">
        <v>3511</v>
      </c>
      <c r="BF193" t="str">
        <f>HYPERLINK("http://dx.doi.org/10.3390/su11061594","http://dx.doi.org/10.3390/su11061594")</f>
        <v>http://dx.doi.org/10.3390/su11061594</v>
      </c>
      <c r="BG193" t="s">
        <v>74</v>
      </c>
      <c r="BH193" t="s">
        <v>74</v>
      </c>
      <c r="BI193">
        <v>21</v>
      </c>
      <c r="BJ193" t="s">
        <v>2479</v>
      </c>
      <c r="BK193" t="s">
        <v>147</v>
      </c>
      <c r="BL193" t="s">
        <v>2480</v>
      </c>
      <c r="BM193" t="s">
        <v>3512</v>
      </c>
      <c r="BN193" t="s">
        <v>74</v>
      </c>
      <c r="BO193" t="s">
        <v>3513</v>
      </c>
      <c r="BP193" t="s">
        <v>74</v>
      </c>
      <c r="BQ193" t="s">
        <v>74</v>
      </c>
      <c r="BR193" t="s">
        <v>97</v>
      </c>
      <c r="BS193" t="s">
        <v>3514</v>
      </c>
      <c r="BT193" t="str">
        <f>HYPERLINK("https%3A%2F%2Fwww.webofscience.com%2Fwos%2Fwoscc%2Ffull-record%2FWOS:000465613000089","View Full Record in Web of Science")</f>
        <v>View Full Record in Web of Science</v>
      </c>
    </row>
    <row r="194" spans="1:72" x14ac:dyDescent="0.25">
      <c r="A194" t="s">
        <v>72</v>
      </c>
      <c r="B194" t="s">
        <v>3515</v>
      </c>
      <c r="C194" t="s">
        <v>74</v>
      </c>
      <c r="D194" t="s">
        <v>74</v>
      </c>
      <c r="E194" t="s">
        <v>74</v>
      </c>
      <c r="F194" t="s">
        <v>3516</v>
      </c>
      <c r="G194" t="s">
        <v>74</v>
      </c>
      <c r="H194" t="s">
        <v>74</v>
      </c>
      <c r="I194" t="s">
        <v>3517</v>
      </c>
      <c r="J194" t="s">
        <v>1600</v>
      </c>
      <c r="K194" t="s">
        <v>74</v>
      </c>
      <c r="L194" t="s">
        <v>74</v>
      </c>
      <c r="M194" t="s">
        <v>77</v>
      </c>
      <c r="N194" t="s">
        <v>78</v>
      </c>
      <c r="O194" t="s">
        <v>74</v>
      </c>
      <c r="P194" t="s">
        <v>74</v>
      </c>
      <c r="Q194" t="s">
        <v>74</v>
      </c>
      <c r="R194" t="s">
        <v>74</v>
      </c>
      <c r="S194" t="s">
        <v>74</v>
      </c>
      <c r="T194" t="s">
        <v>3518</v>
      </c>
      <c r="U194" t="s">
        <v>3519</v>
      </c>
      <c r="V194" t="s">
        <v>3520</v>
      </c>
      <c r="W194" t="s">
        <v>3521</v>
      </c>
      <c r="X194" t="s">
        <v>1891</v>
      </c>
      <c r="Y194" t="s">
        <v>3522</v>
      </c>
      <c r="Z194" t="s">
        <v>1893</v>
      </c>
      <c r="AA194" t="s">
        <v>74</v>
      </c>
      <c r="AB194" t="s">
        <v>74</v>
      </c>
      <c r="AC194" t="s">
        <v>74</v>
      </c>
      <c r="AD194" t="s">
        <v>74</v>
      </c>
      <c r="AE194" t="s">
        <v>74</v>
      </c>
      <c r="AF194" t="s">
        <v>74</v>
      </c>
      <c r="AG194">
        <v>30</v>
      </c>
      <c r="AH194">
        <v>47</v>
      </c>
      <c r="AI194">
        <v>48</v>
      </c>
      <c r="AJ194">
        <v>2</v>
      </c>
      <c r="AK194">
        <v>56</v>
      </c>
      <c r="AL194" t="s">
        <v>1099</v>
      </c>
      <c r="AM194" t="s">
        <v>305</v>
      </c>
      <c r="AN194" t="s">
        <v>1100</v>
      </c>
      <c r="AO194" t="s">
        <v>1610</v>
      </c>
      <c r="AP194" t="s">
        <v>1611</v>
      </c>
      <c r="AQ194" t="s">
        <v>74</v>
      </c>
      <c r="AR194" t="s">
        <v>1612</v>
      </c>
      <c r="AS194" t="s">
        <v>1613</v>
      </c>
      <c r="AT194" t="s">
        <v>74</v>
      </c>
      <c r="AU194">
        <v>2017</v>
      </c>
      <c r="AV194">
        <v>28</v>
      </c>
      <c r="AW194">
        <v>2</v>
      </c>
      <c r="AX194" t="s">
        <v>74</v>
      </c>
      <c r="AY194" t="s">
        <v>74</v>
      </c>
      <c r="AZ194" t="s">
        <v>74</v>
      </c>
      <c r="BA194" t="s">
        <v>74</v>
      </c>
      <c r="BB194">
        <v>379</v>
      </c>
      <c r="BC194">
        <v>398</v>
      </c>
      <c r="BD194" t="s">
        <v>74</v>
      </c>
      <c r="BE194" t="s">
        <v>3523</v>
      </c>
      <c r="BF194" t="str">
        <f>HYPERLINK("http://dx.doi.org/10.1080/09585192.2016.1244894","http://dx.doi.org/10.1080/09585192.2016.1244894")</f>
        <v>http://dx.doi.org/10.1080/09585192.2016.1244894</v>
      </c>
      <c r="BG194" t="s">
        <v>74</v>
      </c>
      <c r="BH194" t="s">
        <v>74</v>
      </c>
      <c r="BI194">
        <v>20</v>
      </c>
      <c r="BJ194" t="s">
        <v>442</v>
      </c>
      <c r="BK194" t="s">
        <v>94</v>
      </c>
      <c r="BL194" t="s">
        <v>95</v>
      </c>
      <c r="BM194" t="s">
        <v>2396</v>
      </c>
      <c r="BN194" t="s">
        <v>74</v>
      </c>
      <c r="BO194" t="s">
        <v>1897</v>
      </c>
      <c r="BP194" t="s">
        <v>74</v>
      </c>
      <c r="BQ194" t="s">
        <v>74</v>
      </c>
      <c r="BR194" t="s">
        <v>97</v>
      </c>
      <c r="BS194" t="s">
        <v>3524</v>
      </c>
      <c r="BT194" t="str">
        <f>HYPERLINK("https%3A%2F%2Fwww.webofscience.com%2Fwos%2Fwoscc%2Ffull-record%2FWOS:000395088200007","View Full Record in Web of Science")</f>
        <v>View Full Record in Web of Science</v>
      </c>
    </row>
    <row r="195" spans="1:72" x14ac:dyDescent="0.25">
      <c r="A195" t="s">
        <v>72</v>
      </c>
      <c r="B195" t="s">
        <v>3525</v>
      </c>
      <c r="C195" t="s">
        <v>74</v>
      </c>
      <c r="D195" t="s">
        <v>74</v>
      </c>
      <c r="E195" t="s">
        <v>74</v>
      </c>
      <c r="F195" t="s">
        <v>3526</v>
      </c>
      <c r="G195" t="s">
        <v>74</v>
      </c>
      <c r="H195" t="s">
        <v>74</v>
      </c>
      <c r="I195" t="s">
        <v>3527</v>
      </c>
      <c r="J195" t="s">
        <v>3528</v>
      </c>
      <c r="K195" t="s">
        <v>74</v>
      </c>
      <c r="L195" t="s">
        <v>74</v>
      </c>
      <c r="M195" t="s">
        <v>77</v>
      </c>
      <c r="N195" t="s">
        <v>78</v>
      </c>
      <c r="O195" t="s">
        <v>74</v>
      </c>
      <c r="P195" t="s">
        <v>74</v>
      </c>
      <c r="Q195" t="s">
        <v>74</v>
      </c>
      <c r="R195" t="s">
        <v>74</v>
      </c>
      <c r="S195" t="s">
        <v>74</v>
      </c>
      <c r="T195" t="s">
        <v>3529</v>
      </c>
      <c r="U195" t="s">
        <v>3530</v>
      </c>
      <c r="V195" t="s">
        <v>3531</v>
      </c>
      <c r="W195" t="s">
        <v>3532</v>
      </c>
      <c r="X195" t="s">
        <v>3533</v>
      </c>
      <c r="Y195" t="s">
        <v>3534</v>
      </c>
      <c r="Z195" t="s">
        <v>3535</v>
      </c>
      <c r="AA195" t="s">
        <v>74</v>
      </c>
      <c r="AB195" t="s">
        <v>3536</v>
      </c>
      <c r="AC195" t="s">
        <v>74</v>
      </c>
      <c r="AD195" t="s">
        <v>74</v>
      </c>
      <c r="AE195" t="s">
        <v>74</v>
      </c>
      <c r="AF195" t="s">
        <v>74</v>
      </c>
      <c r="AG195">
        <v>97</v>
      </c>
      <c r="AH195">
        <v>47</v>
      </c>
      <c r="AI195">
        <v>50</v>
      </c>
      <c r="AJ195">
        <v>0</v>
      </c>
      <c r="AK195">
        <v>53</v>
      </c>
      <c r="AL195" t="s">
        <v>1099</v>
      </c>
      <c r="AM195" t="s">
        <v>305</v>
      </c>
      <c r="AN195" t="s">
        <v>1100</v>
      </c>
      <c r="AO195" t="s">
        <v>3537</v>
      </c>
      <c r="AP195" t="s">
        <v>3538</v>
      </c>
      <c r="AQ195" t="s">
        <v>74</v>
      </c>
      <c r="AR195" t="s">
        <v>3539</v>
      </c>
      <c r="AS195" t="s">
        <v>3540</v>
      </c>
      <c r="AT195" t="s">
        <v>3541</v>
      </c>
      <c r="AU195">
        <v>2013</v>
      </c>
      <c r="AV195">
        <v>33</v>
      </c>
      <c r="AW195">
        <v>5</v>
      </c>
      <c r="AX195" t="s">
        <v>74</v>
      </c>
      <c r="AY195" t="s">
        <v>74</v>
      </c>
      <c r="AZ195" t="s">
        <v>74</v>
      </c>
      <c r="BA195" t="s">
        <v>74</v>
      </c>
      <c r="BB195">
        <v>427</v>
      </c>
      <c r="BC195">
        <v>444</v>
      </c>
      <c r="BD195" t="s">
        <v>74</v>
      </c>
      <c r="BE195" t="s">
        <v>3542</v>
      </c>
      <c r="BF195" t="str">
        <f>HYPERLINK("http://dx.doi.org/10.1080/02642069.2011.622373","http://dx.doi.org/10.1080/02642069.2011.622373")</f>
        <v>http://dx.doi.org/10.1080/02642069.2011.622373</v>
      </c>
      <c r="BG195" t="s">
        <v>74</v>
      </c>
      <c r="BH195" t="s">
        <v>74</v>
      </c>
      <c r="BI195">
        <v>18</v>
      </c>
      <c r="BJ195" t="s">
        <v>442</v>
      </c>
      <c r="BK195" t="s">
        <v>94</v>
      </c>
      <c r="BL195" t="s">
        <v>95</v>
      </c>
      <c r="BM195" t="s">
        <v>3543</v>
      </c>
      <c r="BN195" t="s">
        <v>74</v>
      </c>
      <c r="BO195" t="s">
        <v>74</v>
      </c>
      <c r="BP195" t="s">
        <v>74</v>
      </c>
      <c r="BQ195" t="s">
        <v>74</v>
      </c>
      <c r="BR195" t="s">
        <v>97</v>
      </c>
      <c r="BS195" t="s">
        <v>3544</v>
      </c>
      <c r="BT195" t="str">
        <f>HYPERLINK("https%3A%2F%2Fwww.webofscience.com%2Fwos%2Fwoscc%2Ffull-record%2FWOS:000317751100001","View Full Record in Web of Science")</f>
        <v>View Full Record in Web of Science</v>
      </c>
    </row>
    <row r="196" spans="1:72" x14ac:dyDescent="0.25">
      <c r="A196" t="s">
        <v>72</v>
      </c>
      <c r="B196" t="s">
        <v>3545</v>
      </c>
      <c r="C196" t="s">
        <v>74</v>
      </c>
      <c r="D196" t="s">
        <v>74</v>
      </c>
      <c r="E196" t="s">
        <v>74</v>
      </c>
      <c r="F196" t="s">
        <v>3546</v>
      </c>
      <c r="G196" t="s">
        <v>74</v>
      </c>
      <c r="H196" t="s">
        <v>74</v>
      </c>
      <c r="I196" t="s">
        <v>3547</v>
      </c>
      <c r="J196" t="s">
        <v>1090</v>
      </c>
      <c r="K196" t="s">
        <v>74</v>
      </c>
      <c r="L196" t="s">
        <v>74</v>
      </c>
      <c r="M196" t="s">
        <v>77</v>
      </c>
      <c r="N196" t="s">
        <v>78</v>
      </c>
      <c r="O196" t="s">
        <v>74</v>
      </c>
      <c r="P196" t="s">
        <v>74</v>
      </c>
      <c r="Q196" t="s">
        <v>74</v>
      </c>
      <c r="R196" t="s">
        <v>74</v>
      </c>
      <c r="S196" t="s">
        <v>74</v>
      </c>
      <c r="T196" t="s">
        <v>74</v>
      </c>
      <c r="U196" t="s">
        <v>3548</v>
      </c>
      <c r="V196" t="s">
        <v>3549</v>
      </c>
      <c r="W196" t="s">
        <v>3550</v>
      </c>
      <c r="X196" t="s">
        <v>3551</v>
      </c>
      <c r="Y196" t="s">
        <v>3552</v>
      </c>
      <c r="Z196" t="s">
        <v>3553</v>
      </c>
      <c r="AA196" t="s">
        <v>74</v>
      </c>
      <c r="AB196" t="s">
        <v>74</v>
      </c>
      <c r="AC196" t="s">
        <v>74</v>
      </c>
      <c r="AD196" t="s">
        <v>74</v>
      </c>
      <c r="AE196" t="s">
        <v>74</v>
      </c>
      <c r="AF196" t="s">
        <v>74</v>
      </c>
      <c r="AG196">
        <v>68</v>
      </c>
      <c r="AH196">
        <v>47</v>
      </c>
      <c r="AI196">
        <v>49</v>
      </c>
      <c r="AJ196">
        <v>2</v>
      </c>
      <c r="AK196">
        <v>57</v>
      </c>
      <c r="AL196" t="s">
        <v>1099</v>
      </c>
      <c r="AM196" t="s">
        <v>305</v>
      </c>
      <c r="AN196" t="s">
        <v>1100</v>
      </c>
      <c r="AO196" t="s">
        <v>1101</v>
      </c>
      <c r="AP196" t="s">
        <v>1102</v>
      </c>
      <c r="AQ196" t="s">
        <v>74</v>
      </c>
      <c r="AR196" t="s">
        <v>1103</v>
      </c>
      <c r="AS196" t="s">
        <v>1104</v>
      </c>
      <c r="AT196" t="s">
        <v>74</v>
      </c>
      <c r="AU196">
        <v>2011</v>
      </c>
      <c r="AV196">
        <v>23</v>
      </c>
      <c r="AW196">
        <v>2</v>
      </c>
      <c r="AX196" t="s">
        <v>74</v>
      </c>
      <c r="AY196" t="s">
        <v>74</v>
      </c>
      <c r="AZ196" t="s">
        <v>74</v>
      </c>
      <c r="BA196" t="s">
        <v>74</v>
      </c>
      <c r="BB196">
        <v>119</v>
      </c>
      <c r="BC196">
        <v>128</v>
      </c>
      <c r="BD196" t="s">
        <v>3554</v>
      </c>
      <c r="BE196" t="s">
        <v>3555</v>
      </c>
      <c r="BF196" t="str">
        <f>HYPERLINK("http://dx.doi.org/10.1080/10400419.2011.571184","http://dx.doi.org/10.1080/10400419.2011.571184")</f>
        <v>http://dx.doi.org/10.1080/10400419.2011.571184</v>
      </c>
      <c r="BG196" t="s">
        <v>74</v>
      </c>
      <c r="BH196" t="s">
        <v>74</v>
      </c>
      <c r="BI196">
        <v>10</v>
      </c>
      <c r="BJ196" t="s">
        <v>1107</v>
      </c>
      <c r="BK196" t="s">
        <v>94</v>
      </c>
      <c r="BL196" t="s">
        <v>460</v>
      </c>
      <c r="BM196" t="s">
        <v>3556</v>
      </c>
      <c r="BN196" t="s">
        <v>74</v>
      </c>
      <c r="BO196" t="s">
        <v>74</v>
      </c>
      <c r="BP196" t="s">
        <v>74</v>
      </c>
      <c r="BQ196" t="s">
        <v>74</v>
      </c>
      <c r="BR196" t="s">
        <v>97</v>
      </c>
      <c r="BS196" t="s">
        <v>3557</v>
      </c>
      <c r="BT196" t="str">
        <f>HYPERLINK("https%3A%2F%2Fwww.webofscience.com%2Fwos%2Fwoscc%2Ffull-record%2FWOS:000290397500005","View Full Record in Web of Science")</f>
        <v>View Full Record in Web of Science</v>
      </c>
    </row>
    <row r="197" spans="1:72" x14ac:dyDescent="0.25">
      <c r="A197" t="s">
        <v>72</v>
      </c>
      <c r="B197" t="s">
        <v>3558</v>
      </c>
      <c r="C197" t="s">
        <v>74</v>
      </c>
      <c r="D197" t="s">
        <v>74</v>
      </c>
      <c r="E197" t="s">
        <v>74</v>
      </c>
      <c r="F197" t="s">
        <v>3559</v>
      </c>
      <c r="G197" t="s">
        <v>74</v>
      </c>
      <c r="H197" t="s">
        <v>74</v>
      </c>
      <c r="I197" t="s">
        <v>3560</v>
      </c>
      <c r="J197" t="s">
        <v>3561</v>
      </c>
      <c r="K197" t="s">
        <v>74</v>
      </c>
      <c r="L197" t="s">
        <v>74</v>
      </c>
      <c r="M197" t="s">
        <v>77</v>
      </c>
      <c r="N197" t="s">
        <v>78</v>
      </c>
      <c r="O197" t="s">
        <v>74</v>
      </c>
      <c r="P197" t="s">
        <v>74</v>
      </c>
      <c r="Q197" t="s">
        <v>74</v>
      </c>
      <c r="R197" t="s">
        <v>74</v>
      </c>
      <c r="S197" t="s">
        <v>74</v>
      </c>
      <c r="T197" t="s">
        <v>3562</v>
      </c>
      <c r="U197" t="s">
        <v>3563</v>
      </c>
      <c r="V197" t="s">
        <v>3564</v>
      </c>
      <c r="W197" t="s">
        <v>3565</v>
      </c>
      <c r="X197" t="s">
        <v>3566</v>
      </c>
      <c r="Y197" t="s">
        <v>3567</v>
      </c>
      <c r="Z197" t="s">
        <v>3568</v>
      </c>
      <c r="AA197" t="s">
        <v>3569</v>
      </c>
      <c r="AB197" t="s">
        <v>3570</v>
      </c>
      <c r="AC197" t="s">
        <v>3571</v>
      </c>
      <c r="AD197" t="s">
        <v>3572</v>
      </c>
      <c r="AE197" t="s">
        <v>3573</v>
      </c>
      <c r="AF197" t="s">
        <v>74</v>
      </c>
      <c r="AG197">
        <v>71</v>
      </c>
      <c r="AH197">
        <v>46</v>
      </c>
      <c r="AI197">
        <v>46</v>
      </c>
      <c r="AJ197">
        <v>13</v>
      </c>
      <c r="AK197">
        <v>84</v>
      </c>
      <c r="AL197" t="s">
        <v>665</v>
      </c>
      <c r="AM197" t="s">
        <v>666</v>
      </c>
      <c r="AN197" t="s">
        <v>667</v>
      </c>
      <c r="AO197" t="s">
        <v>3574</v>
      </c>
      <c r="AP197" t="s">
        <v>3575</v>
      </c>
      <c r="AQ197" t="s">
        <v>74</v>
      </c>
      <c r="AR197" t="s">
        <v>3576</v>
      </c>
      <c r="AS197" t="s">
        <v>3577</v>
      </c>
      <c r="AT197" t="s">
        <v>3578</v>
      </c>
      <c r="AU197">
        <v>2020</v>
      </c>
      <c r="AV197">
        <v>15</v>
      </c>
      <c r="AW197">
        <v>4</v>
      </c>
      <c r="AX197" t="s">
        <v>74</v>
      </c>
      <c r="AY197" t="s">
        <v>74</v>
      </c>
      <c r="AZ197" t="s">
        <v>74</v>
      </c>
      <c r="BA197" t="s">
        <v>74</v>
      </c>
      <c r="BB197">
        <v>571</v>
      </c>
      <c r="BC197">
        <v>586</v>
      </c>
      <c r="BD197" t="s">
        <v>74</v>
      </c>
      <c r="BE197" t="s">
        <v>3579</v>
      </c>
      <c r="BF197" t="str">
        <f>HYPERLINK("http://dx.doi.org/10.1108/BJM-09-2019-0335","http://dx.doi.org/10.1108/BJM-09-2019-0335")</f>
        <v>http://dx.doi.org/10.1108/BJM-09-2019-0335</v>
      </c>
      <c r="BG197" t="s">
        <v>74</v>
      </c>
      <c r="BH197" t="s">
        <v>2176</v>
      </c>
      <c r="BI197">
        <v>16</v>
      </c>
      <c r="BJ197" t="s">
        <v>442</v>
      </c>
      <c r="BK197" t="s">
        <v>94</v>
      </c>
      <c r="BL197" t="s">
        <v>95</v>
      </c>
      <c r="BM197" t="s">
        <v>3580</v>
      </c>
      <c r="BN197" t="s">
        <v>74</v>
      </c>
      <c r="BO197" t="s">
        <v>74</v>
      </c>
      <c r="BP197" t="s">
        <v>74</v>
      </c>
      <c r="BQ197" t="s">
        <v>74</v>
      </c>
      <c r="BR197" t="s">
        <v>97</v>
      </c>
      <c r="BS197" t="s">
        <v>3581</v>
      </c>
      <c r="BT197" t="str">
        <f>HYPERLINK("https%3A%2F%2Fwww.webofscience.com%2Fwos%2Fwoscc%2Ffull-record%2FWOS:000536513500001","View Full Record in Web of Science")</f>
        <v>View Full Record in Web of Science</v>
      </c>
    </row>
    <row r="198" spans="1:72" x14ac:dyDescent="0.25">
      <c r="A198" t="s">
        <v>72</v>
      </c>
      <c r="B198" t="s">
        <v>3582</v>
      </c>
      <c r="C198" t="s">
        <v>74</v>
      </c>
      <c r="D198" t="s">
        <v>74</v>
      </c>
      <c r="E198" t="s">
        <v>74</v>
      </c>
      <c r="F198" t="s">
        <v>3583</v>
      </c>
      <c r="G198" t="s">
        <v>74</v>
      </c>
      <c r="H198" t="s">
        <v>74</v>
      </c>
      <c r="I198" t="s">
        <v>3584</v>
      </c>
      <c r="J198" t="s">
        <v>3585</v>
      </c>
      <c r="K198" t="s">
        <v>74</v>
      </c>
      <c r="L198" t="s">
        <v>74</v>
      </c>
      <c r="M198" t="s">
        <v>77</v>
      </c>
      <c r="N198" t="s">
        <v>78</v>
      </c>
      <c r="O198" t="s">
        <v>74</v>
      </c>
      <c r="P198" t="s">
        <v>74</v>
      </c>
      <c r="Q198" t="s">
        <v>74</v>
      </c>
      <c r="R198" t="s">
        <v>74</v>
      </c>
      <c r="S198" t="s">
        <v>74</v>
      </c>
      <c r="T198" t="s">
        <v>3586</v>
      </c>
      <c r="U198" t="s">
        <v>3587</v>
      </c>
      <c r="V198" t="s">
        <v>3588</v>
      </c>
      <c r="W198" t="s">
        <v>3589</v>
      </c>
      <c r="X198" t="s">
        <v>3590</v>
      </c>
      <c r="Y198" t="s">
        <v>3591</v>
      </c>
      <c r="Z198" t="s">
        <v>3592</v>
      </c>
      <c r="AA198" t="s">
        <v>3593</v>
      </c>
      <c r="AB198" t="s">
        <v>3594</v>
      </c>
      <c r="AC198" t="s">
        <v>3595</v>
      </c>
      <c r="AD198" t="s">
        <v>3595</v>
      </c>
      <c r="AE198" t="s">
        <v>3596</v>
      </c>
      <c r="AF198" t="s">
        <v>74</v>
      </c>
      <c r="AG198">
        <v>94</v>
      </c>
      <c r="AH198">
        <v>46</v>
      </c>
      <c r="AI198">
        <v>46</v>
      </c>
      <c r="AJ198">
        <v>7</v>
      </c>
      <c r="AK198">
        <v>48</v>
      </c>
      <c r="AL198" t="s">
        <v>665</v>
      </c>
      <c r="AM198" t="s">
        <v>666</v>
      </c>
      <c r="AN198" t="s">
        <v>667</v>
      </c>
      <c r="AO198" t="s">
        <v>3597</v>
      </c>
      <c r="AP198" t="s">
        <v>3598</v>
      </c>
      <c r="AQ198" t="s">
        <v>74</v>
      </c>
      <c r="AR198" t="s">
        <v>3599</v>
      </c>
      <c r="AS198" t="s">
        <v>3600</v>
      </c>
      <c r="AT198" t="s">
        <v>74</v>
      </c>
      <c r="AU198">
        <v>2017</v>
      </c>
      <c r="AV198">
        <v>22</v>
      </c>
      <c r="AW198">
        <v>4</v>
      </c>
      <c r="AX198" t="s">
        <v>74</v>
      </c>
      <c r="AY198" t="s">
        <v>74</v>
      </c>
      <c r="AZ198" t="s">
        <v>74</v>
      </c>
      <c r="BA198" t="s">
        <v>74</v>
      </c>
      <c r="BB198">
        <v>334</v>
      </c>
      <c r="BC198">
        <v>350</v>
      </c>
      <c r="BD198" t="s">
        <v>74</v>
      </c>
      <c r="BE198" t="s">
        <v>3601</v>
      </c>
      <c r="BF198" t="str">
        <f>HYPERLINK("http://dx.doi.org/10.1108/CDI-12-2016-0234","http://dx.doi.org/10.1108/CDI-12-2016-0234")</f>
        <v>http://dx.doi.org/10.1108/CDI-12-2016-0234</v>
      </c>
      <c r="BG198" t="s">
        <v>74</v>
      </c>
      <c r="BH198" t="s">
        <v>74</v>
      </c>
      <c r="BI198">
        <v>17</v>
      </c>
      <c r="BJ198" t="s">
        <v>202</v>
      </c>
      <c r="BK198" t="s">
        <v>94</v>
      </c>
      <c r="BL198" t="s">
        <v>203</v>
      </c>
      <c r="BM198" t="s">
        <v>3602</v>
      </c>
      <c r="BN198" t="s">
        <v>74</v>
      </c>
      <c r="BO198" t="s">
        <v>74</v>
      </c>
      <c r="BP198" t="s">
        <v>74</v>
      </c>
      <c r="BQ198" t="s">
        <v>74</v>
      </c>
      <c r="BR198" t="s">
        <v>97</v>
      </c>
      <c r="BS198" t="s">
        <v>3603</v>
      </c>
      <c r="BT198" t="str">
        <f>HYPERLINK("https%3A%2F%2Fwww.webofscience.com%2Fwos%2Fwoscc%2Ffull-record%2FWOS:000408249600001","View Full Record in Web of Science")</f>
        <v>View Full Record in Web of Science</v>
      </c>
    </row>
    <row r="199" spans="1:72" x14ac:dyDescent="0.25">
      <c r="A199" t="s">
        <v>72</v>
      </c>
      <c r="B199" t="s">
        <v>3604</v>
      </c>
      <c r="C199" t="s">
        <v>74</v>
      </c>
      <c r="D199" t="s">
        <v>74</v>
      </c>
      <c r="E199" t="s">
        <v>74</v>
      </c>
      <c r="F199" t="s">
        <v>3605</v>
      </c>
      <c r="G199" t="s">
        <v>74</v>
      </c>
      <c r="H199" t="s">
        <v>74</v>
      </c>
      <c r="I199" t="s">
        <v>3606</v>
      </c>
      <c r="J199" t="s">
        <v>3607</v>
      </c>
      <c r="K199" t="s">
        <v>74</v>
      </c>
      <c r="L199" t="s">
        <v>74</v>
      </c>
      <c r="M199" t="s">
        <v>77</v>
      </c>
      <c r="N199" t="s">
        <v>78</v>
      </c>
      <c r="O199" t="s">
        <v>74</v>
      </c>
      <c r="P199" t="s">
        <v>74</v>
      </c>
      <c r="Q199" t="s">
        <v>74</v>
      </c>
      <c r="R199" t="s">
        <v>74</v>
      </c>
      <c r="S199" t="s">
        <v>74</v>
      </c>
      <c r="T199" t="s">
        <v>3608</v>
      </c>
      <c r="U199" t="s">
        <v>3609</v>
      </c>
      <c r="V199" t="s">
        <v>3610</v>
      </c>
      <c r="W199" t="s">
        <v>3611</v>
      </c>
      <c r="X199" t="s">
        <v>3612</v>
      </c>
      <c r="Y199" t="s">
        <v>3613</v>
      </c>
      <c r="Z199" t="s">
        <v>3614</v>
      </c>
      <c r="AA199" t="s">
        <v>3615</v>
      </c>
      <c r="AB199" t="s">
        <v>74</v>
      </c>
      <c r="AC199" t="s">
        <v>74</v>
      </c>
      <c r="AD199" t="s">
        <v>74</v>
      </c>
      <c r="AE199" t="s">
        <v>74</v>
      </c>
      <c r="AF199" t="s">
        <v>74</v>
      </c>
      <c r="AG199">
        <v>96</v>
      </c>
      <c r="AH199">
        <v>46</v>
      </c>
      <c r="AI199">
        <v>47</v>
      </c>
      <c r="AJ199">
        <v>6</v>
      </c>
      <c r="AK199">
        <v>84</v>
      </c>
      <c r="AL199" t="s">
        <v>434</v>
      </c>
      <c r="AM199" t="s">
        <v>435</v>
      </c>
      <c r="AN199" t="s">
        <v>436</v>
      </c>
      <c r="AO199" t="s">
        <v>3616</v>
      </c>
      <c r="AP199" t="s">
        <v>3617</v>
      </c>
      <c r="AQ199" t="s">
        <v>74</v>
      </c>
      <c r="AR199" t="s">
        <v>3618</v>
      </c>
      <c r="AS199" t="s">
        <v>3619</v>
      </c>
      <c r="AT199" t="s">
        <v>375</v>
      </c>
      <c r="AU199">
        <v>2015</v>
      </c>
      <c r="AV199">
        <v>51</v>
      </c>
      <c r="AW199" t="s">
        <v>74</v>
      </c>
      <c r="AX199" t="s">
        <v>74</v>
      </c>
      <c r="AY199" t="s">
        <v>74</v>
      </c>
      <c r="AZ199" t="s">
        <v>74</v>
      </c>
      <c r="BA199" t="s">
        <v>74</v>
      </c>
      <c r="BB199">
        <v>134</v>
      </c>
      <c r="BC199">
        <v>151</v>
      </c>
      <c r="BD199" t="s">
        <v>74</v>
      </c>
      <c r="BE199" t="s">
        <v>3620</v>
      </c>
      <c r="BF199" t="str">
        <f>HYPERLINK("http://dx.doi.org/10.1016/j.joep.2015.09.003","http://dx.doi.org/10.1016/j.joep.2015.09.003")</f>
        <v>http://dx.doi.org/10.1016/j.joep.2015.09.003</v>
      </c>
      <c r="BG199" t="s">
        <v>74</v>
      </c>
      <c r="BH199" t="s">
        <v>74</v>
      </c>
      <c r="BI199">
        <v>18</v>
      </c>
      <c r="BJ199" t="s">
        <v>3621</v>
      </c>
      <c r="BK199" t="s">
        <v>94</v>
      </c>
      <c r="BL199" t="s">
        <v>227</v>
      </c>
      <c r="BM199" t="s">
        <v>3622</v>
      </c>
      <c r="BN199" t="s">
        <v>74</v>
      </c>
      <c r="BO199" t="s">
        <v>74</v>
      </c>
      <c r="BP199" t="s">
        <v>74</v>
      </c>
      <c r="BQ199" t="s">
        <v>74</v>
      </c>
      <c r="BR199" t="s">
        <v>97</v>
      </c>
      <c r="BS199" t="s">
        <v>3623</v>
      </c>
      <c r="BT199" t="str">
        <f>HYPERLINK("https%3A%2F%2Fwww.webofscience.com%2Fwos%2Fwoscc%2Ffull-record%2FWOS:000366766200010","View Full Record in Web of Science")</f>
        <v>View Full Record in Web of Science</v>
      </c>
    </row>
    <row r="200" spans="1:72" x14ac:dyDescent="0.25">
      <c r="A200" t="s">
        <v>72</v>
      </c>
      <c r="B200" t="s">
        <v>3624</v>
      </c>
      <c r="C200" t="s">
        <v>74</v>
      </c>
      <c r="D200" t="s">
        <v>74</v>
      </c>
      <c r="E200" t="s">
        <v>74</v>
      </c>
      <c r="F200" t="s">
        <v>3625</v>
      </c>
      <c r="G200" t="s">
        <v>74</v>
      </c>
      <c r="H200" t="s">
        <v>74</v>
      </c>
      <c r="I200" t="s">
        <v>3626</v>
      </c>
      <c r="J200" t="s">
        <v>592</v>
      </c>
      <c r="K200" t="s">
        <v>74</v>
      </c>
      <c r="L200" t="s">
        <v>74</v>
      </c>
      <c r="M200" t="s">
        <v>77</v>
      </c>
      <c r="N200" t="s">
        <v>78</v>
      </c>
      <c r="O200" t="s">
        <v>74</v>
      </c>
      <c r="P200" t="s">
        <v>74</v>
      </c>
      <c r="Q200" t="s">
        <v>74</v>
      </c>
      <c r="R200" t="s">
        <v>74</v>
      </c>
      <c r="S200" t="s">
        <v>74</v>
      </c>
      <c r="T200" t="s">
        <v>3627</v>
      </c>
      <c r="U200" t="s">
        <v>3628</v>
      </c>
      <c r="V200" t="s">
        <v>3629</v>
      </c>
      <c r="W200" t="s">
        <v>3630</v>
      </c>
      <c r="X200" t="s">
        <v>3631</v>
      </c>
      <c r="Y200" t="s">
        <v>3632</v>
      </c>
      <c r="Z200" t="s">
        <v>3633</v>
      </c>
      <c r="AA200" t="s">
        <v>74</v>
      </c>
      <c r="AB200" t="s">
        <v>74</v>
      </c>
      <c r="AC200" t="s">
        <v>74</v>
      </c>
      <c r="AD200" t="s">
        <v>74</v>
      </c>
      <c r="AE200" t="s">
        <v>74</v>
      </c>
      <c r="AF200" t="s">
        <v>74</v>
      </c>
      <c r="AG200">
        <v>120</v>
      </c>
      <c r="AH200">
        <v>45</v>
      </c>
      <c r="AI200">
        <v>46</v>
      </c>
      <c r="AJ200">
        <v>5</v>
      </c>
      <c r="AK200">
        <v>119</v>
      </c>
      <c r="AL200" t="s">
        <v>602</v>
      </c>
      <c r="AM200" t="s">
        <v>160</v>
      </c>
      <c r="AN200" t="s">
        <v>603</v>
      </c>
      <c r="AO200" t="s">
        <v>604</v>
      </c>
      <c r="AP200" t="s">
        <v>605</v>
      </c>
      <c r="AQ200" t="s">
        <v>74</v>
      </c>
      <c r="AR200" t="s">
        <v>606</v>
      </c>
      <c r="AS200" t="s">
        <v>607</v>
      </c>
      <c r="AT200" t="s">
        <v>91</v>
      </c>
      <c r="AU200">
        <v>2019</v>
      </c>
      <c r="AV200">
        <v>72</v>
      </c>
      <c r="AW200" t="s">
        <v>74</v>
      </c>
      <c r="AX200" t="s">
        <v>74</v>
      </c>
      <c r="AY200" t="s">
        <v>74</v>
      </c>
      <c r="AZ200" t="s">
        <v>74</v>
      </c>
      <c r="BA200" t="s">
        <v>74</v>
      </c>
      <c r="BB200">
        <v>326</v>
      </c>
      <c r="BC200">
        <v>339</v>
      </c>
      <c r="BD200" t="s">
        <v>74</v>
      </c>
      <c r="BE200" t="s">
        <v>3634</v>
      </c>
      <c r="BF200" t="str">
        <f>HYPERLINK("http://dx.doi.org/10.1016/j.tourman.2018.12.011","http://dx.doi.org/10.1016/j.tourman.2018.12.011")</f>
        <v>http://dx.doi.org/10.1016/j.tourman.2018.12.011</v>
      </c>
      <c r="BG200" t="s">
        <v>74</v>
      </c>
      <c r="BH200" t="s">
        <v>74</v>
      </c>
      <c r="BI200">
        <v>14</v>
      </c>
      <c r="BJ200" t="s">
        <v>609</v>
      </c>
      <c r="BK200" t="s">
        <v>94</v>
      </c>
      <c r="BL200" t="s">
        <v>610</v>
      </c>
      <c r="BM200" t="s">
        <v>3635</v>
      </c>
      <c r="BN200" t="s">
        <v>74</v>
      </c>
      <c r="BO200" t="s">
        <v>74</v>
      </c>
      <c r="BP200" t="s">
        <v>74</v>
      </c>
      <c r="BQ200" t="s">
        <v>74</v>
      </c>
      <c r="BR200" t="s">
        <v>97</v>
      </c>
      <c r="BS200" t="s">
        <v>3636</v>
      </c>
      <c r="BT200" t="str">
        <f>HYPERLINK("https%3A%2F%2Fwww.webofscience.com%2Fwos%2Fwoscc%2Ffull-record%2FWOS:000458709600032","View Full Record in Web of Science")</f>
        <v>View Full Record in Web of Science</v>
      </c>
    </row>
    <row r="201" spans="1:72" x14ac:dyDescent="0.25">
      <c r="A201" t="s">
        <v>72</v>
      </c>
      <c r="B201" t="s">
        <v>3637</v>
      </c>
      <c r="C201" t="s">
        <v>74</v>
      </c>
      <c r="D201" t="s">
        <v>74</v>
      </c>
      <c r="E201" t="s">
        <v>74</v>
      </c>
      <c r="F201" t="s">
        <v>3638</v>
      </c>
      <c r="G201" t="s">
        <v>74</v>
      </c>
      <c r="H201" t="s">
        <v>74</v>
      </c>
      <c r="I201" t="s">
        <v>3639</v>
      </c>
      <c r="J201" t="s">
        <v>3640</v>
      </c>
      <c r="K201" t="s">
        <v>74</v>
      </c>
      <c r="L201" t="s">
        <v>74</v>
      </c>
      <c r="M201" t="s">
        <v>77</v>
      </c>
      <c r="N201" t="s">
        <v>78</v>
      </c>
      <c r="O201" t="s">
        <v>74</v>
      </c>
      <c r="P201" t="s">
        <v>74</v>
      </c>
      <c r="Q201" t="s">
        <v>74</v>
      </c>
      <c r="R201" t="s">
        <v>74</v>
      </c>
      <c r="S201" t="s">
        <v>74</v>
      </c>
      <c r="T201" t="s">
        <v>3641</v>
      </c>
      <c r="U201" t="s">
        <v>3642</v>
      </c>
      <c r="V201" t="s">
        <v>3643</v>
      </c>
      <c r="W201" t="s">
        <v>3644</v>
      </c>
      <c r="X201" t="s">
        <v>3645</v>
      </c>
      <c r="Y201" t="s">
        <v>3646</v>
      </c>
      <c r="Z201" t="s">
        <v>3647</v>
      </c>
      <c r="AA201" t="s">
        <v>3648</v>
      </c>
      <c r="AB201" t="s">
        <v>3649</v>
      </c>
      <c r="AC201" t="s">
        <v>74</v>
      </c>
      <c r="AD201" t="s">
        <v>74</v>
      </c>
      <c r="AE201" t="s">
        <v>74</v>
      </c>
      <c r="AF201" t="s">
        <v>74</v>
      </c>
      <c r="AG201">
        <v>133</v>
      </c>
      <c r="AH201">
        <v>45</v>
      </c>
      <c r="AI201">
        <v>46</v>
      </c>
      <c r="AJ201">
        <v>2</v>
      </c>
      <c r="AK201">
        <v>69</v>
      </c>
      <c r="AL201" t="s">
        <v>218</v>
      </c>
      <c r="AM201" t="s">
        <v>219</v>
      </c>
      <c r="AN201" t="s">
        <v>220</v>
      </c>
      <c r="AO201" t="s">
        <v>3650</v>
      </c>
      <c r="AP201" t="s">
        <v>3651</v>
      </c>
      <c r="AQ201" t="s">
        <v>74</v>
      </c>
      <c r="AR201" t="s">
        <v>3652</v>
      </c>
      <c r="AS201" t="s">
        <v>3653</v>
      </c>
      <c r="AT201" t="s">
        <v>584</v>
      </c>
      <c r="AU201">
        <v>2018</v>
      </c>
      <c r="AV201">
        <v>11</v>
      </c>
      <c r="AW201">
        <v>4</v>
      </c>
      <c r="AX201" t="s">
        <v>74</v>
      </c>
      <c r="AY201" t="s">
        <v>74</v>
      </c>
      <c r="AZ201" t="s">
        <v>74</v>
      </c>
      <c r="BA201" t="s">
        <v>74</v>
      </c>
      <c r="BB201">
        <v>298</v>
      </c>
      <c r="BC201">
        <v>320</v>
      </c>
      <c r="BD201" t="s">
        <v>74</v>
      </c>
      <c r="BE201" t="s">
        <v>3654</v>
      </c>
      <c r="BF201" t="str">
        <f>HYPERLINK("http://dx.doi.org/10.1111/ncmr.12136","http://dx.doi.org/10.1111/ncmr.12136")</f>
        <v>http://dx.doi.org/10.1111/ncmr.12136</v>
      </c>
      <c r="BG201" t="s">
        <v>74</v>
      </c>
      <c r="BH201" t="s">
        <v>74</v>
      </c>
      <c r="BI201">
        <v>23</v>
      </c>
      <c r="BJ201" t="s">
        <v>202</v>
      </c>
      <c r="BK201" t="s">
        <v>94</v>
      </c>
      <c r="BL201" t="s">
        <v>203</v>
      </c>
      <c r="BM201" t="s">
        <v>3655</v>
      </c>
      <c r="BN201" t="s">
        <v>74</v>
      </c>
      <c r="BO201" t="s">
        <v>74</v>
      </c>
      <c r="BP201" t="s">
        <v>74</v>
      </c>
      <c r="BQ201" t="s">
        <v>74</v>
      </c>
      <c r="BR201" t="s">
        <v>97</v>
      </c>
      <c r="BS201" t="s">
        <v>3656</v>
      </c>
      <c r="BT201" t="str">
        <f>HYPERLINK("https%3A%2F%2Fwww.webofscience.com%2Fwos%2Fwoscc%2Ffull-record%2FWOS:000446994400003","View Full Record in Web of Science")</f>
        <v>View Full Record in Web of Science</v>
      </c>
    </row>
    <row r="202" spans="1:72" x14ac:dyDescent="0.25">
      <c r="A202" t="s">
        <v>72</v>
      </c>
      <c r="B202" t="s">
        <v>3657</v>
      </c>
      <c r="C202" t="s">
        <v>74</v>
      </c>
      <c r="D202" t="s">
        <v>74</v>
      </c>
      <c r="E202" t="s">
        <v>74</v>
      </c>
      <c r="F202" t="s">
        <v>3658</v>
      </c>
      <c r="G202" t="s">
        <v>74</v>
      </c>
      <c r="H202" t="s">
        <v>74</v>
      </c>
      <c r="I202" t="s">
        <v>3659</v>
      </c>
      <c r="J202" t="s">
        <v>3660</v>
      </c>
      <c r="K202" t="s">
        <v>74</v>
      </c>
      <c r="L202" t="s">
        <v>74</v>
      </c>
      <c r="M202" t="s">
        <v>77</v>
      </c>
      <c r="N202" t="s">
        <v>78</v>
      </c>
      <c r="O202" t="s">
        <v>74</v>
      </c>
      <c r="P202" t="s">
        <v>74</v>
      </c>
      <c r="Q202" t="s">
        <v>74</v>
      </c>
      <c r="R202" t="s">
        <v>74</v>
      </c>
      <c r="S202" t="s">
        <v>74</v>
      </c>
      <c r="T202" t="s">
        <v>3661</v>
      </c>
      <c r="U202" t="s">
        <v>3662</v>
      </c>
      <c r="V202" t="s">
        <v>3663</v>
      </c>
      <c r="W202" t="s">
        <v>3664</v>
      </c>
      <c r="X202" t="s">
        <v>3665</v>
      </c>
      <c r="Y202" t="s">
        <v>3666</v>
      </c>
      <c r="Z202" t="s">
        <v>3667</v>
      </c>
      <c r="AA202" t="s">
        <v>3668</v>
      </c>
      <c r="AB202" t="s">
        <v>3669</v>
      </c>
      <c r="AC202" t="s">
        <v>3670</v>
      </c>
      <c r="AD202" t="s">
        <v>3671</v>
      </c>
      <c r="AE202" t="s">
        <v>3672</v>
      </c>
      <c r="AF202" t="s">
        <v>74</v>
      </c>
      <c r="AG202">
        <v>91</v>
      </c>
      <c r="AH202">
        <v>45</v>
      </c>
      <c r="AI202">
        <v>45</v>
      </c>
      <c r="AJ202">
        <v>9</v>
      </c>
      <c r="AK202">
        <v>124</v>
      </c>
      <c r="AL202" t="s">
        <v>350</v>
      </c>
      <c r="AM202" t="s">
        <v>351</v>
      </c>
      <c r="AN202" t="s">
        <v>352</v>
      </c>
      <c r="AO202" t="s">
        <v>3673</v>
      </c>
      <c r="AP202" t="s">
        <v>3674</v>
      </c>
      <c r="AQ202" t="s">
        <v>74</v>
      </c>
      <c r="AR202" t="s">
        <v>3675</v>
      </c>
      <c r="AS202" t="s">
        <v>3676</v>
      </c>
      <c r="AT202" t="s">
        <v>584</v>
      </c>
      <c r="AU202">
        <v>2017</v>
      </c>
      <c r="AV202">
        <v>24</v>
      </c>
      <c r="AW202">
        <v>4</v>
      </c>
      <c r="AX202" t="s">
        <v>74</v>
      </c>
      <c r="AY202" t="s">
        <v>74</v>
      </c>
      <c r="AZ202" t="s">
        <v>74</v>
      </c>
      <c r="BA202" t="s">
        <v>74</v>
      </c>
      <c r="BB202">
        <v>479</v>
      </c>
      <c r="BC202">
        <v>493</v>
      </c>
      <c r="BD202" t="s">
        <v>74</v>
      </c>
      <c r="BE202" t="s">
        <v>3677</v>
      </c>
      <c r="BF202" t="str">
        <f>HYPERLINK("http://dx.doi.org/10.1177/1548051817705810","http://dx.doi.org/10.1177/1548051817705810")</f>
        <v>http://dx.doi.org/10.1177/1548051817705810</v>
      </c>
      <c r="BG202" t="s">
        <v>74</v>
      </c>
      <c r="BH202" t="s">
        <v>74</v>
      </c>
      <c r="BI202">
        <v>15</v>
      </c>
      <c r="BJ202" t="s">
        <v>442</v>
      </c>
      <c r="BK202" t="s">
        <v>94</v>
      </c>
      <c r="BL202" t="s">
        <v>95</v>
      </c>
      <c r="BM202" t="s">
        <v>3678</v>
      </c>
      <c r="BN202" t="s">
        <v>74</v>
      </c>
      <c r="BO202" t="s">
        <v>111</v>
      </c>
      <c r="BP202" t="s">
        <v>74</v>
      </c>
      <c r="BQ202" t="s">
        <v>74</v>
      </c>
      <c r="BR202" t="s">
        <v>97</v>
      </c>
      <c r="BS202" t="s">
        <v>3679</v>
      </c>
      <c r="BT202" t="str">
        <f>HYPERLINK("https%3A%2F%2Fwww.webofscience.com%2Fwos%2Fwoscc%2Ffull-record%2FWOS:000412327900004","View Full Record in Web of Science")</f>
        <v>View Full Record in Web of Science</v>
      </c>
    </row>
    <row r="203" spans="1:72" x14ac:dyDescent="0.25">
      <c r="A203" t="s">
        <v>72</v>
      </c>
      <c r="B203" t="s">
        <v>3680</v>
      </c>
      <c r="C203" t="s">
        <v>74</v>
      </c>
      <c r="D203" t="s">
        <v>74</v>
      </c>
      <c r="E203" t="s">
        <v>74</v>
      </c>
      <c r="F203" t="s">
        <v>3681</v>
      </c>
      <c r="G203" t="s">
        <v>74</v>
      </c>
      <c r="H203" t="s">
        <v>74</v>
      </c>
      <c r="I203" t="s">
        <v>3682</v>
      </c>
      <c r="J203" t="s">
        <v>3683</v>
      </c>
      <c r="K203" t="s">
        <v>74</v>
      </c>
      <c r="L203" t="s">
        <v>74</v>
      </c>
      <c r="M203" t="s">
        <v>77</v>
      </c>
      <c r="N203" t="s">
        <v>78</v>
      </c>
      <c r="O203" t="s">
        <v>74</v>
      </c>
      <c r="P203" t="s">
        <v>74</v>
      </c>
      <c r="Q203" t="s">
        <v>74</v>
      </c>
      <c r="R203" t="s">
        <v>74</v>
      </c>
      <c r="S203" t="s">
        <v>74</v>
      </c>
      <c r="T203" t="s">
        <v>3684</v>
      </c>
      <c r="U203" t="s">
        <v>3685</v>
      </c>
      <c r="V203" t="s">
        <v>3686</v>
      </c>
      <c r="W203" t="s">
        <v>3687</v>
      </c>
      <c r="X203" t="s">
        <v>3688</v>
      </c>
      <c r="Y203" t="s">
        <v>3689</v>
      </c>
      <c r="Z203" t="s">
        <v>3690</v>
      </c>
      <c r="AA203" t="s">
        <v>3691</v>
      </c>
      <c r="AB203" t="s">
        <v>3692</v>
      </c>
      <c r="AC203" t="s">
        <v>74</v>
      </c>
      <c r="AD203" t="s">
        <v>74</v>
      </c>
      <c r="AE203" t="s">
        <v>74</v>
      </c>
      <c r="AF203" t="s">
        <v>74</v>
      </c>
      <c r="AG203">
        <v>60</v>
      </c>
      <c r="AH203">
        <v>45</v>
      </c>
      <c r="AI203">
        <v>46</v>
      </c>
      <c r="AJ203">
        <v>3</v>
      </c>
      <c r="AK203">
        <v>41</v>
      </c>
      <c r="AL203" t="s">
        <v>1533</v>
      </c>
      <c r="AM203" t="s">
        <v>1534</v>
      </c>
      <c r="AN203" t="s">
        <v>1535</v>
      </c>
      <c r="AO203" t="s">
        <v>3693</v>
      </c>
      <c r="AP203" t="s">
        <v>3694</v>
      </c>
      <c r="AQ203" t="s">
        <v>74</v>
      </c>
      <c r="AR203" t="s">
        <v>3695</v>
      </c>
      <c r="AS203" t="s">
        <v>3696</v>
      </c>
      <c r="AT203" t="s">
        <v>375</v>
      </c>
      <c r="AU203">
        <v>2016</v>
      </c>
      <c r="AV203">
        <v>6</v>
      </c>
      <c r="AW203">
        <v>3</v>
      </c>
      <c r="AX203" t="s">
        <v>74</v>
      </c>
      <c r="AY203" t="s">
        <v>74</v>
      </c>
      <c r="AZ203" t="s">
        <v>74</v>
      </c>
      <c r="BA203" t="s">
        <v>74</v>
      </c>
      <c r="BB203">
        <v>299</v>
      </c>
      <c r="BC203">
        <v>322</v>
      </c>
      <c r="BD203" t="s">
        <v>74</v>
      </c>
      <c r="BE203" t="s">
        <v>3697</v>
      </c>
      <c r="BF203" t="str">
        <f>HYPERLINK("http://dx.doi.org/10.1007/s40821-016-0062-4","http://dx.doi.org/10.1007/s40821-016-0062-4")</f>
        <v>http://dx.doi.org/10.1007/s40821-016-0062-4</v>
      </c>
      <c r="BG203" t="s">
        <v>74</v>
      </c>
      <c r="BH203" t="s">
        <v>74</v>
      </c>
      <c r="BI203">
        <v>24</v>
      </c>
      <c r="BJ203" t="s">
        <v>1199</v>
      </c>
      <c r="BK203" t="s">
        <v>94</v>
      </c>
      <c r="BL203" t="s">
        <v>95</v>
      </c>
      <c r="BM203" t="s">
        <v>3698</v>
      </c>
      <c r="BN203" t="s">
        <v>74</v>
      </c>
      <c r="BO203" t="s">
        <v>111</v>
      </c>
      <c r="BP203" t="s">
        <v>74</v>
      </c>
      <c r="BQ203" t="s">
        <v>74</v>
      </c>
      <c r="BR203" t="s">
        <v>97</v>
      </c>
      <c r="BS203" t="s">
        <v>3699</v>
      </c>
      <c r="BT203" t="str">
        <f>HYPERLINK("https%3A%2F%2Fwww.webofscience.com%2Fwos%2Fwoscc%2Ffull-record%2FWOS:000403487400004","View Full Record in Web of Science")</f>
        <v>View Full Record in Web of Science</v>
      </c>
    </row>
    <row r="204" spans="1:72" x14ac:dyDescent="0.25">
      <c r="A204" t="s">
        <v>72</v>
      </c>
      <c r="B204" t="s">
        <v>3700</v>
      </c>
      <c r="C204" t="s">
        <v>74</v>
      </c>
      <c r="D204" t="s">
        <v>74</v>
      </c>
      <c r="E204" t="s">
        <v>74</v>
      </c>
      <c r="F204" t="s">
        <v>3701</v>
      </c>
      <c r="G204" t="s">
        <v>74</v>
      </c>
      <c r="H204" t="s">
        <v>74</v>
      </c>
      <c r="I204" t="s">
        <v>3702</v>
      </c>
      <c r="J204" t="s">
        <v>2678</v>
      </c>
      <c r="K204" t="s">
        <v>74</v>
      </c>
      <c r="L204" t="s">
        <v>74</v>
      </c>
      <c r="M204" t="s">
        <v>77</v>
      </c>
      <c r="N204" t="s">
        <v>78</v>
      </c>
      <c r="O204" t="s">
        <v>74</v>
      </c>
      <c r="P204" t="s">
        <v>74</v>
      </c>
      <c r="Q204" t="s">
        <v>74</v>
      </c>
      <c r="R204" t="s">
        <v>74</v>
      </c>
      <c r="S204" t="s">
        <v>74</v>
      </c>
      <c r="T204" t="s">
        <v>74</v>
      </c>
      <c r="U204" t="s">
        <v>3703</v>
      </c>
      <c r="V204" t="s">
        <v>3704</v>
      </c>
      <c r="W204" t="s">
        <v>3705</v>
      </c>
      <c r="X204" t="s">
        <v>3706</v>
      </c>
      <c r="Y204" t="s">
        <v>3707</v>
      </c>
      <c r="Z204" t="s">
        <v>3708</v>
      </c>
      <c r="AA204" t="s">
        <v>3709</v>
      </c>
      <c r="AB204" t="s">
        <v>3710</v>
      </c>
      <c r="AC204" t="s">
        <v>3711</v>
      </c>
      <c r="AD204" t="s">
        <v>3712</v>
      </c>
      <c r="AE204" t="s">
        <v>3713</v>
      </c>
      <c r="AF204" t="s">
        <v>74</v>
      </c>
      <c r="AG204">
        <v>78</v>
      </c>
      <c r="AH204">
        <v>45</v>
      </c>
      <c r="AI204">
        <v>45</v>
      </c>
      <c r="AJ204">
        <v>0</v>
      </c>
      <c r="AK204">
        <v>16</v>
      </c>
      <c r="AL204" t="s">
        <v>1045</v>
      </c>
      <c r="AM204" t="s">
        <v>1046</v>
      </c>
      <c r="AN204" t="s">
        <v>1047</v>
      </c>
      <c r="AO204" t="s">
        <v>2688</v>
      </c>
      <c r="AP204" t="s">
        <v>74</v>
      </c>
      <c r="AQ204" t="s">
        <v>74</v>
      </c>
      <c r="AR204" t="s">
        <v>2678</v>
      </c>
      <c r="AS204" t="s">
        <v>2689</v>
      </c>
      <c r="AT204" t="s">
        <v>3714</v>
      </c>
      <c r="AU204">
        <v>2016</v>
      </c>
      <c r="AV204">
        <v>11</v>
      </c>
      <c r="AW204">
        <v>7</v>
      </c>
      <c r="AX204" t="s">
        <v>74</v>
      </c>
      <c r="AY204" t="s">
        <v>74</v>
      </c>
      <c r="AZ204" t="s">
        <v>74</v>
      </c>
      <c r="BA204" t="s">
        <v>74</v>
      </c>
      <c r="BB204" t="s">
        <v>74</v>
      </c>
      <c r="BC204" t="s">
        <v>74</v>
      </c>
      <c r="BD204" t="s">
        <v>3715</v>
      </c>
      <c r="BE204" t="s">
        <v>3716</v>
      </c>
      <c r="BF204" t="str">
        <f>HYPERLINK("http://dx.doi.org/10.1371/journal.pone.0157408","http://dx.doi.org/10.1371/journal.pone.0157408")</f>
        <v>http://dx.doi.org/10.1371/journal.pone.0157408</v>
      </c>
      <c r="BG204" t="s">
        <v>74</v>
      </c>
      <c r="BH204" t="s">
        <v>74</v>
      </c>
      <c r="BI204">
        <v>20</v>
      </c>
      <c r="BJ204" t="s">
        <v>282</v>
      </c>
      <c r="BK204" t="s">
        <v>147</v>
      </c>
      <c r="BL204" t="s">
        <v>284</v>
      </c>
      <c r="BM204" t="s">
        <v>3717</v>
      </c>
      <c r="BN204">
        <v>27383620</v>
      </c>
      <c r="BO204" t="s">
        <v>2694</v>
      </c>
      <c r="BP204" t="s">
        <v>74</v>
      </c>
      <c r="BQ204" t="s">
        <v>74</v>
      </c>
      <c r="BR204" t="s">
        <v>97</v>
      </c>
      <c r="BS204" t="s">
        <v>3718</v>
      </c>
      <c r="BT204" t="str">
        <f>HYPERLINK("https%3A%2F%2Fwww.webofscience.com%2Fwos%2Fwoscc%2Ffull-record%2FWOS:000379809400011","View Full Record in Web of Science")</f>
        <v>View Full Record in Web of Science</v>
      </c>
    </row>
    <row r="205" spans="1:72" x14ac:dyDescent="0.25">
      <c r="A205" t="s">
        <v>72</v>
      </c>
      <c r="B205" t="s">
        <v>3719</v>
      </c>
      <c r="C205" t="s">
        <v>74</v>
      </c>
      <c r="D205" t="s">
        <v>74</v>
      </c>
      <c r="E205" t="s">
        <v>74</v>
      </c>
      <c r="F205" t="s">
        <v>3720</v>
      </c>
      <c r="G205" t="s">
        <v>74</v>
      </c>
      <c r="H205" t="s">
        <v>74</v>
      </c>
      <c r="I205" t="s">
        <v>3721</v>
      </c>
      <c r="J205" t="s">
        <v>2643</v>
      </c>
      <c r="K205" t="s">
        <v>74</v>
      </c>
      <c r="L205" t="s">
        <v>74</v>
      </c>
      <c r="M205" t="s">
        <v>77</v>
      </c>
      <c r="N205" t="s">
        <v>78</v>
      </c>
      <c r="O205" t="s">
        <v>74</v>
      </c>
      <c r="P205" t="s">
        <v>74</v>
      </c>
      <c r="Q205" t="s">
        <v>74</v>
      </c>
      <c r="R205" t="s">
        <v>74</v>
      </c>
      <c r="S205" t="s">
        <v>74</v>
      </c>
      <c r="T205" t="s">
        <v>3722</v>
      </c>
      <c r="U205" t="s">
        <v>3723</v>
      </c>
      <c r="V205" t="s">
        <v>3724</v>
      </c>
      <c r="W205" t="s">
        <v>3725</v>
      </c>
      <c r="X205" t="s">
        <v>3726</v>
      </c>
      <c r="Y205" t="s">
        <v>3727</v>
      </c>
      <c r="Z205" t="s">
        <v>1380</v>
      </c>
      <c r="AA205" t="s">
        <v>3728</v>
      </c>
      <c r="AB205" t="s">
        <v>3729</v>
      </c>
      <c r="AC205" t="s">
        <v>74</v>
      </c>
      <c r="AD205" t="s">
        <v>74</v>
      </c>
      <c r="AE205" t="s">
        <v>74</v>
      </c>
      <c r="AF205" t="s">
        <v>74</v>
      </c>
      <c r="AG205">
        <v>118</v>
      </c>
      <c r="AH205">
        <v>45</v>
      </c>
      <c r="AI205">
        <v>49</v>
      </c>
      <c r="AJ205">
        <v>8</v>
      </c>
      <c r="AK205">
        <v>224</v>
      </c>
      <c r="AL205" t="s">
        <v>2652</v>
      </c>
      <c r="AM205" t="s">
        <v>2653</v>
      </c>
      <c r="AN205" t="s">
        <v>2654</v>
      </c>
      <c r="AO205" t="s">
        <v>2655</v>
      </c>
      <c r="AP205" t="s">
        <v>2656</v>
      </c>
      <c r="AQ205" t="s">
        <v>74</v>
      </c>
      <c r="AR205" t="s">
        <v>2657</v>
      </c>
      <c r="AS205" t="s">
        <v>2658</v>
      </c>
      <c r="AT205" t="s">
        <v>74</v>
      </c>
      <c r="AU205">
        <v>2014</v>
      </c>
      <c r="AV205">
        <v>13</v>
      </c>
      <c r="AW205">
        <v>2</v>
      </c>
      <c r="AX205" t="s">
        <v>74</v>
      </c>
      <c r="AY205" t="s">
        <v>74</v>
      </c>
      <c r="AZ205" t="s">
        <v>74</v>
      </c>
      <c r="BA205" t="s">
        <v>74</v>
      </c>
      <c r="BB205">
        <v>70</v>
      </c>
      <c r="BC205">
        <v>86</v>
      </c>
      <c r="BD205" t="s">
        <v>74</v>
      </c>
      <c r="BE205" t="s">
        <v>3730</v>
      </c>
      <c r="BF205" t="str">
        <f>HYPERLINK("http://dx.doi.org/10.1027/1866-5888/a000105","http://dx.doi.org/10.1027/1866-5888/a000105")</f>
        <v>http://dx.doi.org/10.1027/1866-5888/a000105</v>
      </c>
      <c r="BG205" t="s">
        <v>74</v>
      </c>
      <c r="BH205" t="s">
        <v>74</v>
      </c>
      <c r="BI205">
        <v>17</v>
      </c>
      <c r="BJ205" t="s">
        <v>692</v>
      </c>
      <c r="BK205" t="s">
        <v>94</v>
      </c>
      <c r="BL205" t="s">
        <v>460</v>
      </c>
      <c r="BM205" t="s">
        <v>3731</v>
      </c>
      <c r="BN205" t="s">
        <v>74</v>
      </c>
      <c r="BO205" t="s">
        <v>74</v>
      </c>
      <c r="BP205" t="s">
        <v>74</v>
      </c>
      <c r="BQ205" t="s">
        <v>74</v>
      </c>
      <c r="BR205" t="s">
        <v>97</v>
      </c>
      <c r="BS205" t="s">
        <v>3732</v>
      </c>
      <c r="BT205" t="str">
        <f>HYPERLINK("https%3A%2F%2Fwww.webofscience.com%2Fwos%2Fwoscc%2Ffull-record%2FWOS:000336219800002","View Full Record in Web of Science")</f>
        <v>View Full Record in Web of Science</v>
      </c>
    </row>
    <row r="206" spans="1:72" x14ac:dyDescent="0.25">
      <c r="A206" t="s">
        <v>72</v>
      </c>
      <c r="B206" t="s">
        <v>3733</v>
      </c>
      <c r="C206" t="s">
        <v>74</v>
      </c>
      <c r="D206" t="s">
        <v>74</v>
      </c>
      <c r="E206" t="s">
        <v>74</v>
      </c>
      <c r="F206" t="s">
        <v>3734</v>
      </c>
      <c r="G206" t="s">
        <v>74</v>
      </c>
      <c r="H206" t="s">
        <v>74</v>
      </c>
      <c r="I206" t="s">
        <v>3735</v>
      </c>
      <c r="J206" t="s">
        <v>779</v>
      </c>
      <c r="K206" t="s">
        <v>74</v>
      </c>
      <c r="L206" t="s">
        <v>74</v>
      </c>
      <c r="M206" t="s">
        <v>77</v>
      </c>
      <c r="N206" t="s">
        <v>78</v>
      </c>
      <c r="O206" t="s">
        <v>74</v>
      </c>
      <c r="P206" t="s">
        <v>74</v>
      </c>
      <c r="Q206" t="s">
        <v>74</v>
      </c>
      <c r="R206" t="s">
        <v>74</v>
      </c>
      <c r="S206" t="s">
        <v>74</v>
      </c>
      <c r="T206" t="s">
        <v>74</v>
      </c>
      <c r="U206" t="s">
        <v>3736</v>
      </c>
      <c r="V206" t="s">
        <v>3737</v>
      </c>
      <c r="W206" t="s">
        <v>3738</v>
      </c>
      <c r="X206" t="s">
        <v>3739</v>
      </c>
      <c r="Y206" t="s">
        <v>3740</v>
      </c>
      <c r="Z206" t="s">
        <v>3741</v>
      </c>
      <c r="AA206" t="s">
        <v>74</v>
      </c>
      <c r="AB206" t="s">
        <v>3742</v>
      </c>
      <c r="AC206" t="s">
        <v>3743</v>
      </c>
      <c r="AD206" t="s">
        <v>3744</v>
      </c>
      <c r="AE206" t="s">
        <v>3745</v>
      </c>
      <c r="AF206" t="s">
        <v>74</v>
      </c>
      <c r="AG206">
        <v>70</v>
      </c>
      <c r="AH206">
        <v>44</v>
      </c>
      <c r="AI206">
        <v>44</v>
      </c>
      <c r="AJ206">
        <v>6</v>
      </c>
      <c r="AK206">
        <v>96</v>
      </c>
      <c r="AL206" t="s">
        <v>218</v>
      </c>
      <c r="AM206" t="s">
        <v>219</v>
      </c>
      <c r="AN206" t="s">
        <v>220</v>
      </c>
      <c r="AO206" t="s">
        <v>789</v>
      </c>
      <c r="AP206" t="s">
        <v>1320</v>
      </c>
      <c r="AQ206" t="s">
        <v>74</v>
      </c>
      <c r="AR206" t="s">
        <v>790</v>
      </c>
      <c r="AS206" t="s">
        <v>791</v>
      </c>
      <c r="AT206" t="s">
        <v>892</v>
      </c>
      <c r="AU206">
        <v>2016</v>
      </c>
      <c r="AV206">
        <v>33</v>
      </c>
      <c r="AW206">
        <v>1</v>
      </c>
      <c r="AX206" t="s">
        <v>74</v>
      </c>
      <c r="AY206" t="s">
        <v>74</v>
      </c>
      <c r="AZ206" t="s">
        <v>74</v>
      </c>
      <c r="BA206" t="s">
        <v>74</v>
      </c>
      <c r="BB206">
        <v>90</v>
      </c>
      <c r="BC206">
        <v>103</v>
      </c>
      <c r="BD206" t="s">
        <v>74</v>
      </c>
      <c r="BE206" t="s">
        <v>3746</v>
      </c>
      <c r="BF206" t="str">
        <f>HYPERLINK("http://dx.doi.org/10.1111/jpim.12262","http://dx.doi.org/10.1111/jpim.12262")</f>
        <v>http://dx.doi.org/10.1111/jpim.12262</v>
      </c>
      <c r="BG206" t="s">
        <v>74</v>
      </c>
      <c r="BH206" t="s">
        <v>74</v>
      </c>
      <c r="BI206">
        <v>14</v>
      </c>
      <c r="BJ206" t="s">
        <v>794</v>
      </c>
      <c r="BK206" t="s">
        <v>147</v>
      </c>
      <c r="BL206" t="s">
        <v>795</v>
      </c>
      <c r="BM206" t="s">
        <v>2435</v>
      </c>
      <c r="BN206" t="s">
        <v>74</v>
      </c>
      <c r="BO206" t="s">
        <v>74</v>
      </c>
      <c r="BP206" t="s">
        <v>74</v>
      </c>
      <c r="BQ206" t="s">
        <v>74</v>
      </c>
      <c r="BR206" t="s">
        <v>97</v>
      </c>
      <c r="BS206" t="s">
        <v>3747</v>
      </c>
      <c r="BT206" t="str">
        <f>HYPERLINK("https%3A%2F%2Fwww.webofscience.com%2Fwos%2Fwoscc%2Ffull-record%2FWOS:000368589800007","View Full Record in Web of Science")</f>
        <v>View Full Record in Web of Science</v>
      </c>
    </row>
    <row r="207" spans="1:72" x14ac:dyDescent="0.25">
      <c r="A207" t="s">
        <v>72</v>
      </c>
      <c r="B207" t="s">
        <v>3748</v>
      </c>
      <c r="C207" t="s">
        <v>74</v>
      </c>
      <c r="D207" t="s">
        <v>74</v>
      </c>
      <c r="E207" t="s">
        <v>74</v>
      </c>
      <c r="F207" t="s">
        <v>3749</v>
      </c>
      <c r="G207" t="s">
        <v>74</v>
      </c>
      <c r="H207" t="s">
        <v>74</v>
      </c>
      <c r="I207" t="s">
        <v>3750</v>
      </c>
      <c r="J207" t="s">
        <v>3751</v>
      </c>
      <c r="K207" t="s">
        <v>74</v>
      </c>
      <c r="L207" t="s">
        <v>74</v>
      </c>
      <c r="M207" t="s">
        <v>77</v>
      </c>
      <c r="N207" t="s">
        <v>78</v>
      </c>
      <c r="O207" t="s">
        <v>74</v>
      </c>
      <c r="P207" t="s">
        <v>74</v>
      </c>
      <c r="Q207" t="s">
        <v>74</v>
      </c>
      <c r="R207" t="s">
        <v>74</v>
      </c>
      <c r="S207" t="s">
        <v>74</v>
      </c>
      <c r="T207" t="s">
        <v>3752</v>
      </c>
      <c r="U207" t="s">
        <v>3753</v>
      </c>
      <c r="V207" t="s">
        <v>3754</v>
      </c>
      <c r="W207" t="s">
        <v>3755</v>
      </c>
      <c r="X207" t="s">
        <v>3756</v>
      </c>
      <c r="Y207" t="s">
        <v>3757</v>
      </c>
      <c r="Z207" t="s">
        <v>3758</v>
      </c>
      <c r="AA207" t="s">
        <v>3759</v>
      </c>
      <c r="AB207" t="s">
        <v>3760</v>
      </c>
      <c r="AC207" t="s">
        <v>74</v>
      </c>
      <c r="AD207" t="s">
        <v>74</v>
      </c>
      <c r="AE207" t="s">
        <v>74</v>
      </c>
      <c r="AF207" t="s">
        <v>74</v>
      </c>
      <c r="AG207">
        <v>61</v>
      </c>
      <c r="AH207">
        <v>44</v>
      </c>
      <c r="AI207">
        <v>45</v>
      </c>
      <c r="AJ207">
        <v>2</v>
      </c>
      <c r="AK207">
        <v>100</v>
      </c>
      <c r="AL207" t="s">
        <v>350</v>
      </c>
      <c r="AM207" t="s">
        <v>351</v>
      </c>
      <c r="AN207" t="s">
        <v>352</v>
      </c>
      <c r="AO207" t="s">
        <v>3761</v>
      </c>
      <c r="AP207" t="s">
        <v>74</v>
      </c>
      <c r="AQ207" t="s">
        <v>74</v>
      </c>
      <c r="AR207" t="s">
        <v>3762</v>
      </c>
      <c r="AS207" t="s">
        <v>3763</v>
      </c>
      <c r="AT207" t="s">
        <v>584</v>
      </c>
      <c r="AU207">
        <v>2012</v>
      </c>
      <c r="AV207">
        <v>8</v>
      </c>
      <c r="AW207">
        <v>4</v>
      </c>
      <c r="AX207" t="s">
        <v>74</v>
      </c>
      <c r="AY207" t="s">
        <v>74</v>
      </c>
      <c r="AZ207" t="s">
        <v>74</v>
      </c>
      <c r="BA207" t="s">
        <v>74</v>
      </c>
      <c r="BB207">
        <v>377</v>
      </c>
      <c r="BC207">
        <v>395</v>
      </c>
      <c r="BD207" t="s">
        <v>74</v>
      </c>
      <c r="BE207" t="s">
        <v>3764</v>
      </c>
      <c r="BF207" t="str">
        <f>HYPERLINK("http://dx.doi.org/10.1177/1742715012444055","http://dx.doi.org/10.1177/1742715012444055")</f>
        <v>http://dx.doi.org/10.1177/1742715012444055</v>
      </c>
      <c r="BG207" t="s">
        <v>74</v>
      </c>
      <c r="BH207" t="s">
        <v>74</v>
      </c>
      <c r="BI207">
        <v>19</v>
      </c>
      <c r="BJ207" t="s">
        <v>442</v>
      </c>
      <c r="BK207" t="s">
        <v>94</v>
      </c>
      <c r="BL207" t="s">
        <v>95</v>
      </c>
      <c r="BM207" t="s">
        <v>3765</v>
      </c>
      <c r="BN207" t="s">
        <v>74</v>
      </c>
      <c r="BO207" t="s">
        <v>74</v>
      </c>
      <c r="BP207" t="s">
        <v>74</v>
      </c>
      <c r="BQ207" t="s">
        <v>74</v>
      </c>
      <c r="BR207" t="s">
        <v>97</v>
      </c>
      <c r="BS207" t="s">
        <v>3766</v>
      </c>
      <c r="BT207" t="str">
        <f>HYPERLINK("https%3A%2F%2Fwww.webofscience.com%2Fwos%2Fwoscc%2Ffull-record%2FWOS:000309932600003","View Full Record in Web of Science")</f>
        <v>View Full Record in Web of Science</v>
      </c>
    </row>
    <row r="208" spans="1:72" x14ac:dyDescent="0.25">
      <c r="A208" t="s">
        <v>72</v>
      </c>
      <c r="B208" t="s">
        <v>3767</v>
      </c>
      <c r="C208" t="s">
        <v>74</v>
      </c>
      <c r="D208" t="s">
        <v>74</v>
      </c>
      <c r="E208" t="s">
        <v>74</v>
      </c>
      <c r="F208" t="s">
        <v>3768</v>
      </c>
      <c r="G208" t="s">
        <v>74</v>
      </c>
      <c r="H208" t="s">
        <v>74</v>
      </c>
      <c r="I208" t="s">
        <v>3769</v>
      </c>
      <c r="J208" t="s">
        <v>1290</v>
      </c>
      <c r="K208" t="s">
        <v>74</v>
      </c>
      <c r="L208" t="s">
        <v>74</v>
      </c>
      <c r="M208" t="s">
        <v>77</v>
      </c>
      <c r="N208" t="s">
        <v>78</v>
      </c>
      <c r="O208" t="s">
        <v>74</v>
      </c>
      <c r="P208" t="s">
        <v>74</v>
      </c>
      <c r="Q208" t="s">
        <v>74</v>
      </c>
      <c r="R208" t="s">
        <v>74</v>
      </c>
      <c r="S208" t="s">
        <v>74</v>
      </c>
      <c r="T208" t="s">
        <v>3770</v>
      </c>
      <c r="U208" t="s">
        <v>3771</v>
      </c>
      <c r="V208" t="s">
        <v>3772</v>
      </c>
      <c r="W208" t="s">
        <v>3773</v>
      </c>
      <c r="X208" t="s">
        <v>3774</v>
      </c>
      <c r="Y208" t="s">
        <v>3775</v>
      </c>
      <c r="Z208" t="s">
        <v>3776</v>
      </c>
      <c r="AA208" t="s">
        <v>3777</v>
      </c>
      <c r="AB208" t="s">
        <v>3778</v>
      </c>
      <c r="AC208" t="s">
        <v>74</v>
      </c>
      <c r="AD208" t="s">
        <v>74</v>
      </c>
      <c r="AE208" t="s">
        <v>74</v>
      </c>
      <c r="AF208" t="s">
        <v>74</v>
      </c>
      <c r="AG208">
        <v>79</v>
      </c>
      <c r="AH208">
        <v>43</v>
      </c>
      <c r="AI208">
        <v>43</v>
      </c>
      <c r="AJ208">
        <v>13</v>
      </c>
      <c r="AK208">
        <v>37</v>
      </c>
      <c r="AL208" t="s">
        <v>665</v>
      </c>
      <c r="AM208" t="s">
        <v>666</v>
      </c>
      <c r="AN208" t="s">
        <v>667</v>
      </c>
      <c r="AO208" t="s">
        <v>1300</v>
      </c>
      <c r="AP208" t="s">
        <v>1301</v>
      </c>
      <c r="AQ208" t="s">
        <v>74</v>
      </c>
      <c r="AR208" t="s">
        <v>1302</v>
      </c>
      <c r="AS208" t="s">
        <v>1303</v>
      </c>
      <c r="AT208" t="s">
        <v>3779</v>
      </c>
      <c r="AU208">
        <v>2020</v>
      </c>
      <c r="AV208">
        <v>32</v>
      </c>
      <c r="AW208">
        <v>6</v>
      </c>
      <c r="AX208" t="s">
        <v>74</v>
      </c>
      <c r="AY208" t="s">
        <v>74</v>
      </c>
      <c r="AZ208" t="s">
        <v>860</v>
      </c>
      <c r="BA208" t="s">
        <v>74</v>
      </c>
      <c r="BB208">
        <v>2137</v>
      </c>
      <c r="BC208">
        <v>2154</v>
      </c>
      <c r="BD208" t="s">
        <v>74</v>
      </c>
      <c r="BE208" t="s">
        <v>3780</v>
      </c>
      <c r="BF208" t="str">
        <f>HYPERLINK("http://dx.doi.org/10.1108/IJCHM-05-2019-0507","http://dx.doi.org/10.1108/IJCHM-05-2019-0507")</f>
        <v>http://dx.doi.org/10.1108/IJCHM-05-2019-0507</v>
      </c>
      <c r="BG208" t="s">
        <v>74</v>
      </c>
      <c r="BH208" t="s">
        <v>2840</v>
      </c>
      <c r="BI208">
        <v>18</v>
      </c>
      <c r="BJ208" t="s">
        <v>1305</v>
      </c>
      <c r="BK208" t="s">
        <v>94</v>
      </c>
      <c r="BL208" t="s">
        <v>1306</v>
      </c>
      <c r="BM208" t="s">
        <v>3781</v>
      </c>
      <c r="BN208" t="s">
        <v>74</v>
      </c>
      <c r="BO208" t="s">
        <v>74</v>
      </c>
      <c r="BP208" t="s">
        <v>74</v>
      </c>
      <c r="BQ208" t="s">
        <v>74</v>
      </c>
      <c r="BR208" t="s">
        <v>97</v>
      </c>
      <c r="BS208" t="s">
        <v>3782</v>
      </c>
      <c r="BT208" t="str">
        <f>HYPERLINK("https%3A%2F%2Fwww.webofscience.com%2Fwos%2Fwoscc%2Ffull-record%2FWOS:000524465700001","View Full Record in Web of Science")</f>
        <v>View Full Record in Web of Science</v>
      </c>
    </row>
    <row r="209" spans="1:72" x14ac:dyDescent="0.25">
      <c r="A209" t="s">
        <v>72</v>
      </c>
      <c r="B209" t="s">
        <v>3783</v>
      </c>
      <c r="C209" t="s">
        <v>74</v>
      </c>
      <c r="D209" t="s">
        <v>74</v>
      </c>
      <c r="E209" t="s">
        <v>74</v>
      </c>
      <c r="F209" t="s">
        <v>3784</v>
      </c>
      <c r="G209" t="s">
        <v>74</v>
      </c>
      <c r="H209" t="s">
        <v>74</v>
      </c>
      <c r="I209" t="s">
        <v>3785</v>
      </c>
      <c r="J209" t="s">
        <v>2463</v>
      </c>
      <c r="K209" t="s">
        <v>74</v>
      </c>
      <c r="L209" t="s">
        <v>74</v>
      </c>
      <c r="M209" t="s">
        <v>77</v>
      </c>
      <c r="N209" t="s">
        <v>78</v>
      </c>
      <c r="O209" t="s">
        <v>74</v>
      </c>
      <c r="P209" t="s">
        <v>74</v>
      </c>
      <c r="Q209" t="s">
        <v>74</v>
      </c>
      <c r="R209" t="s">
        <v>74</v>
      </c>
      <c r="S209" t="s">
        <v>74</v>
      </c>
      <c r="T209" t="s">
        <v>3786</v>
      </c>
      <c r="U209" t="s">
        <v>3787</v>
      </c>
      <c r="V209" t="s">
        <v>3788</v>
      </c>
      <c r="W209" t="s">
        <v>3789</v>
      </c>
      <c r="X209" t="s">
        <v>3790</v>
      </c>
      <c r="Y209" t="s">
        <v>3791</v>
      </c>
      <c r="Z209" t="s">
        <v>3792</v>
      </c>
      <c r="AA209" t="s">
        <v>3793</v>
      </c>
      <c r="AB209" t="s">
        <v>3794</v>
      </c>
      <c r="AC209" t="s">
        <v>3507</v>
      </c>
      <c r="AD209" t="s">
        <v>3508</v>
      </c>
      <c r="AE209" t="s">
        <v>3795</v>
      </c>
      <c r="AF209" t="s">
        <v>74</v>
      </c>
      <c r="AG209">
        <v>157</v>
      </c>
      <c r="AH209">
        <v>43</v>
      </c>
      <c r="AI209">
        <v>44</v>
      </c>
      <c r="AJ209">
        <v>8</v>
      </c>
      <c r="AK209">
        <v>75</v>
      </c>
      <c r="AL209" t="s">
        <v>2473</v>
      </c>
      <c r="AM209" t="s">
        <v>2102</v>
      </c>
      <c r="AN209" t="s">
        <v>2474</v>
      </c>
      <c r="AO209" t="s">
        <v>74</v>
      </c>
      <c r="AP209" t="s">
        <v>2475</v>
      </c>
      <c r="AQ209" t="s">
        <v>74</v>
      </c>
      <c r="AR209" t="s">
        <v>2476</v>
      </c>
      <c r="AS209" t="s">
        <v>2477</v>
      </c>
      <c r="AT209" t="s">
        <v>375</v>
      </c>
      <c r="AU209">
        <v>2018</v>
      </c>
      <c r="AV209">
        <v>10</v>
      </c>
      <c r="AW209">
        <v>12</v>
      </c>
      <c r="AX209" t="s">
        <v>74</v>
      </c>
      <c r="AY209" t="s">
        <v>74</v>
      </c>
      <c r="AZ209" t="s">
        <v>74</v>
      </c>
      <c r="BA209" t="s">
        <v>74</v>
      </c>
      <c r="BB209" t="s">
        <v>74</v>
      </c>
      <c r="BC209" t="s">
        <v>74</v>
      </c>
      <c r="BD209">
        <v>4418</v>
      </c>
      <c r="BE209" t="s">
        <v>3796</v>
      </c>
      <c r="BF209" t="str">
        <f>HYPERLINK("http://dx.doi.org/10.3390/su10124418","http://dx.doi.org/10.3390/su10124418")</f>
        <v>http://dx.doi.org/10.3390/su10124418</v>
      </c>
      <c r="BG209" t="s">
        <v>74</v>
      </c>
      <c r="BH209" t="s">
        <v>74</v>
      </c>
      <c r="BI209">
        <v>20</v>
      </c>
      <c r="BJ209" t="s">
        <v>2479</v>
      </c>
      <c r="BK209" t="s">
        <v>147</v>
      </c>
      <c r="BL209" t="s">
        <v>2480</v>
      </c>
      <c r="BM209" t="s">
        <v>3797</v>
      </c>
      <c r="BN209" t="s">
        <v>74</v>
      </c>
      <c r="BO209" t="s">
        <v>3205</v>
      </c>
      <c r="BP209" t="s">
        <v>74</v>
      </c>
      <c r="BQ209" t="s">
        <v>74</v>
      </c>
      <c r="BR209" t="s">
        <v>97</v>
      </c>
      <c r="BS209" t="s">
        <v>3798</v>
      </c>
      <c r="BT209" t="str">
        <f>HYPERLINK("https%3A%2F%2Fwww.webofscience.com%2Fwos%2Fwoscc%2Ffull-record%2FWOS:000455338100084","View Full Record in Web of Science")</f>
        <v>View Full Record in Web of Science</v>
      </c>
    </row>
    <row r="210" spans="1:72" x14ac:dyDescent="0.25">
      <c r="A210" t="s">
        <v>72</v>
      </c>
      <c r="B210" t="s">
        <v>3799</v>
      </c>
      <c r="C210" t="s">
        <v>74</v>
      </c>
      <c r="D210" t="s">
        <v>74</v>
      </c>
      <c r="E210" t="s">
        <v>74</v>
      </c>
      <c r="F210" t="s">
        <v>3800</v>
      </c>
      <c r="G210" t="s">
        <v>74</v>
      </c>
      <c r="H210" t="s">
        <v>74</v>
      </c>
      <c r="I210" t="s">
        <v>3801</v>
      </c>
      <c r="J210" t="s">
        <v>1916</v>
      </c>
      <c r="K210" t="s">
        <v>74</v>
      </c>
      <c r="L210" t="s">
        <v>74</v>
      </c>
      <c r="M210" t="s">
        <v>77</v>
      </c>
      <c r="N210" t="s">
        <v>78</v>
      </c>
      <c r="O210" t="s">
        <v>74</v>
      </c>
      <c r="P210" t="s">
        <v>74</v>
      </c>
      <c r="Q210" t="s">
        <v>74</v>
      </c>
      <c r="R210" t="s">
        <v>74</v>
      </c>
      <c r="S210" t="s">
        <v>74</v>
      </c>
      <c r="T210" t="s">
        <v>3802</v>
      </c>
      <c r="U210" t="s">
        <v>3803</v>
      </c>
      <c r="V210" t="s">
        <v>3804</v>
      </c>
      <c r="W210" t="s">
        <v>3805</v>
      </c>
      <c r="X210" t="s">
        <v>3806</v>
      </c>
      <c r="Y210" t="s">
        <v>3807</v>
      </c>
      <c r="Z210" t="s">
        <v>3808</v>
      </c>
      <c r="AA210" t="s">
        <v>3809</v>
      </c>
      <c r="AB210" t="s">
        <v>3810</v>
      </c>
      <c r="AC210" t="s">
        <v>3811</v>
      </c>
      <c r="AD210" t="s">
        <v>3812</v>
      </c>
      <c r="AE210" t="s">
        <v>3813</v>
      </c>
      <c r="AF210" t="s">
        <v>74</v>
      </c>
      <c r="AG210">
        <v>75</v>
      </c>
      <c r="AH210">
        <v>43</v>
      </c>
      <c r="AI210">
        <v>46</v>
      </c>
      <c r="AJ210">
        <v>4</v>
      </c>
      <c r="AK210">
        <v>50</v>
      </c>
      <c r="AL210" t="s">
        <v>665</v>
      </c>
      <c r="AM210" t="s">
        <v>666</v>
      </c>
      <c r="AN210" t="s">
        <v>667</v>
      </c>
      <c r="AO210" t="s">
        <v>1926</v>
      </c>
      <c r="AP210" t="s">
        <v>1927</v>
      </c>
      <c r="AQ210" t="s">
        <v>74</v>
      </c>
      <c r="AR210" t="s">
        <v>1928</v>
      </c>
      <c r="AS210" t="s">
        <v>1929</v>
      </c>
      <c r="AT210" t="s">
        <v>74</v>
      </c>
      <c r="AU210">
        <v>2018</v>
      </c>
      <c r="AV210">
        <v>56</v>
      </c>
      <c r="AW210">
        <v>6</v>
      </c>
      <c r="AX210" t="s">
        <v>74</v>
      </c>
      <c r="AY210" t="s">
        <v>74</v>
      </c>
      <c r="AZ210" t="s">
        <v>860</v>
      </c>
      <c r="BA210" t="s">
        <v>74</v>
      </c>
      <c r="BB210">
        <v>1417</v>
      </c>
      <c r="BC210">
        <v>1429</v>
      </c>
      <c r="BD210" t="s">
        <v>74</v>
      </c>
      <c r="BE210" t="s">
        <v>3814</v>
      </c>
      <c r="BF210" t="str">
        <f>HYPERLINK("http://dx.doi.org/10.1108/MD-04-2017-0404","http://dx.doi.org/10.1108/MD-04-2017-0404")</f>
        <v>http://dx.doi.org/10.1108/MD-04-2017-0404</v>
      </c>
      <c r="BG210" t="s">
        <v>74</v>
      </c>
      <c r="BH210" t="s">
        <v>74</v>
      </c>
      <c r="BI210">
        <v>13</v>
      </c>
      <c r="BJ210" t="s">
        <v>93</v>
      </c>
      <c r="BK210" t="s">
        <v>94</v>
      </c>
      <c r="BL210" t="s">
        <v>95</v>
      </c>
      <c r="BM210" t="s">
        <v>3815</v>
      </c>
      <c r="BN210" t="s">
        <v>74</v>
      </c>
      <c r="BO210" t="s">
        <v>74</v>
      </c>
      <c r="BP210" t="s">
        <v>74</v>
      </c>
      <c r="BQ210" t="s">
        <v>74</v>
      </c>
      <c r="BR210" t="s">
        <v>97</v>
      </c>
      <c r="BS210" t="s">
        <v>3816</v>
      </c>
      <c r="BT210" t="str">
        <f>HYPERLINK("https%3A%2F%2Fwww.webofscience.com%2Fwos%2Fwoscc%2Ffull-record%2FWOS:000434254200015","View Full Record in Web of Science")</f>
        <v>View Full Record in Web of Science</v>
      </c>
    </row>
    <row r="211" spans="1:72" x14ac:dyDescent="0.25">
      <c r="A211" t="s">
        <v>72</v>
      </c>
      <c r="B211" t="s">
        <v>3817</v>
      </c>
      <c r="C211" t="s">
        <v>74</v>
      </c>
      <c r="D211" t="s">
        <v>74</v>
      </c>
      <c r="E211" t="s">
        <v>74</v>
      </c>
      <c r="F211" t="s">
        <v>3818</v>
      </c>
      <c r="G211" t="s">
        <v>74</v>
      </c>
      <c r="H211" t="s">
        <v>74</v>
      </c>
      <c r="I211" t="s">
        <v>3819</v>
      </c>
      <c r="J211" t="s">
        <v>3820</v>
      </c>
      <c r="K211" t="s">
        <v>74</v>
      </c>
      <c r="L211" t="s">
        <v>74</v>
      </c>
      <c r="M211" t="s">
        <v>77</v>
      </c>
      <c r="N211" t="s">
        <v>78</v>
      </c>
      <c r="O211" t="s">
        <v>74</v>
      </c>
      <c r="P211" t="s">
        <v>74</v>
      </c>
      <c r="Q211" t="s">
        <v>74</v>
      </c>
      <c r="R211" t="s">
        <v>74</v>
      </c>
      <c r="S211" t="s">
        <v>74</v>
      </c>
      <c r="T211" t="s">
        <v>3821</v>
      </c>
      <c r="U211" t="s">
        <v>3822</v>
      </c>
      <c r="V211" t="s">
        <v>3823</v>
      </c>
      <c r="W211" t="s">
        <v>3824</v>
      </c>
      <c r="X211" t="s">
        <v>3825</v>
      </c>
      <c r="Y211" t="s">
        <v>3826</v>
      </c>
      <c r="Z211" t="s">
        <v>1592</v>
      </c>
      <c r="AA211" t="s">
        <v>74</v>
      </c>
      <c r="AB211" t="s">
        <v>1593</v>
      </c>
      <c r="AC211" t="s">
        <v>74</v>
      </c>
      <c r="AD211" t="s">
        <v>74</v>
      </c>
      <c r="AE211" t="s">
        <v>74</v>
      </c>
      <c r="AF211" t="s">
        <v>74</v>
      </c>
      <c r="AG211">
        <v>82</v>
      </c>
      <c r="AH211">
        <v>43</v>
      </c>
      <c r="AI211">
        <v>44</v>
      </c>
      <c r="AJ211">
        <v>18</v>
      </c>
      <c r="AK211">
        <v>116</v>
      </c>
      <c r="AL211" t="s">
        <v>766</v>
      </c>
      <c r="AM211" t="s">
        <v>330</v>
      </c>
      <c r="AN211" t="s">
        <v>1452</v>
      </c>
      <c r="AO211" t="s">
        <v>3827</v>
      </c>
      <c r="AP211" t="s">
        <v>3828</v>
      </c>
      <c r="AQ211" t="s">
        <v>74</v>
      </c>
      <c r="AR211" t="s">
        <v>3829</v>
      </c>
      <c r="AS211" t="s">
        <v>3830</v>
      </c>
      <c r="AT211" t="s">
        <v>375</v>
      </c>
      <c r="AU211">
        <v>2016</v>
      </c>
      <c r="AV211">
        <v>41</v>
      </c>
      <c r="AW211">
        <v>6</v>
      </c>
      <c r="AX211" t="s">
        <v>74</v>
      </c>
      <c r="AY211" t="s">
        <v>74</v>
      </c>
      <c r="AZ211" t="s">
        <v>74</v>
      </c>
      <c r="BA211" t="s">
        <v>74</v>
      </c>
      <c r="BB211">
        <v>1483</v>
      </c>
      <c r="BC211">
        <v>1506</v>
      </c>
      <c r="BD211" t="s">
        <v>74</v>
      </c>
      <c r="BE211" t="s">
        <v>3831</v>
      </c>
      <c r="BF211" t="str">
        <f>HYPERLINK("http://dx.doi.org/10.1007/s10961-015-9453-4","http://dx.doi.org/10.1007/s10961-015-9453-4")</f>
        <v>http://dx.doi.org/10.1007/s10961-015-9453-4</v>
      </c>
      <c r="BG211" t="s">
        <v>74</v>
      </c>
      <c r="BH211" t="s">
        <v>74</v>
      </c>
      <c r="BI211">
        <v>24</v>
      </c>
      <c r="BJ211" t="s">
        <v>3832</v>
      </c>
      <c r="BK211" t="s">
        <v>94</v>
      </c>
      <c r="BL211" t="s">
        <v>3833</v>
      </c>
      <c r="BM211" t="s">
        <v>3834</v>
      </c>
      <c r="BN211" t="s">
        <v>74</v>
      </c>
      <c r="BO211" t="s">
        <v>74</v>
      </c>
      <c r="BP211" t="s">
        <v>74</v>
      </c>
      <c r="BQ211" t="s">
        <v>74</v>
      </c>
      <c r="BR211" t="s">
        <v>97</v>
      </c>
      <c r="BS211" t="s">
        <v>3835</v>
      </c>
      <c r="BT211" t="str">
        <f>HYPERLINK("https%3A%2F%2Fwww.webofscience.com%2Fwos%2Fwoscc%2Ffull-record%2FWOS:000387231700012","View Full Record in Web of Science")</f>
        <v>View Full Record in Web of Science</v>
      </c>
    </row>
    <row r="212" spans="1:72" x14ac:dyDescent="0.25">
      <c r="A212" t="s">
        <v>72</v>
      </c>
      <c r="B212" t="s">
        <v>3624</v>
      </c>
      <c r="C212" t="s">
        <v>74</v>
      </c>
      <c r="D212" t="s">
        <v>74</v>
      </c>
      <c r="E212" t="s">
        <v>74</v>
      </c>
      <c r="F212" t="s">
        <v>3836</v>
      </c>
      <c r="G212" t="s">
        <v>74</v>
      </c>
      <c r="H212" t="s">
        <v>74</v>
      </c>
      <c r="I212" t="s">
        <v>3837</v>
      </c>
      <c r="J212" t="s">
        <v>3838</v>
      </c>
      <c r="K212" t="s">
        <v>74</v>
      </c>
      <c r="L212" t="s">
        <v>74</v>
      </c>
      <c r="M212" t="s">
        <v>77</v>
      </c>
      <c r="N212" t="s">
        <v>78</v>
      </c>
      <c r="O212" t="s">
        <v>74</v>
      </c>
      <c r="P212" t="s">
        <v>74</v>
      </c>
      <c r="Q212" t="s">
        <v>74</v>
      </c>
      <c r="R212" t="s">
        <v>74</v>
      </c>
      <c r="S212" t="s">
        <v>74</v>
      </c>
      <c r="T212" t="s">
        <v>3839</v>
      </c>
      <c r="U212" t="s">
        <v>3840</v>
      </c>
      <c r="V212" t="s">
        <v>3841</v>
      </c>
      <c r="W212" t="s">
        <v>3842</v>
      </c>
      <c r="X212" t="s">
        <v>3631</v>
      </c>
      <c r="Y212" t="s">
        <v>3843</v>
      </c>
      <c r="Z212" t="s">
        <v>3633</v>
      </c>
      <c r="AA212" t="s">
        <v>74</v>
      </c>
      <c r="AB212" t="s">
        <v>74</v>
      </c>
      <c r="AC212" t="s">
        <v>74</v>
      </c>
      <c r="AD212" t="s">
        <v>74</v>
      </c>
      <c r="AE212" t="s">
        <v>74</v>
      </c>
      <c r="AF212" t="s">
        <v>74</v>
      </c>
      <c r="AG212">
        <v>134</v>
      </c>
      <c r="AH212">
        <v>42</v>
      </c>
      <c r="AI212">
        <v>42</v>
      </c>
      <c r="AJ212">
        <v>5</v>
      </c>
      <c r="AK212">
        <v>79</v>
      </c>
      <c r="AL212" t="s">
        <v>1099</v>
      </c>
      <c r="AM212" t="s">
        <v>305</v>
      </c>
      <c r="AN212" t="s">
        <v>1100</v>
      </c>
      <c r="AO212" t="s">
        <v>3844</v>
      </c>
      <c r="AP212" t="s">
        <v>3845</v>
      </c>
      <c r="AQ212" t="s">
        <v>74</v>
      </c>
      <c r="AR212" t="s">
        <v>3846</v>
      </c>
      <c r="AS212" t="s">
        <v>3847</v>
      </c>
      <c r="AT212" t="s">
        <v>74</v>
      </c>
      <c r="AU212">
        <v>2020</v>
      </c>
      <c r="AV212">
        <v>28</v>
      </c>
      <c r="AW212">
        <v>8</v>
      </c>
      <c r="AX212" t="s">
        <v>74</v>
      </c>
      <c r="AY212" t="s">
        <v>74</v>
      </c>
      <c r="AZ212" t="s">
        <v>74</v>
      </c>
      <c r="BA212" t="s">
        <v>74</v>
      </c>
      <c r="BB212">
        <v>1193</v>
      </c>
      <c r="BC212">
        <v>1222</v>
      </c>
      <c r="BD212" t="s">
        <v>74</v>
      </c>
      <c r="BE212" t="s">
        <v>3848</v>
      </c>
      <c r="BF212" t="str">
        <f>HYPERLINK("http://dx.doi.org/10.1080/09669582.2020.1729165","http://dx.doi.org/10.1080/09669582.2020.1729165")</f>
        <v>http://dx.doi.org/10.1080/09669582.2020.1729165</v>
      </c>
      <c r="BG212" t="s">
        <v>74</v>
      </c>
      <c r="BH212" t="s">
        <v>3849</v>
      </c>
      <c r="BI212">
        <v>30</v>
      </c>
      <c r="BJ212" t="s">
        <v>3850</v>
      </c>
      <c r="BK212" t="s">
        <v>94</v>
      </c>
      <c r="BL212" t="s">
        <v>3851</v>
      </c>
      <c r="BM212" t="s">
        <v>3852</v>
      </c>
      <c r="BN212" t="s">
        <v>74</v>
      </c>
      <c r="BO212" t="s">
        <v>74</v>
      </c>
      <c r="BP212" t="s">
        <v>74</v>
      </c>
      <c r="BQ212" t="s">
        <v>74</v>
      </c>
      <c r="BR212" t="s">
        <v>97</v>
      </c>
      <c r="BS212" t="s">
        <v>3853</v>
      </c>
      <c r="BT212" t="str">
        <f>HYPERLINK("https%3A%2F%2Fwww.webofscience.com%2Fwos%2Fwoscc%2Ffull-record%2FWOS:000515044000001","View Full Record in Web of Science")</f>
        <v>View Full Record in Web of Science</v>
      </c>
    </row>
    <row r="213" spans="1:72" x14ac:dyDescent="0.25">
      <c r="A213" t="s">
        <v>72</v>
      </c>
      <c r="B213" t="s">
        <v>3854</v>
      </c>
      <c r="C213" t="s">
        <v>74</v>
      </c>
      <c r="D213" t="s">
        <v>74</v>
      </c>
      <c r="E213" t="s">
        <v>74</v>
      </c>
      <c r="F213" t="s">
        <v>3855</v>
      </c>
      <c r="G213" t="s">
        <v>74</v>
      </c>
      <c r="H213" t="s">
        <v>74</v>
      </c>
      <c r="I213" t="s">
        <v>3856</v>
      </c>
      <c r="J213" t="s">
        <v>1090</v>
      </c>
      <c r="K213" t="s">
        <v>74</v>
      </c>
      <c r="L213" t="s">
        <v>74</v>
      </c>
      <c r="M213" t="s">
        <v>77</v>
      </c>
      <c r="N213" t="s">
        <v>78</v>
      </c>
      <c r="O213" t="s">
        <v>74</v>
      </c>
      <c r="P213" t="s">
        <v>74</v>
      </c>
      <c r="Q213" t="s">
        <v>74</v>
      </c>
      <c r="R213" t="s">
        <v>74</v>
      </c>
      <c r="S213" t="s">
        <v>74</v>
      </c>
      <c r="T213" t="s">
        <v>74</v>
      </c>
      <c r="U213" t="s">
        <v>3857</v>
      </c>
      <c r="V213" t="s">
        <v>3858</v>
      </c>
      <c r="W213" t="s">
        <v>3859</v>
      </c>
      <c r="X213" t="s">
        <v>3860</v>
      </c>
      <c r="Y213" t="s">
        <v>3861</v>
      </c>
      <c r="Z213" t="s">
        <v>3862</v>
      </c>
      <c r="AA213" t="s">
        <v>3863</v>
      </c>
      <c r="AB213" t="s">
        <v>3864</v>
      </c>
      <c r="AC213" t="s">
        <v>3865</v>
      </c>
      <c r="AD213" t="s">
        <v>3866</v>
      </c>
      <c r="AE213" t="s">
        <v>3867</v>
      </c>
      <c r="AF213" t="s">
        <v>74</v>
      </c>
      <c r="AG213">
        <v>83</v>
      </c>
      <c r="AH213">
        <v>42</v>
      </c>
      <c r="AI213">
        <v>42</v>
      </c>
      <c r="AJ213">
        <v>10</v>
      </c>
      <c r="AK213">
        <v>67</v>
      </c>
      <c r="AL213" t="s">
        <v>1099</v>
      </c>
      <c r="AM213" t="s">
        <v>305</v>
      </c>
      <c r="AN213" t="s">
        <v>1100</v>
      </c>
      <c r="AO213" t="s">
        <v>1101</v>
      </c>
      <c r="AP213" t="s">
        <v>1102</v>
      </c>
      <c r="AQ213" t="s">
        <v>74</v>
      </c>
      <c r="AR213" t="s">
        <v>1103</v>
      </c>
      <c r="AS213" t="s">
        <v>1104</v>
      </c>
      <c r="AT213" t="s">
        <v>1717</v>
      </c>
      <c r="AU213">
        <v>2019</v>
      </c>
      <c r="AV213">
        <v>31</v>
      </c>
      <c r="AW213">
        <v>1</v>
      </c>
      <c r="AX213" t="s">
        <v>74</v>
      </c>
      <c r="AY213" t="s">
        <v>74</v>
      </c>
      <c r="AZ213" t="s">
        <v>74</v>
      </c>
      <c r="BA213" t="s">
        <v>74</v>
      </c>
      <c r="BB213">
        <v>62</v>
      </c>
      <c r="BC213">
        <v>73</v>
      </c>
      <c r="BD213" t="s">
        <v>74</v>
      </c>
      <c r="BE213" t="s">
        <v>3868</v>
      </c>
      <c r="BF213" t="str">
        <f>HYPERLINK("http://dx.doi.org/10.1080/10400419.2019.1577649","http://dx.doi.org/10.1080/10400419.2019.1577649")</f>
        <v>http://dx.doi.org/10.1080/10400419.2019.1577649</v>
      </c>
      <c r="BG213" t="s">
        <v>74</v>
      </c>
      <c r="BH213" t="s">
        <v>74</v>
      </c>
      <c r="BI213">
        <v>12</v>
      </c>
      <c r="BJ213" t="s">
        <v>1107</v>
      </c>
      <c r="BK213" t="s">
        <v>94</v>
      </c>
      <c r="BL213" t="s">
        <v>460</v>
      </c>
      <c r="BM213" t="s">
        <v>3869</v>
      </c>
      <c r="BN213" t="s">
        <v>74</v>
      </c>
      <c r="BO213" t="s">
        <v>74</v>
      </c>
      <c r="BP213" t="s">
        <v>74</v>
      </c>
      <c r="BQ213" t="s">
        <v>74</v>
      </c>
      <c r="BR213" t="s">
        <v>97</v>
      </c>
      <c r="BS213" t="s">
        <v>3870</v>
      </c>
      <c r="BT213" t="str">
        <f>HYPERLINK("https%3A%2F%2Fwww.webofscience.com%2Fwos%2Fwoscc%2Ffull-record%2FWOS:000468371500006","View Full Record in Web of Science")</f>
        <v>View Full Record in Web of Science</v>
      </c>
    </row>
    <row r="214" spans="1:72" x14ac:dyDescent="0.25">
      <c r="A214" t="s">
        <v>72</v>
      </c>
      <c r="B214" t="s">
        <v>3871</v>
      </c>
      <c r="C214" t="s">
        <v>74</v>
      </c>
      <c r="D214" t="s">
        <v>74</v>
      </c>
      <c r="E214" t="s">
        <v>74</v>
      </c>
      <c r="F214" t="s">
        <v>3872</v>
      </c>
      <c r="G214" t="s">
        <v>74</v>
      </c>
      <c r="H214" t="s">
        <v>74</v>
      </c>
      <c r="I214" t="s">
        <v>3873</v>
      </c>
      <c r="J214" t="s">
        <v>1290</v>
      </c>
      <c r="K214" t="s">
        <v>74</v>
      </c>
      <c r="L214" t="s">
        <v>74</v>
      </c>
      <c r="M214" t="s">
        <v>77</v>
      </c>
      <c r="N214" t="s">
        <v>78</v>
      </c>
      <c r="O214" t="s">
        <v>74</v>
      </c>
      <c r="P214" t="s">
        <v>74</v>
      </c>
      <c r="Q214" t="s">
        <v>74</v>
      </c>
      <c r="R214" t="s">
        <v>74</v>
      </c>
      <c r="S214" t="s">
        <v>74</v>
      </c>
      <c r="T214" t="s">
        <v>3874</v>
      </c>
      <c r="U214" t="s">
        <v>3875</v>
      </c>
      <c r="V214" t="s">
        <v>3876</v>
      </c>
      <c r="W214" t="s">
        <v>3877</v>
      </c>
      <c r="X214" t="s">
        <v>74</v>
      </c>
      <c r="Y214" t="s">
        <v>3878</v>
      </c>
      <c r="Z214" t="s">
        <v>3879</v>
      </c>
      <c r="AA214" t="s">
        <v>74</v>
      </c>
      <c r="AB214" t="s">
        <v>74</v>
      </c>
      <c r="AC214" t="s">
        <v>74</v>
      </c>
      <c r="AD214" t="s">
        <v>74</v>
      </c>
      <c r="AE214" t="s">
        <v>74</v>
      </c>
      <c r="AF214" t="s">
        <v>74</v>
      </c>
      <c r="AG214">
        <v>86</v>
      </c>
      <c r="AH214">
        <v>42</v>
      </c>
      <c r="AI214">
        <v>42</v>
      </c>
      <c r="AJ214">
        <v>5</v>
      </c>
      <c r="AK214">
        <v>72</v>
      </c>
      <c r="AL214" t="s">
        <v>665</v>
      </c>
      <c r="AM214" t="s">
        <v>666</v>
      </c>
      <c r="AN214" t="s">
        <v>667</v>
      </c>
      <c r="AO214" t="s">
        <v>1300</v>
      </c>
      <c r="AP214" t="s">
        <v>1301</v>
      </c>
      <c r="AQ214" t="s">
        <v>74</v>
      </c>
      <c r="AR214" t="s">
        <v>1302</v>
      </c>
      <c r="AS214" t="s">
        <v>1303</v>
      </c>
      <c r="AT214" t="s">
        <v>74</v>
      </c>
      <c r="AU214">
        <v>2019</v>
      </c>
      <c r="AV214">
        <v>31</v>
      </c>
      <c r="AW214">
        <v>4</v>
      </c>
      <c r="AX214" t="s">
        <v>74</v>
      </c>
      <c r="AY214" t="s">
        <v>74</v>
      </c>
      <c r="AZ214" t="s">
        <v>74</v>
      </c>
      <c r="BA214" t="s">
        <v>74</v>
      </c>
      <c r="BB214">
        <v>1684</v>
      </c>
      <c r="BC214">
        <v>1701</v>
      </c>
      <c r="BD214" t="s">
        <v>74</v>
      </c>
      <c r="BE214" t="s">
        <v>3880</v>
      </c>
      <c r="BF214" t="str">
        <f>HYPERLINK("http://dx.doi.org/10.1108/IJCHM-05-2018-0365","http://dx.doi.org/10.1108/IJCHM-05-2018-0365")</f>
        <v>http://dx.doi.org/10.1108/IJCHM-05-2018-0365</v>
      </c>
      <c r="BG214" t="s">
        <v>74</v>
      </c>
      <c r="BH214" t="s">
        <v>74</v>
      </c>
      <c r="BI214">
        <v>18</v>
      </c>
      <c r="BJ214" t="s">
        <v>1305</v>
      </c>
      <c r="BK214" t="s">
        <v>94</v>
      </c>
      <c r="BL214" t="s">
        <v>1306</v>
      </c>
      <c r="BM214" t="s">
        <v>3881</v>
      </c>
      <c r="BN214" t="s">
        <v>74</v>
      </c>
      <c r="BO214" t="s">
        <v>74</v>
      </c>
      <c r="BP214" t="s">
        <v>74</v>
      </c>
      <c r="BQ214" t="s">
        <v>74</v>
      </c>
      <c r="BR214" t="s">
        <v>97</v>
      </c>
      <c r="BS214" t="s">
        <v>3882</v>
      </c>
      <c r="BT214" t="str">
        <f>HYPERLINK("https%3A%2F%2Fwww.webofscience.com%2Fwos%2Fwoscc%2Ffull-record%2FWOS:000467615900008","View Full Record in Web of Science")</f>
        <v>View Full Record in Web of Science</v>
      </c>
    </row>
    <row r="215" spans="1:72" x14ac:dyDescent="0.25">
      <c r="A215" t="s">
        <v>72</v>
      </c>
      <c r="B215" t="s">
        <v>3883</v>
      </c>
      <c r="C215" t="s">
        <v>74</v>
      </c>
      <c r="D215" t="s">
        <v>74</v>
      </c>
      <c r="E215" t="s">
        <v>74</v>
      </c>
      <c r="F215" t="s">
        <v>3884</v>
      </c>
      <c r="G215" t="s">
        <v>74</v>
      </c>
      <c r="H215" t="s">
        <v>74</v>
      </c>
      <c r="I215" t="s">
        <v>3885</v>
      </c>
      <c r="J215" t="s">
        <v>592</v>
      </c>
      <c r="K215" t="s">
        <v>74</v>
      </c>
      <c r="L215" t="s">
        <v>74</v>
      </c>
      <c r="M215" t="s">
        <v>77</v>
      </c>
      <c r="N215" t="s">
        <v>78</v>
      </c>
      <c r="O215" t="s">
        <v>74</v>
      </c>
      <c r="P215" t="s">
        <v>74</v>
      </c>
      <c r="Q215" t="s">
        <v>74</v>
      </c>
      <c r="R215" t="s">
        <v>74</v>
      </c>
      <c r="S215" t="s">
        <v>74</v>
      </c>
      <c r="T215" t="s">
        <v>3886</v>
      </c>
      <c r="U215" t="s">
        <v>3887</v>
      </c>
      <c r="V215" t="s">
        <v>3888</v>
      </c>
      <c r="W215" t="s">
        <v>3889</v>
      </c>
      <c r="X215" t="s">
        <v>3890</v>
      </c>
      <c r="Y215" t="s">
        <v>3891</v>
      </c>
      <c r="Z215" t="s">
        <v>3892</v>
      </c>
      <c r="AA215" t="s">
        <v>74</v>
      </c>
      <c r="AB215" t="s">
        <v>74</v>
      </c>
      <c r="AC215" t="s">
        <v>74</v>
      </c>
      <c r="AD215" t="s">
        <v>74</v>
      </c>
      <c r="AE215" t="s">
        <v>74</v>
      </c>
      <c r="AF215" t="s">
        <v>74</v>
      </c>
      <c r="AG215">
        <v>90</v>
      </c>
      <c r="AH215">
        <v>42</v>
      </c>
      <c r="AI215">
        <v>44</v>
      </c>
      <c r="AJ215">
        <v>7</v>
      </c>
      <c r="AK215">
        <v>106</v>
      </c>
      <c r="AL215" t="s">
        <v>602</v>
      </c>
      <c r="AM215" t="s">
        <v>160</v>
      </c>
      <c r="AN215" t="s">
        <v>603</v>
      </c>
      <c r="AO215" t="s">
        <v>604</v>
      </c>
      <c r="AP215" t="s">
        <v>605</v>
      </c>
      <c r="AQ215" t="s">
        <v>74</v>
      </c>
      <c r="AR215" t="s">
        <v>606</v>
      </c>
      <c r="AS215" t="s">
        <v>607</v>
      </c>
      <c r="AT215" t="s">
        <v>375</v>
      </c>
      <c r="AU215">
        <v>2018</v>
      </c>
      <c r="AV215">
        <v>69</v>
      </c>
      <c r="AW215" t="s">
        <v>74</v>
      </c>
      <c r="AX215" t="s">
        <v>74</v>
      </c>
      <c r="AY215" t="s">
        <v>74</v>
      </c>
      <c r="AZ215" t="s">
        <v>74</v>
      </c>
      <c r="BA215" t="s">
        <v>74</v>
      </c>
      <c r="BB215">
        <v>498</v>
      </c>
      <c r="BC215">
        <v>507</v>
      </c>
      <c r="BD215" t="s">
        <v>74</v>
      </c>
      <c r="BE215" t="s">
        <v>3893</v>
      </c>
      <c r="BF215" t="str">
        <f>HYPERLINK("http://dx.doi.org/10.1016/j.tourman.2018.06.035","http://dx.doi.org/10.1016/j.tourman.2018.06.035")</f>
        <v>http://dx.doi.org/10.1016/j.tourman.2018.06.035</v>
      </c>
      <c r="BG215" t="s">
        <v>74</v>
      </c>
      <c r="BH215" t="s">
        <v>74</v>
      </c>
      <c r="BI215">
        <v>10</v>
      </c>
      <c r="BJ215" t="s">
        <v>609</v>
      </c>
      <c r="BK215" t="s">
        <v>94</v>
      </c>
      <c r="BL215" t="s">
        <v>610</v>
      </c>
      <c r="BM215" t="s">
        <v>3894</v>
      </c>
      <c r="BN215" t="s">
        <v>74</v>
      </c>
      <c r="BO215" t="s">
        <v>74</v>
      </c>
      <c r="BP215" t="s">
        <v>74</v>
      </c>
      <c r="BQ215" t="s">
        <v>74</v>
      </c>
      <c r="BR215" t="s">
        <v>97</v>
      </c>
      <c r="BS215" t="s">
        <v>3895</v>
      </c>
      <c r="BT215" t="str">
        <f>HYPERLINK("https%3A%2F%2Fwww.webofscience.com%2Fwos%2Fwoscc%2Ffull-record%2FWOS:000441681400041","View Full Record in Web of Science")</f>
        <v>View Full Record in Web of Science</v>
      </c>
    </row>
    <row r="216" spans="1:72" x14ac:dyDescent="0.25">
      <c r="A216" t="s">
        <v>72</v>
      </c>
      <c r="B216" t="s">
        <v>3896</v>
      </c>
      <c r="C216" t="s">
        <v>74</v>
      </c>
      <c r="D216" t="s">
        <v>74</v>
      </c>
      <c r="E216" t="s">
        <v>74</v>
      </c>
      <c r="F216" t="s">
        <v>3896</v>
      </c>
      <c r="G216" t="s">
        <v>74</v>
      </c>
      <c r="H216" t="s">
        <v>74</v>
      </c>
      <c r="I216" t="s">
        <v>3897</v>
      </c>
      <c r="J216" t="s">
        <v>3898</v>
      </c>
      <c r="K216" t="s">
        <v>74</v>
      </c>
      <c r="L216" t="s">
        <v>74</v>
      </c>
      <c r="M216" t="s">
        <v>77</v>
      </c>
      <c r="N216" t="s">
        <v>78</v>
      </c>
      <c r="O216" t="s">
        <v>74</v>
      </c>
      <c r="P216" t="s">
        <v>74</v>
      </c>
      <c r="Q216" t="s">
        <v>74</v>
      </c>
      <c r="R216" t="s">
        <v>74</v>
      </c>
      <c r="S216" t="s">
        <v>74</v>
      </c>
      <c r="T216" t="s">
        <v>74</v>
      </c>
      <c r="U216" t="s">
        <v>3899</v>
      </c>
      <c r="V216" t="s">
        <v>3900</v>
      </c>
      <c r="W216" t="s">
        <v>3901</v>
      </c>
      <c r="X216" t="s">
        <v>3902</v>
      </c>
      <c r="Y216" t="s">
        <v>3903</v>
      </c>
      <c r="Z216" t="s">
        <v>74</v>
      </c>
      <c r="AA216" t="s">
        <v>74</v>
      </c>
      <c r="AB216" t="s">
        <v>74</v>
      </c>
      <c r="AC216" t="s">
        <v>74</v>
      </c>
      <c r="AD216" t="s">
        <v>74</v>
      </c>
      <c r="AE216" t="s">
        <v>74</v>
      </c>
      <c r="AF216" t="s">
        <v>74</v>
      </c>
      <c r="AG216">
        <v>31</v>
      </c>
      <c r="AH216">
        <v>42</v>
      </c>
      <c r="AI216">
        <v>42</v>
      </c>
      <c r="AJ216">
        <v>0</v>
      </c>
      <c r="AK216">
        <v>7</v>
      </c>
      <c r="AL216" t="s">
        <v>528</v>
      </c>
      <c r="AM216" t="s">
        <v>195</v>
      </c>
      <c r="AN216" t="s">
        <v>3904</v>
      </c>
      <c r="AO216" t="s">
        <v>3905</v>
      </c>
      <c r="AP216" t="s">
        <v>74</v>
      </c>
      <c r="AQ216" t="s">
        <v>74</v>
      </c>
      <c r="AR216" t="s">
        <v>3906</v>
      </c>
      <c r="AS216" t="s">
        <v>3907</v>
      </c>
      <c r="AT216" t="s">
        <v>392</v>
      </c>
      <c r="AU216">
        <v>1992</v>
      </c>
      <c r="AV216">
        <v>132</v>
      </c>
      <c r="AW216">
        <v>4</v>
      </c>
      <c r="AX216" t="s">
        <v>74</v>
      </c>
      <c r="AY216" t="s">
        <v>74</v>
      </c>
      <c r="AZ216" t="s">
        <v>74</v>
      </c>
      <c r="BA216" t="s">
        <v>74</v>
      </c>
      <c r="BB216">
        <v>487</v>
      </c>
      <c r="BC216">
        <v>495</v>
      </c>
      <c r="BD216" t="s">
        <v>74</v>
      </c>
      <c r="BE216" t="s">
        <v>3908</v>
      </c>
      <c r="BF216" t="str">
        <f>HYPERLINK("http://dx.doi.org/10.1080/00224545.1992.9924728","http://dx.doi.org/10.1080/00224545.1992.9924728")</f>
        <v>http://dx.doi.org/10.1080/00224545.1992.9924728</v>
      </c>
      <c r="BG216" t="s">
        <v>74</v>
      </c>
      <c r="BH216" t="s">
        <v>74</v>
      </c>
      <c r="BI216">
        <v>9</v>
      </c>
      <c r="BJ216" t="s">
        <v>459</v>
      </c>
      <c r="BK216" t="s">
        <v>94</v>
      </c>
      <c r="BL216" t="s">
        <v>460</v>
      </c>
      <c r="BM216" t="s">
        <v>3909</v>
      </c>
      <c r="BN216" t="s">
        <v>74</v>
      </c>
      <c r="BO216" t="s">
        <v>74</v>
      </c>
      <c r="BP216" t="s">
        <v>74</v>
      </c>
      <c r="BQ216" t="s">
        <v>74</v>
      </c>
      <c r="BR216" t="s">
        <v>97</v>
      </c>
      <c r="BS216" t="s">
        <v>3910</v>
      </c>
      <c r="BT216" t="str">
        <f>HYPERLINK("https%3A%2F%2Fwww.webofscience.com%2Fwos%2Fwoscc%2Ffull-record%2FWOS:A1992JQ08400006","View Full Record in Web of Science")</f>
        <v>View Full Record in Web of Science</v>
      </c>
    </row>
    <row r="217" spans="1:72" x14ac:dyDescent="0.25">
      <c r="A217" t="s">
        <v>72</v>
      </c>
      <c r="B217" t="s">
        <v>3911</v>
      </c>
      <c r="C217" t="s">
        <v>74</v>
      </c>
      <c r="D217" t="s">
        <v>74</v>
      </c>
      <c r="E217" t="s">
        <v>74</v>
      </c>
      <c r="F217" t="s">
        <v>3912</v>
      </c>
      <c r="G217" t="s">
        <v>74</v>
      </c>
      <c r="H217" t="s">
        <v>74</v>
      </c>
      <c r="I217" t="s">
        <v>3913</v>
      </c>
      <c r="J217" t="s">
        <v>1523</v>
      </c>
      <c r="K217" t="s">
        <v>74</v>
      </c>
      <c r="L217" t="s">
        <v>74</v>
      </c>
      <c r="M217" t="s">
        <v>77</v>
      </c>
      <c r="N217" t="s">
        <v>78</v>
      </c>
      <c r="O217" t="s">
        <v>74</v>
      </c>
      <c r="P217" t="s">
        <v>74</v>
      </c>
      <c r="Q217" t="s">
        <v>74</v>
      </c>
      <c r="R217" t="s">
        <v>74</v>
      </c>
      <c r="S217" t="s">
        <v>74</v>
      </c>
      <c r="T217" t="s">
        <v>3914</v>
      </c>
      <c r="U217" t="s">
        <v>3915</v>
      </c>
      <c r="V217" t="s">
        <v>3916</v>
      </c>
      <c r="W217" t="s">
        <v>3917</v>
      </c>
      <c r="X217" t="s">
        <v>3918</v>
      </c>
      <c r="Y217" t="s">
        <v>3919</v>
      </c>
      <c r="Z217" t="s">
        <v>3920</v>
      </c>
      <c r="AA217" t="s">
        <v>3921</v>
      </c>
      <c r="AB217" t="s">
        <v>74</v>
      </c>
      <c r="AC217" t="s">
        <v>3922</v>
      </c>
      <c r="AD217" t="s">
        <v>3923</v>
      </c>
      <c r="AE217" t="s">
        <v>3924</v>
      </c>
      <c r="AF217" t="s">
        <v>74</v>
      </c>
      <c r="AG217">
        <v>69</v>
      </c>
      <c r="AH217">
        <v>41</v>
      </c>
      <c r="AI217">
        <v>41</v>
      </c>
      <c r="AJ217">
        <v>20</v>
      </c>
      <c r="AK217">
        <v>128</v>
      </c>
      <c r="AL217" t="s">
        <v>1533</v>
      </c>
      <c r="AM217" t="s">
        <v>1534</v>
      </c>
      <c r="AN217" t="s">
        <v>1535</v>
      </c>
      <c r="AO217" t="s">
        <v>1536</v>
      </c>
      <c r="AP217" t="s">
        <v>1537</v>
      </c>
      <c r="AQ217" t="s">
        <v>74</v>
      </c>
      <c r="AR217" t="s">
        <v>1538</v>
      </c>
      <c r="AS217" t="s">
        <v>1539</v>
      </c>
      <c r="AT217" t="s">
        <v>392</v>
      </c>
      <c r="AU217">
        <v>2019</v>
      </c>
      <c r="AV217">
        <v>13</v>
      </c>
      <c r="AW217">
        <v>4</v>
      </c>
      <c r="AX217" t="s">
        <v>74</v>
      </c>
      <c r="AY217" t="s">
        <v>74</v>
      </c>
      <c r="AZ217" t="s">
        <v>74</v>
      </c>
      <c r="BA217" t="s">
        <v>74</v>
      </c>
      <c r="BB217">
        <v>771</v>
      </c>
      <c r="BC217">
        <v>789</v>
      </c>
      <c r="BD217" t="s">
        <v>74</v>
      </c>
      <c r="BE217" t="s">
        <v>3925</v>
      </c>
      <c r="BF217" t="str">
        <f>HYPERLINK("http://dx.doi.org/10.1007/s11846-017-0263-y","http://dx.doi.org/10.1007/s11846-017-0263-y")</f>
        <v>http://dx.doi.org/10.1007/s11846-017-0263-y</v>
      </c>
      <c r="BG217" t="s">
        <v>74</v>
      </c>
      <c r="BH217" t="s">
        <v>74</v>
      </c>
      <c r="BI217">
        <v>19</v>
      </c>
      <c r="BJ217" t="s">
        <v>442</v>
      </c>
      <c r="BK217" t="s">
        <v>94</v>
      </c>
      <c r="BL217" t="s">
        <v>95</v>
      </c>
      <c r="BM217" t="s">
        <v>3926</v>
      </c>
      <c r="BN217" t="s">
        <v>74</v>
      </c>
      <c r="BO217" t="s">
        <v>74</v>
      </c>
      <c r="BP217" t="s">
        <v>74</v>
      </c>
      <c r="BQ217" t="s">
        <v>74</v>
      </c>
      <c r="BR217" t="s">
        <v>97</v>
      </c>
      <c r="BS217" t="s">
        <v>3927</v>
      </c>
      <c r="BT217" t="str">
        <f>HYPERLINK("https%3A%2F%2Fwww.webofscience.com%2Fwos%2Fwoscc%2Ffull-record%2FWOS:000475873800006","View Full Record in Web of Science")</f>
        <v>View Full Record in Web of Science</v>
      </c>
    </row>
    <row r="218" spans="1:72" x14ac:dyDescent="0.25">
      <c r="A218" t="s">
        <v>72</v>
      </c>
      <c r="B218" t="s">
        <v>3928</v>
      </c>
      <c r="C218" t="s">
        <v>74</v>
      </c>
      <c r="D218" t="s">
        <v>74</v>
      </c>
      <c r="E218" t="s">
        <v>74</v>
      </c>
      <c r="F218" t="s">
        <v>3929</v>
      </c>
      <c r="G218" t="s">
        <v>74</v>
      </c>
      <c r="H218" t="s">
        <v>74</v>
      </c>
      <c r="I218" t="s">
        <v>3930</v>
      </c>
      <c r="J218" t="s">
        <v>3931</v>
      </c>
      <c r="K218" t="s">
        <v>74</v>
      </c>
      <c r="L218" t="s">
        <v>74</v>
      </c>
      <c r="M218" t="s">
        <v>77</v>
      </c>
      <c r="N218" t="s">
        <v>78</v>
      </c>
      <c r="O218" t="s">
        <v>74</v>
      </c>
      <c r="P218" t="s">
        <v>74</v>
      </c>
      <c r="Q218" t="s">
        <v>74</v>
      </c>
      <c r="R218" t="s">
        <v>74</v>
      </c>
      <c r="S218" t="s">
        <v>74</v>
      </c>
      <c r="T218" t="s">
        <v>3932</v>
      </c>
      <c r="U218" t="s">
        <v>3933</v>
      </c>
      <c r="V218" t="s">
        <v>3934</v>
      </c>
      <c r="W218" t="s">
        <v>3935</v>
      </c>
      <c r="X218" t="s">
        <v>3936</v>
      </c>
      <c r="Y218" t="s">
        <v>3937</v>
      </c>
      <c r="Z218" t="s">
        <v>3938</v>
      </c>
      <c r="AA218" t="s">
        <v>74</v>
      </c>
      <c r="AB218" t="s">
        <v>74</v>
      </c>
      <c r="AC218" t="s">
        <v>74</v>
      </c>
      <c r="AD218" t="s">
        <v>74</v>
      </c>
      <c r="AE218" t="s">
        <v>74</v>
      </c>
      <c r="AF218" t="s">
        <v>74</v>
      </c>
      <c r="AG218">
        <v>88</v>
      </c>
      <c r="AH218">
        <v>41</v>
      </c>
      <c r="AI218">
        <v>42</v>
      </c>
      <c r="AJ218">
        <v>7</v>
      </c>
      <c r="AK218">
        <v>78</v>
      </c>
      <c r="AL218" t="s">
        <v>665</v>
      </c>
      <c r="AM218" t="s">
        <v>666</v>
      </c>
      <c r="AN218" t="s">
        <v>667</v>
      </c>
      <c r="AO218" t="s">
        <v>3939</v>
      </c>
      <c r="AP218" t="s">
        <v>3940</v>
      </c>
      <c r="AQ218" t="s">
        <v>74</v>
      </c>
      <c r="AR218" t="s">
        <v>3941</v>
      </c>
      <c r="AS218" t="s">
        <v>3942</v>
      </c>
      <c r="AT218" t="s">
        <v>74</v>
      </c>
      <c r="AU218">
        <v>2018</v>
      </c>
      <c r="AV218">
        <v>39</v>
      </c>
      <c r="AW218">
        <v>1</v>
      </c>
      <c r="AX218" t="s">
        <v>74</v>
      </c>
      <c r="AY218" t="s">
        <v>74</v>
      </c>
      <c r="AZ218" t="s">
        <v>74</v>
      </c>
      <c r="BA218" t="s">
        <v>74</v>
      </c>
      <c r="BB218">
        <v>130</v>
      </c>
      <c r="BC218">
        <v>149</v>
      </c>
      <c r="BD218" t="s">
        <v>74</v>
      </c>
      <c r="BE218" t="s">
        <v>3943</v>
      </c>
      <c r="BF218" t="str">
        <f>HYPERLINK("http://dx.doi.org/10.1108/LODJ-09-2016-0216","http://dx.doi.org/10.1108/LODJ-09-2016-0216")</f>
        <v>http://dx.doi.org/10.1108/LODJ-09-2016-0216</v>
      </c>
      <c r="BG218" t="s">
        <v>74</v>
      </c>
      <c r="BH218" t="s">
        <v>74</v>
      </c>
      <c r="BI218">
        <v>20</v>
      </c>
      <c r="BJ218" t="s">
        <v>442</v>
      </c>
      <c r="BK218" t="s">
        <v>94</v>
      </c>
      <c r="BL218" t="s">
        <v>95</v>
      </c>
      <c r="BM218" t="s">
        <v>3944</v>
      </c>
      <c r="BN218" t="s">
        <v>74</v>
      </c>
      <c r="BO218" t="s">
        <v>74</v>
      </c>
      <c r="BP218" t="s">
        <v>74</v>
      </c>
      <c r="BQ218" t="s">
        <v>74</v>
      </c>
      <c r="BR218" t="s">
        <v>97</v>
      </c>
      <c r="BS218" t="s">
        <v>3945</v>
      </c>
      <c r="BT218" t="str">
        <f>HYPERLINK("https%3A%2F%2Fwww.webofscience.com%2Fwos%2Fwoscc%2Ffull-record%2FWOS:000426083300009","View Full Record in Web of Science")</f>
        <v>View Full Record in Web of Science</v>
      </c>
    </row>
    <row r="219" spans="1:72" x14ac:dyDescent="0.25">
      <c r="A219" t="s">
        <v>72</v>
      </c>
      <c r="B219" t="s">
        <v>3946</v>
      </c>
      <c r="C219" t="s">
        <v>74</v>
      </c>
      <c r="D219" t="s">
        <v>74</v>
      </c>
      <c r="E219" t="s">
        <v>74</v>
      </c>
      <c r="F219" t="s">
        <v>3947</v>
      </c>
      <c r="G219" t="s">
        <v>74</v>
      </c>
      <c r="H219" t="s">
        <v>74</v>
      </c>
      <c r="I219" t="s">
        <v>3948</v>
      </c>
      <c r="J219" t="s">
        <v>3949</v>
      </c>
      <c r="K219" t="s">
        <v>74</v>
      </c>
      <c r="L219" t="s">
        <v>74</v>
      </c>
      <c r="M219" t="s">
        <v>77</v>
      </c>
      <c r="N219" t="s">
        <v>78</v>
      </c>
      <c r="O219" t="s">
        <v>74</v>
      </c>
      <c r="P219" t="s">
        <v>74</v>
      </c>
      <c r="Q219" t="s">
        <v>74</v>
      </c>
      <c r="R219" t="s">
        <v>74</v>
      </c>
      <c r="S219" t="s">
        <v>74</v>
      </c>
      <c r="T219" t="s">
        <v>3950</v>
      </c>
      <c r="U219" t="s">
        <v>3951</v>
      </c>
      <c r="V219" t="s">
        <v>3952</v>
      </c>
      <c r="W219" t="s">
        <v>3953</v>
      </c>
      <c r="X219" t="s">
        <v>3954</v>
      </c>
      <c r="Y219" t="s">
        <v>3955</v>
      </c>
      <c r="Z219" t="s">
        <v>3956</v>
      </c>
      <c r="AA219" t="s">
        <v>3957</v>
      </c>
      <c r="AB219" t="s">
        <v>3958</v>
      </c>
      <c r="AC219" t="s">
        <v>3959</v>
      </c>
      <c r="AD219" t="s">
        <v>3960</v>
      </c>
      <c r="AE219" t="s">
        <v>3961</v>
      </c>
      <c r="AF219" t="s">
        <v>74</v>
      </c>
      <c r="AG219">
        <v>97</v>
      </c>
      <c r="AH219">
        <v>41</v>
      </c>
      <c r="AI219">
        <v>42</v>
      </c>
      <c r="AJ219">
        <v>2</v>
      </c>
      <c r="AK219">
        <v>81</v>
      </c>
      <c r="AL219" t="s">
        <v>602</v>
      </c>
      <c r="AM219" t="s">
        <v>160</v>
      </c>
      <c r="AN219" t="s">
        <v>603</v>
      </c>
      <c r="AO219" t="s">
        <v>3962</v>
      </c>
      <c r="AP219" t="s">
        <v>3963</v>
      </c>
      <c r="AQ219" t="s">
        <v>74</v>
      </c>
      <c r="AR219" t="s">
        <v>3964</v>
      </c>
      <c r="AS219" t="s">
        <v>3965</v>
      </c>
      <c r="AT219" t="s">
        <v>122</v>
      </c>
      <c r="AU219">
        <v>2017</v>
      </c>
      <c r="AV219">
        <v>35</v>
      </c>
      <c r="AW219">
        <v>2</v>
      </c>
      <c r="AX219" t="s">
        <v>74</v>
      </c>
      <c r="AY219" t="s">
        <v>74</v>
      </c>
      <c r="AZ219" t="s">
        <v>74</v>
      </c>
      <c r="BA219" t="s">
        <v>74</v>
      </c>
      <c r="BB219">
        <v>273</v>
      </c>
      <c r="BC219">
        <v>281</v>
      </c>
      <c r="BD219" t="s">
        <v>74</v>
      </c>
      <c r="BE219" t="s">
        <v>3966</v>
      </c>
      <c r="BF219" t="str">
        <f>HYPERLINK("http://dx.doi.org/10.1016/j.emj.2016.11.002","http://dx.doi.org/10.1016/j.emj.2016.11.002")</f>
        <v>http://dx.doi.org/10.1016/j.emj.2016.11.002</v>
      </c>
      <c r="BG219" t="s">
        <v>74</v>
      </c>
      <c r="BH219" t="s">
        <v>74</v>
      </c>
      <c r="BI219">
        <v>9</v>
      </c>
      <c r="BJ219" t="s">
        <v>93</v>
      </c>
      <c r="BK219" t="s">
        <v>94</v>
      </c>
      <c r="BL219" t="s">
        <v>95</v>
      </c>
      <c r="BM219" t="s">
        <v>3967</v>
      </c>
      <c r="BN219" t="s">
        <v>74</v>
      </c>
      <c r="BO219" t="s">
        <v>74</v>
      </c>
      <c r="BP219" t="s">
        <v>74</v>
      </c>
      <c r="BQ219" t="s">
        <v>74</v>
      </c>
      <c r="BR219" t="s">
        <v>97</v>
      </c>
      <c r="BS219" t="s">
        <v>3968</v>
      </c>
      <c r="BT219" t="str">
        <f>HYPERLINK("https%3A%2F%2Fwww.webofscience.com%2Fwos%2Fwoscc%2Ffull-record%2FWOS:000399855300014","View Full Record in Web of Science")</f>
        <v>View Full Record in Web of Science</v>
      </c>
    </row>
    <row r="220" spans="1:72" x14ac:dyDescent="0.25">
      <c r="A220" t="s">
        <v>72</v>
      </c>
      <c r="B220" t="s">
        <v>3969</v>
      </c>
      <c r="C220" t="s">
        <v>74</v>
      </c>
      <c r="D220" t="s">
        <v>74</v>
      </c>
      <c r="E220" t="s">
        <v>74</v>
      </c>
      <c r="F220" t="s">
        <v>3970</v>
      </c>
      <c r="G220" t="s">
        <v>74</v>
      </c>
      <c r="H220" t="s">
        <v>74</v>
      </c>
      <c r="I220" t="s">
        <v>3971</v>
      </c>
      <c r="J220" t="s">
        <v>424</v>
      </c>
      <c r="K220" t="s">
        <v>74</v>
      </c>
      <c r="L220" t="s">
        <v>74</v>
      </c>
      <c r="M220" t="s">
        <v>77</v>
      </c>
      <c r="N220" t="s">
        <v>78</v>
      </c>
      <c r="O220" t="s">
        <v>74</v>
      </c>
      <c r="P220" t="s">
        <v>74</v>
      </c>
      <c r="Q220" t="s">
        <v>74</v>
      </c>
      <c r="R220" t="s">
        <v>74</v>
      </c>
      <c r="S220" t="s">
        <v>74</v>
      </c>
      <c r="T220" t="s">
        <v>3972</v>
      </c>
      <c r="U220" t="s">
        <v>74</v>
      </c>
      <c r="V220" t="s">
        <v>3973</v>
      </c>
      <c r="W220" t="s">
        <v>3974</v>
      </c>
      <c r="X220" t="s">
        <v>3975</v>
      </c>
      <c r="Y220" t="s">
        <v>3976</v>
      </c>
      <c r="Z220" t="s">
        <v>3977</v>
      </c>
      <c r="AA220" t="s">
        <v>74</v>
      </c>
      <c r="AB220" t="s">
        <v>74</v>
      </c>
      <c r="AC220" t="s">
        <v>74</v>
      </c>
      <c r="AD220" t="s">
        <v>74</v>
      </c>
      <c r="AE220" t="s">
        <v>74</v>
      </c>
      <c r="AF220" t="s">
        <v>74</v>
      </c>
      <c r="AG220">
        <v>29</v>
      </c>
      <c r="AH220">
        <v>41</v>
      </c>
      <c r="AI220">
        <v>47</v>
      </c>
      <c r="AJ220">
        <v>5</v>
      </c>
      <c r="AK220">
        <v>57</v>
      </c>
      <c r="AL220" t="s">
        <v>511</v>
      </c>
      <c r="AM220" t="s">
        <v>435</v>
      </c>
      <c r="AN220" t="s">
        <v>512</v>
      </c>
      <c r="AO220" t="s">
        <v>437</v>
      </c>
      <c r="AP220" t="s">
        <v>438</v>
      </c>
      <c r="AQ220" t="s">
        <v>74</v>
      </c>
      <c r="AR220" t="s">
        <v>439</v>
      </c>
      <c r="AS220" t="s">
        <v>440</v>
      </c>
      <c r="AT220" t="s">
        <v>165</v>
      </c>
      <c r="AU220">
        <v>2014</v>
      </c>
      <c r="AV220">
        <v>43</v>
      </c>
      <c r="AW220">
        <v>4</v>
      </c>
      <c r="AX220" t="s">
        <v>74</v>
      </c>
      <c r="AY220" t="s">
        <v>74</v>
      </c>
      <c r="AZ220" t="s">
        <v>74</v>
      </c>
      <c r="BA220" t="s">
        <v>74</v>
      </c>
      <c r="BB220">
        <v>726</v>
      </c>
      <c r="BC220">
        <v>736</v>
      </c>
      <c r="BD220" t="s">
        <v>74</v>
      </c>
      <c r="BE220" t="s">
        <v>3978</v>
      </c>
      <c r="BF220" t="str">
        <f>HYPERLINK("http://dx.doi.org/10.1016/j.respol.2013.10.002","http://dx.doi.org/10.1016/j.respol.2013.10.002")</f>
        <v>http://dx.doi.org/10.1016/j.respol.2013.10.002</v>
      </c>
      <c r="BG220" t="s">
        <v>74</v>
      </c>
      <c r="BH220" t="s">
        <v>74</v>
      </c>
      <c r="BI220">
        <v>11</v>
      </c>
      <c r="BJ220" t="s">
        <v>442</v>
      </c>
      <c r="BK220" t="s">
        <v>94</v>
      </c>
      <c r="BL220" t="s">
        <v>95</v>
      </c>
      <c r="BM220" t="s">
        <v>3979</v>
      </c>
      <c r="BN220" t="s">
        <v>74</v>
      </c>
      <c r="BO220" t="s">
        <v>74</v>
      </c>
      <c r="BP220" t="s">
        <v>74</v>
      </c>
      <c r="BQ220" t="s">
        <v>74</v>
      </c>
      <c r="BR220" t="s">
        <v>97</v>
      </c>
      <c r="BS220" t="s">
        <v>3980</v>
      </c>
      <c r="BT220" t="str">
        <f>HYPERLINK("https%3A%2F%2Fwww.webofscience.com%2Fwos%2Fwoscc%2Ffull-record%2FWOS:000334005800009","View Full Record in Web of Science")</f>
        <v>View Full Record in Web of Science</v>
      </c>
    </row>
    <row r="221" spans="1:72" x14ac:dyDescent="0.25">
      <c r="A221" t="s">
        <v>72</v>
      </c>
      <c r="B221" t="s">
        <v>12075</v>
      </c>
      <c r="C221" t="s">
        <v>74</v>
      </c>
      <c r="D221" t="s">
        <v>74</v>
      </c>
      <c r="E221" t="s">
        <v>74</v>
      </c>
      <c r="F221" t="s">
        <v>12076</v>
      </c>
      <c r="G221" t="s">
        <v>74</v>
      </c>
      <c r="H221" t="s">
        <v>74</v>
      </c>
      <c r="I221" t="s">
        <v>12077</v>
      </c>
      <c r="J221" t="s">
        <v>8980</v>
      </c>
      <c r="K221" t="s">
        <v>74</v>
      </c>
      <c r="L221" t="s">
        <v>74</v>
      </c>
      <c r="M221" t="s">
        <v>77</v>
      </c>
      <c r="N221" t="s">
        <v>78</v>
      </c>
      <c r="O221" t="s">
        <v>74</v>
      </c>
      <c r="P221" t="s">
        <v>74</v>
      </c>
      <c r="Q221" t="s">
        <v>74</v>
      </c>
      <c r="R221" t="s">
        <v>74</v>
      </c>
      <c r="S221" t="s">
        <v>74</v>
      </c>
      <c r="T221" t="s">
        <v>12078</v>
      </c>
      <c r="U221" t="s">
        <v>12079</v>
      </c>
      <c r="V221" t="s">
        <v>12080</v>
      </c>
      <c r="W221" t="s">
        <v>12081</v>
      </c>
      <c r="X221" t="s">
        <v>12082</v>
      </c>
      <c r="Y221" t="s">
        <v>12083</v>
      </c>
      <c r="Z221" t="s">
        <v>12084</v>
      </c>
      <c r="AA221" t="s">
        <v>12085</v>
      </c>
      <c r="AB221" t="s">
        <v>12086</v>
      </c>
      <c r="AC221" t="s">
        <v>12087</v>
      </c>
      <c r="AD221" t="s">
        <v>12088</v>
      </c>
      <c r="AE221" t="s">
        <v>12089</v>
      </c>
      <c r="AF221" t="s">
        <v>74</v>
      </c>
      <c r="AG221">
        <v>131</v>
      </c>
      <c r="AH221">
        <v>7</v>
      </c>
      <c r="AI221">
        <v>7</v>
      </c>
      <c r="AJ221">
        <v>7</v>
      </c>
      <c r="AK221">
        <v>21</v>
      </c>
      <c r="AL221" t="s">
        <v>2304</v>
      </c>
      <c r="AM221" t="s">
        <v>160</v>
      </c>
      <c r="AN221" t="s">
        <v>2305</v>
      </c>
      <c r="AO221" t="s">
        <v>8990</v>
      </c>
      <c r="AP221" t="s">
        <v>8991</v>
      </c>
      <c r="AQ221" t="s">
        <v>74</v>
      </c>
      <c r="AR221" t="s">
        <v>8992</v>
      </c>
      <c r="AS221" t="s">
        <v>8993</v>
      </c>
      <c r="AT221" t="s">
        <v>165</v>
      </c>
      <c r="AU221">
        <v>2021</v>
      </c>
      <c r="AV221">
        <v>84</v>
      </c>
      <c r="AW221" t="s">
        <v>74</v>
      </c>
      <c r="AX221" t="s">
        <v>74</v>
      </c>
      <c r="AY221" t="s">
        <v>74</v>
      </c>
      <c r="AZ221" t="s">
        <v>74</v>
      </c>
      <c r="BA221" t="s">
        <v>74</v>
      </c>
      <c r="BB221">
        <v>162</v>
      </c>
      <c r="BC221">
        <v>173</v>
      </c>
      <c r="BD221" t="s">
        <v>74</v>
      </c>
      <c r="BE221" t="s">
        <v>12090</v>
      </c>
      <c r="BF221" t="str">
        <f>HYPERLINK("http://dx.doi.org/10.1016/j.jrurstud.2021.04.003","http://dx.doi.org/10.1016/j.jrurstud.2021.04.003")</f>
        <v>http://dx.doi.org/10.1016/j.jrurstud.2021.04.003</v>
      </c>
      <c r="BG221" t="s">
        <v>74</v>
      </c>
      <c r="BH221" t="s">
        <v>12091</v>
      </c>
      <c r="BI221">
        <v>12</v>
      </c>
      <c r="BJ221" t="s">
        <v>8995</v>
      </c>
      <c r="BK221" t="s">
        <v>94</v>
      </c>
      <c r="BL221" t="s">
        <v>8996</v>
      </c>
      <c r="BM221" t="s">
        <v>12092</v>
      </c>
      <c r="BN221" t="s">
        <v>74</v>
      </c>
      <c r="BO221" t="s">
        <v>1897</v>
      </c>
      <c r="BP221" t="s">
        <v>74</v>
      </c>
      <c r="BQ221" t="s">
        <v>74</v>
      </c>
      <c r="BR221" t="s">
        <v>97</v>
      </c>
      <c r="BS221" t="s">
        <v>12093</v>
      </c>
      <c r="BT221" t="str">
        <f>HYPERLINK("https%3A%2F%2Fwww.webofscience.com%2Fwos%2Fwoscc%2Ffull-record%2FWOS:000655616500015","View Full Record in Web of Science")</f>
        <v>View Full Record in Web of Science</v>
      </c>
    </row>
    <row r="222" spans="1:72" x14ac:dyDescent="0.25">
      <c r="A222" t="s">
        <v>72</v>
      </c>
      <c r="B222" t="s">
        <v>4002</v>
      </c>
      <c r="C222" t="s">
        <v>74</v>
      </c>
      <c r="D222" t="s">
        <v>74</v>
      </c>
      <c r="E222" t="s">
        <v>74</v>
      </c>
      <c r="F222" t="s">
        <v>4003</v>
      </c>
      <c r="G222" t="s">
        <v>74</v>
      </c>
      <c r="H222" t="s">
        <v>74</v>
      </c>
      <c r="I222" t="s">
        <v>4004</v>
      </c>
      <c r="J222" t="s">
        <v>4005</v>
      </c>
      <c r="K222" t="s">
        <v>74</v>
      </c>
      <c r="L222" t="s">
        <v>74</v>
      </c>
      <c r="M222" t="s">
        <v>77</v>
      </c>
      <c r="N222" t="s">
        <v>78</v>
      </c>
      <c r="O222" t="s">
        <v>74</v>
      </c>
      <c r="P222" t="s">
        <v>74</v>
      </c>
      <c r="Q222" t="s">
        <v>74</v>
      </c>
      <c r="R222" t="s">
        <v>74</v>
      </c>
      <c r="S222" t="s">
        <v>74</v>
      </c>
      <c r="T222" t="s">
        <v>4006</v>
      </c>
      <c r="U222" t="s">
        <v>4007</v>
      </c>
      <c r="V222" t="s">
        <v>4008</v>
      </c>
      <c r="W222" t="s">
        <v>4009</v>
      </c>
      <c r="X222" t="s">
        <v>4010</v>
      </c>
      <c r="Y222" t="s">
        <v>4011</v>
      </c>
      <c r="Z222" t="s">
        <v>4012</v>
      </c>
      <c r="AA222" t="s">
        <v>4013</v>
      </c>
      <c r="AB222" t="s">
        <v>4014</v>
      </c>
      <c r="AC222" t="s">
        <v>4015</v>
      </c>
      <c r="AD222" t="s">
        <v>4016</v>
      </c>
      <c r="AE222" t="s">
        <v>4017</v>
      </c>
      <c r="AF222" t="s">
        <v>74</v>
      </c>
      <c r="AG222">
        <v>68</v>
      </c>
      <c r="AH222">
        <v>41</v>
      </c>
      <c r="AI222">
        <v>43</v>
      </c>
      <c r="AJ222">
        <v>1</v>
      </c>
      <c r="AK222">
        <v>42</v>
      </c>
      <c r="AL222" t="s">
        <v>4018</v>
      </c>
      <c r="AM222" t="s">
        <v>4019</v>
      </c>
      <c r="AN222" t="s">
        <v>4020</v>
      </c>
      <c r="AO222" t="s">
        <v>4021</v>
      </c>
      <c r="AP222" t="s">
        <v>4022</v>
      </c>
      <c r="AQ222" t="s">
        <v>74</v>
      </c>
      <c r="AR222" t="s">
        <v>4005</v>
      </c>
      <c r="AS222" t="s">
        <v>4023</v>
      </c>
      <c r="AT222" t="s">
        <v>165</v>
      </c>
      <c r="AU222">
        <v>2012</v>
      </c>
      <c r="AV222">
        <v>105</v>
      </c>
      <c r="AW222" t="s">
        <v>4024</v>
      </c>
      <c r="AX222" t="s">
        <v>74</v>
      </c>
      <c r="AY222" t="s">
        <v>74</v>
      </c>
      <c r="AZ222" t="s">
        <v>74</v>
      </c>
      <c r="BA222" t="s">
        <v>74</v>
      </c>
      <c r="BB222">
        <v>146</v>
      </c>
      <c r="BC222">
        <v>153</v>
      </c>
      <c r="BD222" t="s">
        <v>74</v>
      </c>
      <c r="BE222" t="s">
        <v>4025</v>
      </c>
      <c r="BF222" t="str">
        <f>HYPERLINK("http://dx.doi.org/10.1016/j.healthpol.2012.02.010","http://dx.doi.org/10.1016/j.healthpol.2012.02.010")</f>
        <v>http://dx.doi.org/10.1016/j.healthpol.2012.02.010</v>
      </c>
      <c r="BG222" t="s">
        <v>74</v>
      </c>
      <c r="BH222" t="s">
        <v>74</v>
      </c>
      <c r="BI222">
        <v>8</v>
      </c>
      <c r="BJ222" t="s">
        <v>4026</v>
      </c>
      <c r="BK222" t="s">
        <v>147</v>
      </c>
      <c r="BL222" t="s">
        <v>4027</v>
      </c>
      <c r="BM222" t="s">
        <v>4028</v>
      </c>
      <c r="BN222">
        <v>22405486</v>
      </c>
      <c r="BO222" t="s">
        <v>408</v>
      </c>
      <c r="BP222" t="s">
        <v>74</v>
      </c>
      <c r="BQ222" t="s">
        <v>74</v>
      </c>
      <c r="BR222" t="s">
        <v>97</v>
      </c>
      <c r="BS222" t="s">
        <v>4029</v>
      </c>
      <c r="BT222" t="str">
        <f>HYPERLINK("https%3A%2F%2Fwww.webofscience.com%2Fwos%2Fwoscc%2Ffull-record%2FWOS:000303632600006","View Full Record in Web of Science")</f>
        <v>View Full Record in Web of Science</v>
      </c>
    </row>
    <row r="223" spans="1:72" x14ac:dyDescent="0.25">
      <c r="A223" t="s">
        <v>72</v>
      </c>
      <c r="B223" t="s">
        <v>4030</v>
      </c>
      <c r="C223" t="s">
        <v>74</v>
      </c>
      <c r="D223" t="s">
        <v>74</v>
      </c>
      <c r="E223" t="s">
        <v>74</v>
      </c>
      <c r="F223" t="s">
        <v>4031</v>
      </c>
      <c r="G223" t="s">
        <v>74</v>
      </c>
      <c r="H223" t="s">
        <v>74</v>
      </c>
      <c r="I223" t="s">
        <v>4032</v>
      </c>
      <c r="J223" t="s">
        <v>3005</v>
      </c>
      <c r="K223" t="s">
        <v>74</v>
      </c>
      <c r="L223" t="s">
        <v>74</v>
      </c>
      <c r="M223" t="s">
        <v>77</v>
      </c>
      <c r="N223" t="s">
        <v>78</v>
      </c>
      <c r="O223" t="s">
        <v>74</v>
      </c>
      <c r="P223" t="s">
        <v>74</v>
      </c>
      <c r="Q223" t="s">
        <v>74</v>
      </c>
      <c r="R223" t="s">
        <v>74</v>
      </c>
      <c r="S223" t="s">
        <v>74</v>
      </c>
      <c r="T223" t="s">
        <v>74</v>
      </c>
      <c r="U223" t="s">
        <v>4033</v>
      </c>
      <c r="V223" t="s">
        <v>4034</v>
      </c>
      <c r="W223" t="s">
        <v>4035</v>
      </c>
      <c r="X223" t="s">
        <v>4036</v>
      </c>
      <c r="Y223" t="s">
        <v>4037</v>
      </c>
      <c r="Z223" t="s">
        <v>4038</v>
      </c>
      <c r="AA223" t="s">
        <v>4039</v>
      </c>
      <c r="AB223" t="s">
        <v>4040</v>
      </c>
      <c r="AC223" t="s">
        <v>74</v>
      </c>
      <c r="AD223" t="s">
        <v>74</v>
      </c>
      <c r="AE223" t="s">
        <v>74</v>
      </c>
      <c r="AF223" t="s">
        <v>74</v>
      </c>
      <c r="AG223">
        <v>92</v>
      </c>
      <c r="AH223">
        <v>41</v>
      </c>
      <c r="AI223">
        <v>42</v>
      </c>
      <c r="AJ223">
        <v>1</v>
      </c>
      <c r="AK223">
        <v>39</v>
      </c>
      <c r="AL223" t="s">
        <v>218</v>
      </c>
      <c r="AM223" t="s">
        <v>219</v>
      </c>
      <c r="AN223" t="s">
        <v>220</v>
      </c>
      <c r="AO223" t="s">
        <v>3016</v>
      </c>
      <c r="AP223" t="s">
        <v>3017</v>
      </c>
      <c r="AQ223" t="s">
        <v>74</v>
      </c>
      <c r="AR223" t="s">
        <v>3018</v>
      </c>
      <c r="AS223" t="s">
        <v>3019</v>
      </c>
      <c r="AT223" t="s">
        <v>122</v>
      </c>
      <c r="AU223">
        <v>2011</v>
      </c>
      <c r="AV223">
        <v>49</v>
      </c>
      <c r="AW223">
        <v>2</v>
      </c>
      <c r="AX223" t="s">
        <v>74</v>
      </c>
      <c r="AY223" t="s">
        <v>74</v>
      </c>
      <c r="AZ223" t="s">
        <v>74</v>
      </c>
      <c r="BA223" t="s">
        <v>74</v>
      </c>
      <c r="BB223">
        <v>233</v>
      </c>
      <c r="BC223">
        <v>251</v>
      </c>
      <c r="BD223" t="s">
        <v>74</v>
      </c>
      <c r="BE223" t="s">
        <v>4041</v>
      </c>
      <c r="BF223" t="str">
        <f>HYPERLINK("http://dx.doi.org/10.1111/j.1540-627X.2011.00323.x","http://dx.doi.org/10.1111/j.1540-627X.2011.00323.x")</f>
        <v>http://dx.doi.org/10.1111/j.1540-627X.2011.00323.x</v>
      </c>
      <c r="BG223" t="s">
        <v>74</v>
      </c>
      <c r="BH223" t="s">
        <v>74</v>
      </c>
      <c r="BI223">
        <v>19</v>
      </c>
      <c r="BJ223" t="s">
        <v>442</v>
      </c>
      <c r="BK223" t="s">
        <v>94</v>
      </c>
      <c r="BL223" t="s">
        <v>95</v>
      </c>
      <c r="BM223" t="s">
        <v>4042</v>
      </c>
      <c r="BN223" t="s">
        <v>74</v>
      </c>
      <c r="BO223" t="s">
        <v>74</v>
      </c>
      <c r="BP223" t="s">
        <v>74</v>
      </c>
      <c r="BQ223" t="s">
        <v>74</v>
      </c>
      <c r="BR223" t="s">
        <v>97</v>
      </c>
      <c r="BS223" t="s">
        <v>4043</v>
      </c>
      <c r="BT223" t="str">
        <f>HYPERLINK("https%3A%2F%2Fwww.webofscience.com%2Fwos%2Fwoscc%2Ffull-record%2FWOS:000288906600005","View Full Record in Web of Science")</f>
        <v>View Full Record in Web of Science</v>
      </c>
    </row>
    <row r="224" spans="1:72" x14ac:dyDescent="0.25">
      <c r="A224" t="s">
        <v>72</v>
      </c>
      <c r="B224" t="s">
        <v>4044</v>
      </c>
      <c r="C224" t="s">
        <v>74</v>
      </c>
      <c r="D224" t="s">
        <v>74</v>
      </c>
      <c r="E224" t="s">
        <v>74</v>
      </c>
      <c r="F224" t="s">
        <v>4045</v>
      </c>
      <c r="G224" t="s">
        <v>74</v>
      </c>
      <c r="H224" t="s">
        <v>74</v>
      </c>
      <c r="I224" t="s">
        <v>4046</v>
      </c>
      <c r="J224" t="s">
        <v>4047</v>
      </c>
      <c r="K224" t="s">
        <v>74</v>
      </c>
      <c r="L224" t="s">
        <v>74</v>
      </c>
      <c r="M224" t="s">
        <v>77</v>
      </c>
      <c r="N224" t="s">
        <v>78</v>
      </c>
      <c r="O224" t="s">
        <v>74</v>
      </c>
      <c r="P224" t="s">
        <v>74</v>
      </c>
      <c r="Q224" t="s">
        <v>74</v>
      </c>
      <c r="R224" t="s">
        <v>74</v>
      </c>
      <c r="S224" t="s">
        <v>74</v>
      </c>
      <c r="T224" t="s">
        <v>4048</v>
      </c>
      <c r="U224" t="s">
        <v>4049</v>
      </c>
      <c r="V224" t="s">
        <v>4050</v>
      </c>
      <c r="W224" t="s">
        <v>4051</v>
      </c>
      <c r="X224" t="s">
        <v>4052</v>
      </c>
      <c r="Y224" t="s">
        <v>4053</v>
      </c>
      <c r="Z224" t="s">
        <v>4054</v>
      </c>
      <c r="AA224" t="s">
        <v>2347</v>
      </c>
      <c r="AB224" t="s">
        <v>4055</v>
      </c>
      <c r="AC224" t="s">
        <v>74</v>
      </c>
      <c r="AD224" t="s">
        <v>74</v>
      </c>
      <c r="AE224" t="s">
        <v>74</v>
      </c>
      <c r="AF224" t="s">
        <v>74</v>
      </c>
      <c r="AG224">
        <v>114</v>
      </c>
      <c r="AH224">
        <v>40</v>
      </c>
      <c r="AI224">
        <v>41</v>
      </c>
      <c r="AJ224">
        <v>11</v>
      </c>
      <c r="AK224">
        <v>82</v>
      </c>
      <c r="AL224" t="s">
        <v>1806</v>
      </c>
      <c r="AM224" t="s">
        <v>1046</v>
      </c>
      <c r="AN224" t="s">
        <v>1807</v>
      </c>
      <c r="AO224" t="s">
        <v>4056</v>
      </c>
      <c r="AP224" t="s">
        <v>4057</v>
      </c>
      <c r="AQ224" t="s">
        <v>74</v>
      </c>
      <c r="AR224" t="s">
        <v>4058</v>
      </c>
      <c r="AS224" t="s">
        <v>4059</v>
      </c>
      <c r="AT224" t="s">
        <v>496</v>
      </c>
      <c r="AU224">
        <v>2019</v>
      </c>
      <c r="AV224">
        <v>30</v>
      </c>
      <c r="AW224">
        <v>3</v>
      </c>
      <c r="AX224" t="s">
        <v>74</v>
      </c>
      <c r="AY224" t="s">
        <v>74</v>
      </c>
      <c r="AZ224" t="s">
        <v>74</v>
      </c>
      <c r="BA224" t="s">
        <v>74</v>
      </c>
      <c r="BB224">
        <v>361</v>
      </c>
      <c r="BC224">
        <v>381</v>
      </c>
      <c r="BD224" t="s">
        <v>74</v>
      </c>
      <c r="BE224" t="s">
        <v>4060</v>
      </c>
      <c r="BF224" t="str">
        <f>HYPERLINK("http://dx.doi.org/10.1002/hrdq.21344","http://dx.doi.org/10.1002/hrdq.21344")</f>
        <v>http://dx.doi.org/10.1002/hrdq.21344</v>
      </c>
      <c r="BG224" t="s">
        <v>74</v>
      </c>
      <c r="BH224" t="s">
        <v>74</v>
      </c>
      <c r="BI224">
        <v>21</v>
      </c>
      <c r="BJ224" t="s">
        <v>2515</v>
      </c>
      <c r="BK224" t="s">
        <v>94</v>
      </c>
      <c r="BL224" t="s">
        <v>227</v>
      </c>
      <c r="BM224" t="s">
        <v>4061</v>
      </c>
      <c r="BN224" t="s">
        <v>74</v>
      </c>
      <c r="BO224" t="s">
        <v>74</v>
      </c>
      <c r="BP224" t="s">
        <v>74</v>
      </c>
      <c r="BQ224" t="s">
        <v>74</v>
      </c>
      <c r="BR224" t="s">
        <v>97</v>
      </c>
      <c r="BS224" t="s">
        <v>4062</v>
      </c>
      <c r="BT224" t="str">
        <f>HYPERLINK("https%3A%2F%2Fwww.webofscience.com%2Fwos%2Fwoscc%2Ffull-record%2FWOS:000486054700005","View Full Record in Web of Science")</f>
        <v>View Full Record in Web of Science</v>
      </c>
    </row>
    <row r="225" spans="1:72" x14ac:dyDescent="0.25">
      <c r="A225" t="s">
        <v>72</v>
      </c>
      <c r="B225" t="s">
        <v>4063</v>
      </c>
      <c r="C225" t="s">
        <v>74</v>
      </c>
      <c r="D225" t="s">
        <v>74</v>
      </c>
      <c r="E225" t="s">
        <v>74</v>
      </c>
      <c r="F225" t="s">
        <v>4064</v>
      </c>
      <c r="G225" t="s">
        <v>74</v>
      </c>
      <c r="H225" t="s">
        <v>74</v>
      </c>
      <c r="I225" t="s">
        <v>4065</v>
      </c>
      <c r="J225" t="s">
        <v>1798</v>
      </c>
      <c r="K225" t="s">
        <v>74</v>
      </c>
      <c r="L225" t="s">
        <v>74</v>
      </c>
      <c r="M225" t="s">
        <v>77</v>
      </c>
      <c r="N225" t="s">
        <v>78</v>
      </c>
      <c r="O225" t="s">
        <v>74</v>
      </c>
      <c r="P225" t="s">
        <v>74</v>
      </c>
      <c r="Q225" t="s">
        <v>74</v>
      </c>
      <c r="R225" t="s">
        <v>74</v>
      </c>
      <c r="S225" t="s">
        <v>74</v>
      </c>
      <c r="T225" t="s">
        <v>4066</v>
      </c>
      <c r="U225" t="s">
        <v>4067</v>
      </c>
      <c r="V225" t="s">
        <v>4068</v>
      </c>
      <c r="W225" t="s">
        <v>4069</v>
      </c>
      <c r="X225" t="s">
        <v>4070</v>
      </c>
      <c r="Y225" t="s">
        <v>4071</v>
      </c>
      <c r="Z225" t="s">
        <v>4072</v>
      </c>
      <c r="AA225" t="s">
        <v>4073</v>
      </c>
      <c r="AB225" t="s">
        <v>4074</v>
      </c>
      <c r="AC225" t="s">
        <v>74</v>
      </c>
      <c r="AD225" t="s">
        <v>74</v>
      </c>
      <c r="AE225" t="s">
        <v>74</v>
      </c>
      <c r="AF225" t="s">
        <v>74</v>
      </c>
      <c r="AG225">
        <v>115</v>
      </c>
      <c r="AH225">
        <v>40</v>
      </c>
      <c r="AI225">
        <v>40</v>
      </c>
      <c r="AJ225">
        <v>29</v>
      </c>
      <c r="AK225">
        <v>160</v>
      </c>
      <c r="AL225" t="s">
        <v>1806</v>
      </c>
      <c r="AM225" t="s">
        <v>1046</v>
      </c>
      <c r="AN225" t="s">
        <v>1807</v>
      </c>
      <c r="AO225" t="s">
        <v>1808</v>
      </c>
      <c r="AP225" t="s">
        <v>1809</v>
      </c>
      <c r="AQ225" t="s">
        <v>74</v>
      </c>
      <c r="AR225" t="s">
        <v>1810</v>
      </c>
      <c r="AS225" t="s">
        <v>1811</v>
      </c>
      <c r="AT225" t="s">
        <v>792</v>
      </c>
      <c r="AU225">
        <v>2019</v>
      </c>
      <c r="AV225">
        <v>58</v>
      </c>
      <c r="AW225">
        <v>4</v>
      </c>
      <c r="AX225" t="s">
        <v>74</v>
      </c>
      <c r="AY225" t="s">
        <v>74</v>
      </c>
      <c r="AZ225" t="s">
        <v>74</v>
      </c>
      <c r="BA225" t="s">
        <v>74</v>
      </c>
      <c r="BB225">
        <v>383</v>
      </c>
      <c r="BC225">
        <v>396</v>
      </c>
      <c r="BD225" t="s">
        <v>74</v>
      </c>
      <c r="BE225" t="s">
        <v>4075</v>
      </c>
      <c r="BF225" t="str">
        <f>HYPERLINK("http://dx.doi.org/10.1002/hrm.21960","http://dx.doi.org/10.1002/hrm.21960")</f>
        <v>http://dx.doi.org/10.1002/hrm.21960</v>
      </c>
      <c r="BG225" t="s">
        <v>74</v>
      </c>
      <c r="BH225" t="s">
        <v>74</v>
      </c>
      <c r="BI225">
        <v>14</v>
      </c>
      <c r="BJ225" t="s">
        <v>202</v>
      </c>
      <c r="BK225" t="s">
        <v>94</v>
      </c>
      <c r="BL225" t="s">
        <v>203</v>
      </c>
      <c r="BM225" t="s">
        <v>4076</v>
      </c>
      <c r="BN225" t="s">
        <v>74</v>
      </c>
      <c r="BO225" t="s">
        <v>378</v>
      </c>
      <c r="BP225" t="s">
        <v>74</v>
      </c>
      <c r="BQ225" t="s">
        <v>74</v>
      </c>
      <c r="BR225" t="s">
        <v>97</v>
      </c>
      <c r="BS225" t="s">
        <v>4077</v>
      </c>
      <c r="BT225" t="str">
        <f>HYPERLINK("https%3A%2F%2Fwww.webofscience.com%2Fwos%2Fwoscc%2Ffull-record%2FWOS:000473560300004","View Full Record in Web of Science")</f>
        <v>View Full Record in Web of Science</v>
      </c>
    </row>
    <row r="226" spans="1:72" x14ac:dyDescent="0.25">
      <c r="A226" t="s">
        <v>72</v>
      </c>
      <c r="B226" t="s">
        <v>4078</v>
      </c>
      <c r="C226" t="s">
        <v>74</v>
      </c>
      <c r="D226" t="s">
        <v>74</v>
      </c>
      <c r="E226" t="s">
        <v>74</v>
      </c>
      <c r="F226" t="s">
        <v>4079</v>
      </c>
      <c r="G226" t="s">
        <v>74</v>
      </c>
      <c r="H226" t="s">
        <v>74</v>
      </c>
      <c r="I226" t="s">
        <v>4080</v>
      </c>
      <c r="J226" t="s">
        <v>4081</v>
      </c>
      <c r="K226" t="s">
        <v>74</v>
      </c>
      <c r="L226" t="s">
        <v>74</v>
      </c>
      <c r="M226" t="s">
        <v>77</v>
      </c>
      <c r="N226" t="s">
        <v>78</v>
      </c>
      <c r="O226" t="s">
        <v>74</v>
      </c>
      <c r="P226" t="s">
        <v>74</v>
      </c>
      <c r="Q226" t="s">
        <v>74</v>
      </c>
      <c r="R226" t="s">
        <v>74</v>
      </c>
      <c r="S226" t="s">
        <v>74</v>
      </c>
      <c r="T226" t="s">
        <v>4082</v>
      </c>
      <c r="U226" t="s">
        <v>4083</v>
      </c>
      <c r="V226" t="s">
        <v>4084</v>
      </c>
      <c r="W226" t="s">
        <v>4085</v>
      </c>
      <c r="X226" t="s">
        <v>4086</v>
      </c>
      <c r="Y226" t="s">
        <v>4087</v>
      </c>
      <c r="Z226" t="s">
        <v>4088</v>
      </c>
      <c r="AA226" t="s">
        <v>4089</v>
      </c>
      <c r="AB226" t="s">
        <v>74</v>
      </c>
      <c r="AC226" t="s">
        <v>4090</v>
      </c>
      <c r="AD226" t="s">
        <v>4091</v>
      </c>
      <c r="AE226" t="s">
        <v>4092</v>
      </c>
      <c r="AF226" t="s">
        <v>74</v>
      </c>
      <c r="AG226">
        <v>23</v>
      </c>
      <c r="AH226">
        <v>40</v>
      </c>
      <c r="AI226">
        <v>41</v>
      </c>
      <c r="AJ226">
        <v>18</v>
      </c>
      <c r="AK226">
        <v>115</v>
      </c>
      <c r="AL226" t="s">
        <v>218</v>
      </c>
      <c r="AM226" t="s">
        <v>219</v>
      </c>
      <c r="AN226" t="s">
        <v>220</v>
      </c>
      <c r="AO226" t="s">
        <v>4093</v>
      </c>
      <c r="AP226" t="s">
        <v>4094</v>
      </c>
      <c r="AQ226" t="s">
        <v>74</v>
      </c>
      <c r="AR226" t="s">
        <v>4095</v>
      </c>
      <c r="AS226" t="s">
        <v>4096</v>
      </c>
      <c r="AT226" t="s">
        <v>165</v>
      </c>
      <c r="AU226">
        <v>2019</v>
      </c>
      <c r="AV226">
        <v>27</v>
      </c>
      <c r="AW226">
        <v>4</v>
      </c>
      <c r="AX226" t="s">
        <v>74</v>
      </c>
      <c r="AY226" t="s">
        <v>74</v>
      </c>
      <c r="AZ226" t="s">
        <v>74</v>
      </c>
      <c r="BA226" t="s">
        <v>74</v>
      </c>
      <c r="BB226">
        <v>688</v>
      </c>
      <c r="BC226">
        <v>696</v>
      </c>
      <c r="BD226" t="s">
        <v>74</v>
      </c>
      <c r="BE226" t="s">
        <v>4097</v>
      </c>
      <c r="BF226" t="str">
        <f>HYPERLINK("http://dx.doi.org/10.1111/jonm.12754","http://dx.doi.org/10.1111/jonm.12754")</f>
        <v>http://dx.doi.org/10.1111/jonm.12754</v>
      </c>
      <c r="BG226" t="s">
        <v>74</v>
      </c>
      <c r="BH226" t="s">
        <v>74</v>
      </c>
      <c r="BI226">
        <v>9</v>
      </c>
      <c r="BJ226" t="s">
        <v>4098</v>
      </c>
      <c r="BK226" t="s">
        <v>147</v>
      </c>
      <c r="BL226" t="s">
        <v>4099</v>
      </c>
      <c r="BM226" t="s">
        <v>4100</v>
      </c>
      <c r="BN226">
        <v>30702790</v>
      </c>
      <c r="BO226" t="s">
        <v>2482</v>
      </c>
      <c r="BP226" t="s">
        <v>74</v>
      </c>
      <c r="BQ226" t="s">
        <v>74</v>
      </c>
      <c r="BR226" t="s">
        <v>97</v>
      </c>
      <c r="BS226" t="s">
        <v>4101</v>
      </c>
      <c r="BT226" t="str">
        <f>HYPERLINK("https%3A%2F%2Fwww.webofscience.com%2Fwos%2Fwoscc%2Ffull-record%2FWOS:000467849600003","View Full Record in Web of Science")</f>
        <v>View Full Record in Web of Science</v>
      </c>
    </row>
    <row r="227" spans="1:72" x14ac:dyDescent="0.25">
      <c r="A227" t="s">
        <v>72</v>
      </c>
      <c r="B227" t="s">
        <v>4102</v>
      </c>
      <c r="C227" t="s">
        <v>74</v>
      </c>
      <c r="D227" t="s">
        <v>74</v>
      </c>
      <c r="E227" t="s">
        <v>74</v>
      </c>
      <c r="F227" t="s">
        <v>4103</v>
      </c>
      <c r="G227" t="s">
        <v>74</v>
      </c>
      <c r="H227" t="s">
        <v>74</v>
      </c>
      <c r="I227" t="s">
        <v>4104</v>
      </c>
      <c r="J227" t="s">
        <v>1600</v>
      </c>
      <c r="K227" t="s">
        <v>74</v>
      </c>
      <c r="L227" t="s">
        <v>74</v>
      </c>
      <c r="M227" t="s">
        <v>77</v>
      </c>
      <c r="N227" t="s">
        <v>78</v>
      </c>
      <c r="O227" t="s">
        <v>74</v>
      </c>
      <c r="P227" t="s">
        <v>74</v>
      </c>
      <c r="Q227" t="s">
        <v>74</v>
      </c>
      <c r="R227" t="s">
        <v>74</v>
      </c>
      <c r="S227" t="s">
        <v>74</v>
      </c>
      <c r="T227" t="s">
        <v>4105</v>
      </c>
      <c r="U227" t="s">
        <v>4106</v>
      </c>
      <c r="V227" t="s">
        <v>4107</v>
      </c>
      <c r="W227" t="s">
        <v>4108</v>
      </c>
      <c r="X227" t="s">
        <v>4109</v>
      </c>
      <c r="Y227" t="s">
        <v>4110</v>
      </c>
      <c r="Z227" t="s">
        <v>4111</v>
      </c>
      <c r="AA227" t="s">
        <v>74</v>
      </c>
      <c r="AB227" t="s">
        <v>74</v>
      </c>
      <c r="AC227" t="s">
        <v>4112</v>
      </c>
      <c r="AD227" t="s">
        <v>4113</v>
      </c>
      <c r="AE227" t="s">
        <v>4114</v>
      </c>
      <c r="AF227" t="s">
        <v>74</v>
      </c>
      <c r="AG227">
        <v>89</v>
      </c>
      <c r="AH227">
        <v>40</v>
      </c>
      <c r="AI227">
        <v>41</v>
      </c>
      <c r="AJ227">
        <v>13</v>
      </c>
      <c r="AK227">
        <v>123</v>
      </c>
      <c r="AL227" t="s">
        <v>1099</v>
      </c>
      <c r="AM227" t="s">
        <v>305</v>
      </c>
      <c r="AN227" t="s">
        <v>1100</v>
      </c>
      <c r="AO227" t="s">
        <v>1610</v>
      </c>
      <c r="AP227" t="s">
        <v>1611</v>
      </c>
      <c r="AQ227" t="s">
        <v>74</v>
      </c>
      <c r="AR227" t="s">
        <v>1612</v>
      </c>
      <c r="AS227" t="s">
        <v>1613</v>
      </c>
      <c r="AT227" t="s">
        <v>74</v>
      </c>
      <c r="AU227">
        <v>2017</v>
      </c>
      <c r="AV227">
        <v>28</v>
      </c>
      <c r="AW227">
        <v>4</v>
      </c>
      <c r="AX227" t="s">
        <v>74</v>
      </c>
      <c r="AY227" t="s">
        <v>74</v>
      </c>
      <c r="AZ227" t="s">
        <v>74</v>
      </c>
      <c r="BA227" t="s">
        <v>74</v>
      </c>
      <c r="BB227">
        <v>603</v>
      </c>
      <c r="BC227">
        <v>626</v>
      </c>
      <c r="BD227" t="s">
        <v>74</v>
      </c>
      <c r="BE227" t="s">
        <v>4115</v>
      </c>
      <c r="BF227" t="str">
        <f>HYPERLINK("http://dx.doi.org/10.1080/09585192.2015.1105843","http://dx.doi.org/10.1080/09585192.2015.1105843")</f>
        <v>http://dx.doi.org/10.1080/09585192.2015.1105843</v>
      </c>
      <c r="BG227" t="s">
        <v>74</v>
      </c>
      <c r="BH227" t="s">
        <v>74</v>
      </c>
      <c r="BI227">
        <v>24</v>
      </c>
      <c r="BJ227" t="s">
        <v>442</v>
      </c>
      <c r="BK227" t="s">
        <v>94</v>
      </c>
      <c r="BL227" t="s">
        <v>95</v>
      </c>
      <c r="BM227" t="s">
        <v>4116</v>
      </c>
      <c r="BN227" t="s">
        <v>74</v>
      </c>
      <c r="BO227" t="s">
        <v>718</v>
      </c>
      <c r="BP227" t="s">
        <v>74</v>
      </c>
      <c r="BQ227" t="s">
        <v>74</v>
      </c>
      <c r="BR227" t="s">
        <v>97</v>
      </c>
      <c r="BS227" t="s">
        <v>4117</v>
      </c>
      <c r="BT227" t="str">
        <f>HYPERLINK("https%3A%2F%2Fwww.webofscience.com%2Fwos%2Fwoscc%2Ffull-record%2FWOS:000396790200003","View Full Record in Web of Science")</f>
        <v>View Full Record in Web of Science</v>
      </c>
    </row>
    <row r="228" spans="1:72" x14ac:dyDescent="0.25">
      <c r="A228" t="s">
        <v>72</v>
      </c>
      <c r="B228" t="s">
        <v>4118</v>
      </c>
      <c r="C228" t="s">
        <v>74</v>
      </c>
      <c r="D228" t="s">
        <v>74</v>
      </c>
      <c r="E228" t="s">
        <v>74</v>
      </c>
      <c r="F228" t="s">
        <v>4119</v>
      </c>
      <c r="G228" t="s">
        <v>74</v>
      </c>
      <c r="H228" t="s">
        <v>74</v>
      </c>
      <c r="I228" t="s">
        <v>4120</v>
      </c>
      <c r="J228" t="s">
        <v>209</v>
      </c>
      <c r="K228" t="s">
        <v>74</v>
      </c>
      <c r="L228" t="s">
        <v>74</v>
      </c>
      <c r="M228" t="s">
        <v>77</v>
      </c>
      <c r="N228" t="s">
        <v>78</v>
      </c>
      <c r="O228" t="s">
        <v>74</v>
      </c>
      <c r="P228" t="s">
        <v>74</v>
      </c>
      <c r="Q228" t="s">
        <v>74</v>
      </c>
      <c r="R228" t="s">
        <v>74</v>
      </c>
      <c r="S228" t="s">
        <v>74</v>
      </c>
      <c r="T228" t="s">
        <v>4121</v>
      </c>
      <c r="U228" t="s">
        <v>4122</v>
      </c>
      <c r="V228" t="s">
        <v>4123</v>
      </c>
      <c r="W228" t="s">
        <v>4124</v>
      </c>
      <c r="X228" t="s">
        <v>4125</v>
      </c>
      <c r="Y228" t="s">
        <v>4126</v>
      </c>
      <c r="Z228" t="s">
        <v>4127</v>
      </c>
      <c r="AA228" t="s">
        <v>1428</v>
      </c>
      <c r="AB228" t="s">
        <v>1429</v>
      </c>
      <c r="AC228" t="s">
        <v>74</v>
      </c>
      <c r="AD228" t="s">
        <v>74</v>
      </c>
      <c r="AE228" t="s">
        <v>74</v>
      </c>
      <c r="AF228" t="s">
        <v>74</v>
      </c>
      <c r="AG228">
        <v>103</v>
      </c>
      <c r="AH228">
        <v>40</v>
      </c>
      <c r="AI228">
        <v>41</v>
      </c>
      <c r="AJ228">
        <v>10</v>
      </c>
      <c r="AK228">
        <v>152</v>
      </c>
      <c r="AL228" t="s">
        <v>218</v>
      </c>
      <c r="AM228" t="s">
        <v>219</v>
      </c>
      <c r="AN228" t="s">
        <v>220</v>
      </c>
      <c r="AO228" t="s">
        <v>221</v>
      </c>
      <c r="AP228" t="s">
        <v>222</v>
      </c>
      <c r="AQ228" t="s">
        <v>74</v>
      </c>
      <c r="AR228" t="s">
        <v>223</v>
      </c>
      <c r="AS228" t="s">
        <v>224</v>
      </c>
      <c r="AT228" t="s">
        <v>792</v>
      </c>
      <c r="AU228">
        <v>2015</v>
      </c>
      <c r="AV228">
        <v>36</v>
      </c>
      <c r="AW228">
        <v>5</v>
      </c>
      <c r="AX228" t="s">
        <v>74</v>
      </c>
      <c r="AY228" t="s">
        <v>74</v>
      </c>
      <c r="AZ228" t="s">
        <v>860</v>
      </c>
      <c r="BA228" t="s">
        <v>74</v>
      </c>
      <c r="BB228">
        <v>648</v>
      </c>
      <c r="BC228">
        <v>672</v>
      </c>
      <c r="BD228" t="s">
        <v>74</v>
      </c>
      <c r="BE228" t="s">
        <v>4128</v>
      </c>
      <c r="BF228" t="str">
        <f>HYPERLINK("http://dx.doi.org/10.1002/job.2001","http://dx.doi.org/10.1002/job.2001")</f>
        <v>http://dx.doi.org/10.1002/job.2001</v>
      </c>
      <c r="BG228" t="s">
        <v>74</v>
      </c>
      <c r="BH228" t="s">
        <v>74</v>
      </c>
      <c r="BI228">
        <v>25</v>
      </c>
      <c r="BJ228" t="s">
        <v>226</v>
      </c>
      <c r="BK228" t="s">
        <v>94</v>
      </c>
      <c r="BL228" t="s">
        <v>227</v>
      </c>
      <c r="BM228" t="s">
        <v>4129</v>
      </c>
      <c r="BN228" t="s">
        <v>74</v>
      </c>
      <c r="BO228" t="s">
        <v>74</v>
      </c>
      <c r="BP228" t="s">
        <v>74</v>
      </c>
      <c r="BQ228" t="s">
        <v>74</v>
      </c>
      <c r="BR228" t="s">
        <v>97</v>
      </c>
      <c r="BS228" t="s">
        <v>4130</v>
      </c>
      <c r="BT228" t="str">
        <f>HYPERLINK("https%3A%2F%2Fwww.webofscience.com%2Fwos%2Fwoscc%2Ffull-record%2FWOS:000357524800004","View Full Record in Web of Science")</f>
        <v>View Full Record in Web of Science</v>
      </c>
    </row>
    <row r="229" spans="1:72" x14ac:dyDescent="0.25">
      <c r="A229" t="s">
        <v>72</v>
      </c>
      <c r="B229" t="s">
        <v>4131</v>
      </c>
      <c r="C229" t="s">
        <v>74</v>
      </c>
      <c r="D229" t="s">
        <v>74</v>
      </c>
      <c r="E229" t="s">
        <v>74</v>
      </c>
      <c r="F229" t="s">
        <v>4132</v>
      </c>
      <c r="G229" t="s">
        <v>74</v>
      </c>
      <c r="H229" t="s">
        <v>74</v>
      </c>
      <c r="I229" t="s">
        <v>4133</v>
      </c>
      <c r="J229" t="s">
        <v>4134</v>
      </c>
      <c r="K229" t="s">
        <v>74</v>
      </c>
      <c r="L229" t="s">
        <v>74</v>
      </c>
      <c r="M229" t="s">
        <v>77</v>
      </c>
      <c r="N229" t="s">
        <v>78</v>
      </c>
      <c r="O229" t="s">
        <v>74</v>
      </c>
      <c r="P229" t="s">
        <v>74</v>
      </c>
      <c r="Q229" t="s">
        <v>74</v>
      </c>
      <c r="R229" t="s">
        <v>74</v>
      </c>
      <c r="S229" t="s">
        <v>74</v>
      </c>
      <c r="T229" t="s">
        <v>4135</v>
      </c>
      <c r="U229" t="s">
        <v>4136</v>
      </c>
      <c r="V229" t="s">
        <v>4137</v>
      </c>
      <c r="W229" t="s">
        <v>4138</v>
      </c>
      <c r="X229" t="s">
        <v>4139</v>
      </c>
      <c r="Y229" t="s">
        <v>4140</v>
      </c>
      <c r="Z229" t="s">
        <v>4141</v>
      </c>
      <c r="AA229" t="s">
        <v>4142</v>
      </c>
      <c r="AB229" t="s">
        <v>4143</v>
      </c>
      <c r="AC229" t="s">
        <v>74</v>
      </c>
      <c r="AD229" t="s">
        <v>74</v>
      </c>
      <c r="AE229" t="s">
        <v>74</v>
      </c>
      <c r="AF229" t="s">
        <v>74</v>
      </c>
      <c r="AG229">
        <v>89</v>
      </c>
      <c r="AH229">
        <v>40</v>
      </c>
      <c r="AI229">
        <v>43</v>
      </c>
      <c r="AJ229">
        <v>5</v>
      </c>
      <c r="AK229">
        <v>55</v>
      </c>
      <c r="AL229" t="s">
        <v>665</v>
      </c>
      <c r="AM229" t="s">
        <v>666</v>
      </c>
      <c r="AN229" t="s">
        <v>667</v>
      </c>
      <c r="AO229" t="s">
        <v>4144</v>
      </c>
      <c r="AP229" t="s">
        <v>4145</v>
      </c>
      <c r="AQ229" t="s">
        <v>74</v>
      </c>
      <c r="AR229" t="s">
        <v>4146</v>
      </c>
      <c r="AS229" t="s">
        <v>4147</v>
      </c>
      <c r="AT229" t="s">
        <v>74</v>
      </c>
      <c r="AU229">
        <v>2015</v>
      </c>
      <c r="AV229">
        <v>18</v>
      </c>
      <c r="AW229">
        <v>3</v>
      </c>
      <c r="AX229" t="s">
        <v>74</v>
      </c>
      <c r="AY229" t="s">
        <v>74</v>
      </c>
      <c r="AZ229" t="s">
        <v>74</v>
      </c>
      <c r="BA229" t="s">
        <v>74</v>
      </c>
      <c r="BB229">
        <v>397</v>
      </c>
      <c r="BC229" t="s">
        <v>2838</v>
      </c>
      <c r="BD229" t="s">
        <v>74</v>
      </c>
      <c r="BE229" t="s">
        <v>4148</v>
      </c>
      <c r="BF229" t="str">
        <f>HYPERLINK("http://dx.doi.org/10.1108/EJIM-03-2014-0027","http://dx.doi.org/10.1108/EJIM-03-2014-0027")</f>
        <v>http://dx.doi.org/10.1108/EJIM-03-2014-0027</v>
      </c>
      <c r="BG229" t="s">
        <v>74</v>
      </c>
      <c r="BH229" t="s">
        <v>74</v>
      </c>
      <c r="BI229">
        <v>24</v>
      </c>
      <c r="BJ229" t="s">
        <v>93</v>
      </c>
      <c r="BK229" t="s">
        <v>94</v>
      </c>
      <c r="BL229" t="s">
        <v>95</v>
      </c>
      <c r="BM229" t="s">
        <v>4149</v>
      </c>
      <c r="BN229" t="s">
        <v>74</v>
      </c>
      <c r="BO229" t="s">
        <v>74</v>
      </c>
      <c r="BP229" t="s">
        <v>74</v>
      </c>
      <c r="BQ229" t="s">
        <v>74</v>
      </c>
      <c r="BR229" t="s">
        <v>97</v>
      </c>
      <c r="BS229" t="s">
        <v>4150</v>
      </c>
      <c r="BT229" t="str">
        <f>HYPERLINK("https%3A%2F%2Fwww.webofscience.com%2Fwos%2Fwoscc%2Ffull-record%2FWOS:000212108800006","View Full Record in Web of Science")</f>
        <v>View Full Record in Web of Science</v>
      </c>
    </row>
    <row r="230" spans="1:72" x14ac:dyDescent="0.25">
      <c r="A230" t="s">
        <v>72</v>
      </c>
      <c r="B230" t="s">
        <v>4151</v>
      </c>
      <c r="C230" t="s">
        <v>74</v>
      </c>
      <c r="D230" t="s">
        <v>74</v>
      </c>
      <c r="E230" t="s">
        <v>74</v>
      </c>
      <c r="F230" t="s">
        <v>4152</v>
      </c>
      <c r="G230" t="s">
        <v>74</v>
      </c>
      <c r="H230" t="s">
        <v>74</v>
      </c>
      <c r="I230" t="s">
        <v>4153</v>
      </c>
      <c r="J230" t="s">
        <v>2326</v>
      </c>
      <c r="K230" t="s">
        <v>74</v>
      </c>
      <c r="L230" t="s">
        <v>74</v>
      </c>
      <c r="M230" t="s">
        <v>77</v>
      </c>
      <c r="N230" t="s">
        <v>78</v>
      </c>
      <c r="O230" t="s">
        <v>74</v>
      </c>
      <c r="P230" t="s">
        <v>74</v>
      </c>
      <c r="Q230" t="s">
        <v>74</v>
      </c>
      <c r="R230" t="s">
        <v>74</v>
      </c>
      <c r="S230" t="s">
        <v>74</v>
      </c>
      <c r="T230" t="s">
        <v>4154</v>
      </c>
      <c r="U230" t="s">
        <v>4155</v>
      </c>
      <c r="V230" t="s">
        <v>4156</v>
      </c>
      <c r="W230" t="s">
        <v>4157</v>
      </c>
      <c r="X230" t="s">
        <v>4158</v>
      </c>
      <c r="Y230" t="s">
        <v>4159</v>
      </c>
      <c r="Z230" t="s">
        <v>4160</v>
      </c>
      <c r="AA230" t="s">
        <v>4161</v>
      </c>
      <c r="AB230" t="s">
        <v>4162</v>
      </c>
      <c r="AC230" t="s">
        <v>4163</v>
      </c>
      <c r="AD230" t="s">
        <v>4164</v>
      </c>
      <c r="AE230" t="s">
        <v>4165</v>
      </c>
      <c r="AF230" t="s">
        <v>74</v>
      </c>
      <c r="AG230">
        <v>69</v>
      </c>
      <c r="AH230">
        <v>40</v>
      </c>
      <c r="AI230">
        <v>43</v>
      </c>
      <c r="AJ230">
        <v>2</v>
      </c>
      <c r="AK230">
        <v>102</v>
      </c>
      <c r="AL230" t="s">
        <v>511</v>
      </c>
      <c r="AM230" t="s">
        <v>435</v>
      </c>
      <c r="AN230" t="s">
        <v>512</v>
      </c>
      <c r="AO230" t="s">
        <v>2330</v>
      </c>
      <c r="AP230" t="s">
        <v>4166</v>
      </c>
      <c r="AQ230" t="s">
        <v>74</v>
      </c>
      <c r="AR230" t="s">
        <v>2326</v>
      </c>
      <c r="AS230" t="s">
        <v>2331</v>
      </c>
      <c r="AT230" t="s">
        <v>892</v>
      </c>
      <c r="AU230">
        <v>2012</v>
      </c>
      <c r="AV230">
        <v>32</v>
      </c>
      <c r="AW230">
        <v>1</v>
      </c>
      <c r="AX230" t="s">
        <v>74</v>
      </c>
      <c r="AY230" t="s">
        <v>74</v>
      </c>
      <c r="AZ230" t="s">
        <v>74</v>
      </c>
      <c r="BA230" t="s">
        <v>74</v>
      </c>
      <c r="BB230">
        <v>43</v>
      </c>
      <c r="BC230">
        <v>56</v>
      </c>
      <c r="BD230" t="s">
        <v>74</v>
      </c>
      <c r="BE230" t="s">
        <v>4167</v>
      </c>
      <c r="BF230" t="str">
        <f>HYPERLINK("http://dx.doi.org/10.1016/j.technovation.2011.07.009","http://dx.doi.org/10.1016/j.technovation.2011.07.009")</f>
        <v>http://dx.doi.org/10.1016/j.technovation.2011.07.009</v>
      </c>
      <c r="BG230" t="s">
        <v>74</v>
      </c>
      <c r="BH230" t="s">
        <v>74</v>
      </c>
      <c r="BI230">
        <v>14</v>
      </c>
      <c r="BJ230" t="s">
        <v>2333</v>
      </c>
      <c r="BK230" t="s">
        <v>147</v>
      </c>
      <c r="BL230" t="s">
        <v>1481</v>
      </c>
      <c r="BM230" t="s">
        <v>4168</v>
      </c>
      <c r="BN230" t="s">
        <v>74</v>
      </c>
      <c r="BO230" t="s">
        <v>74</v>
      </c>
      <c r="BP230" t="s">
        <v>74</v>
      </c>
      <c r="BQ230" t="s">
        <v>74</v>
      </c>
      <c r="BR230" t="s">
        <v>97</v>
      </c>
      <c r="BS230" t="s">
        <v>4169</v>
      </c>
      <c r="BT230" t="str">
        <f>HYPERLINK("https%3A%2F%2Fwww.webofscience.com%2Fwos%2Fwoscc%2Ffull-record%2FWOS:000298909000006","View Full Record in Web of Science")</f>
        <v>View Full Record in Web of Science</v>
      </c>
    </row>
    <row r="231" spans="1:72" x14ac:dyDescent="0.25">
      <c r="A231" t="s">
        <v>72</v>
      </c>
      <c r="B231" t="s">
        <v>4170</v>
      </c>
      <c r="C231" t="s">
        <v>74</v>
      </c>
      <c r="D231" t="s">
        <v>74</v>
      </c>
      <c r="E231" t="s">
        <v>74</v>
      </c>
      <c r="F231" t="s">
        <v>4171</v>
      </c>
      <c r="G231" t="s">
        <v>74</v>
      </c>
      <c r="H231" t="s">
        <v>74</v>
      </c>
      <c r="I231" t="s">
        <v>4172</v>
      </c>
      <c r="J231" t="s">
        <v>4173</v>
      </c>
      <c r="K231" t="s">
        <v>74</v>
      </c>
      <c r="L231" t="s">
        <v>74</v>
      </c>
      <c r="M231" t="s">
        <v>77</v>
      </c>
      <c r="N231" t="s">
        <v>78</v>
      </c>
      <c r="O231" t="s">
        <v>74</v>
      </c>
      <c r="P231" t="s">
        <v>74</v>
      </c>
      <c r="Q231" t="s">
        <v>74</v>
      </c>
      <c r="R231" t="s">
        <v>74</v>
      </c>
      <c r="S231" t="s">
        <v>74</v>
      </c>
      <c r="T231" t="s">
        <v>4174</v>
      </c>
      <c r="U231" t="s">
        <v>4175</v>
      </c>
      <c r="V231" t="s">
        <v>4176</v>
      </c>
      <c r="W231" t="s">
        <v>4177</v>
      </c>
      <c r="X231" t="s">
        <v>3214</v>
      </c>
      <c r="Y231" t="s">
        <v>4178</v>
      </c>
      <c r="Z231" t="s">
        <v>4179</v>
      </c>
      <c r="AA231" t="s">
        <v>4180</v>
      </c>
      <c r="AB231" t="s">
        <v>4181</v>
      </c>
      <c r="AC231" t="s">
        <v>74</v>
      </c>
      <c r="AD231" t="s">
        <v>74</v>
      </c>
      <c r="AE231" t="s">
        <v>74</v>
      </c>
      <c r="AF231" t="s">
        <v>74</v>
      </c>
      <c r="AG231">
        <v>37</v>
      </c>
      <c r="AH231">
        <v>40</v>
      </c>
      <c r="AI231">
        <v>41</v>
      </c>
      <c r="AJ231">
        <v>5</v>
      </c>
      <c r="AK231">
        <v>50</v>
      </c>
      <c r="AL231" t="s">
        <v>1099</v>
      </c>
      <c r="AM231" t="s">
        <v>305</v>
      </c>
      <c r="AN231" t="s">
        <v>1100</v>
      </c>
      <c r="AO231" t="s">
        <v>4182</v>
      </c>
      <c r="AP231" t="s">
        <v>4183</v>
      </c>
      <c r="AQ231" t="s">
        <v>74</v>
      </c>
      <c r="AR231" t="s">
        <v>4184</v>
      </c>
      <c r="AS231" t="s">
        <v>4185</v>
      </c>
      <c r="AT231" t="s">
        <v>74</v>
      </c>
      <c r="AU231">
        <v>2009</v>
      </c>
      <c r="AV231">
        <v>9</v>
      </c>
      <c r="AW231" t="s">
        <v>4024</v>
      </c>
      <c r="AX231" t="s">
        <v>74</v>
      </c>
      <c r="AY231" t="s">
        <v>74</v>
      </c>
      <c r="AZ231" t="s">
        <v>74</v>
      </c>
      <c r="BA231" t="s">
        <v>74</v>
      </c>
      <c r="BB231">
        <v>266</v>
      </c>
      <c r="BC231">
        <v>287</v>
      </c>
      <c r="BD231" t="s">
        <v>74</v>
      </c>
      <c r="BE231" t="s">
        <v>4186</v>
      </c>
      <c r="BF231" t="str">
        <f>HYPERLINK("http://dx.doi.org/10.1080/15022250903034406","http://dx.doi.org/10.1080/15022250903034406")</f>
        <v>http://dx.doi.org/10.1080/15022250903034406</v>
      </c>
      <c r="BG231" t="s">
        <v>74</v>
      </c>
      <c r="BH231" t="s">
        <v>74</v>
      </c>
      <c r="BI231">
        <v>22</v>
      </c>
      <c r="BJ231" t="s">
        <v>4187</v>
      </c>
      <c r="BK231" t="s">
        <v>94</v>
      </c>
      <c r="BL231" t="s">
        <v>4188</v>
      </c>
      <c r="BM231" t="s">
        <v>4189</v>
      </c>
      <c r="BN231" t="s">
        <v>74</v>
      </c>
      <c r="BO231" t="s">
        <v>74</v>
      </c>
      <c r="BP231" t="s">
        <v>74</v>
      </c>
      <c r="BQ231" t="s">
        <v>74</v>
      </c>
      <c r="BR231" t="s">
        <v>97</v>
      </c>
      <c r="BS231" t="s">
        <v>4190</v>
      </c>
      <c r="BT231" t="str">
        <f>HYPERLINK("https%3A%2F%2Fwww.webofscience.com%2Fwos%2Fwoscc%2Ffull-record%2FWOS:000272089300009","View Full Record in Web of Science")</f>
        <v>View Full Record in Web of Science</v>
      </c>
    </row>
    <row r="232" spans="1:72" x14ac:dyDescent="0.25">
      <c r="A232" t="s">
        <v>72</v>
      </c>
      <c r="B232" t="s">
        <v>4191</v>
      </c>
      <c r="C232" t="s">
        <v>74</v>
      </c>
      <c r="D232" t="s">
        <v>74</v>
      </c>
      <c r="E232" t="s">
        <v>74</v>
      </c>
      <c r="F232" t="s">
        <v>4192</v>
      </c>
      <c r="G232" t="s">
        <v>74</v>
      </c>
      <c r="H232" t="s">
        <v>74</v>
      </c>
      <c r="I232" t="s">
        <v>4193</v>
      </c>
      <c r="J232" t="s">
        <v>1112</v>
      </c>
      <c r="K232" t="s">
        <v>74</v>
      </c>
      <c r="L232" t="s">
        <v>74</v>
      </c>
      <c r="M232" t="s">
        <v>77</v>
      </c>
      <c r="N232" t="s">
        <v>78</v>
      </c>
      <c r="O232" t="s">
        <v>74</v>
      </c>
      <c r="P232" t="s">
        <v>74</v>
      </c>
      <c r="Q232" t="s">
        <v>74</v>
      </c>
      <c r="R232" t="s">
        <v>74</v>
      </c>
      <c r="S232" t="s">
        <v>74</v>
      </c>
      <c r="T232" t="s">
        <v>4194</v>
      </c>
      <c r="U232" t="s">
        <v>4195</v>
      </c>
      <c r="V232" t="s">
        <v>4196</v>
      </c>
      <c r="W232" t="s">
        <v>4197</v>
      </c>
      <c r="X232" t="s">
        <v>4198</v>
      </c>
      <c r="Y232" t="s">
        <v>4199</v>
      </c>
      <c r="Z232" t="s">
        <v>4200</v>
      </c>
      <c r="AA232" t="s">
        <v>74</v>
      </c>
      <c r="AB232" t="s">
        <v>74</v>
      </c>
      <c r="AC232" t="s">
        <v>74</v>
      </c>
      <c r="AD232" t="s">
        <v>74</v>
      </c>
      <c r="AE232" t="s">
        <v>74</v>
      </c>
      <c r="AF232" t="s">
        <v>74</v>
      </c>
      <c r="AG232">
        <v>121</v>
      </c>
      <c r="AH232">
        <v>39</v>
      </c>
      <c r="AI232">
        <v>39</v>
      </c>
      <c r="AJ232">
        <v>5</v>
      </c>
      <c r="AK232">
        <v>85</v>
      </c>
      <c r="AL232" t="s">
        <v>434</v>
      </c>
      <c r="AM232" t="s">
        <v>435</v>
      </c>
      <c r="AN232" t="s">
        <v>436</v>
      </c>
      <c r="AO232" t="s">
        <v>1118</v>
      </c>
      <c r="AP232" t="s">
        <v>1119</v>
      </c>
      <c r="AQ232" t="s">
        <v>74</v>
      </c>
      <c r="AR232" t="s">
        <v>1120</v>
      </c>
      <c r="AS232" t="s">
        <v>1121</v>
      </c>
      <c r="AT232" t="s">
        <v>496</v>
      </c>
      <c r="AU232">
        <v>2017</v>
      </c>
      <c r="AV232">
        <v>32</v>
      </c>
      <c r="AW232">
        <v>5</v>
      </c>
      <c r="AX232" t="s">
        <v>74</v>
      </c>
      <c r="AY232" t="s">
        <v>74</v>
      </c>
      <c r="AZ232" t="s">
        <v>74</v>
      </c>
      <c r="BA232" t="s">
        <v>74</v>
      </c>
      <c r="BB232">
        <v>588</v>
      </c>
      <c r="BC232">
        <v>610</v>
      </c>
      <c r="BD232" t="s">
        <v>74</v>
      </c>
      <c r="BE232" t="s">
        <v>4201</v>
      </c>
      <c r="BF232" t="str">
        <f>HYPERLINK("http://dx.doi.org/10.1016/j.jbusvent.2017.05.001","http://dx.doi.org/10.1016/j.jbusvent.2017.05.001")</f>
        <v>http://dx.doi.org/10.1016/j.jbusvent.2017.05.001</v>
      </c>
      <c r="BG232" t="s">
        <v>74</v>
      </c>
      <c r="BH232" t="s">
        <v>74</v>
      </c>
      <c r="BI232">
        <v>23</v>
      </c>
      <c r="BJ232" t="s">
        <v>337</v>
      </c>
      <c r="BK232" t="s">
        <v>94</v>
      </c>
      <c r="BL232" t="s">
        <v>95</v>
      </c>
      <c r="BM232" t="s">
        <v>4202</v>
      </c>
      <c r="BN232" t="s">
        <v>74</v>
      </c>
      <c r="BO232" t="s">
        <v>408</v>
      </c>
      <c r="BP232" t="s">
        <v>74</v>
      </c>
      <c r="BQ232" t="s">
        <v>74</v>
      </c>
      <c r="BR232" t="s">
        <v>97</v>
      </c>
      <c r="BS232" t="s">
        <v>4203</v>
      </c>
      <c r="BT232" t="str">
        <f>HYPERLINK("https%3A%2F%2Fwww.webofscience.com%2Fwos%2Fwoscc%2Ffull-record%2FWOS:000410013400008","View Full Record in Web of Science")</f>
        <v>View Full Record in Web of Science</v>
      </c>
    </row>
    <row r="233" spans="1:72" x14ac:dyDescent="0.25">
      <c r="A233" t="s">
        <v>72</v>
      </c>
      <c r="B233" t="s">
        <v>4204</v>
      </c>
      <c r="C233" t="s">
        <v>74</v>
      </c>
      <c r="D233" t="s">
        <v>74</v>
      </c>
      <c r="E233" t="s">
        <v>74</v>
      </c>
      <c r="F233" t="s">
        <v>4205</v>
      </c>
      <c r="G233" t="s">
        <v>74</v>
      </c>
      <c r="H233" t="s">
        <v>74</v>
      </c>
      <c r="I233" t="s">
        <v>4206</v>
      </c>
      <c r="J233" t="s">
        <v>4207</v>
      </c>
      <c r="K233" t="s">
        <v>74</v>
      </c>
      <c r="L233" t="s">
        <v>74</v>
      </c>
      <c r="M233" t="s">
        <v>77</v>
      </c>
      <c r="N233" t="s">
        <v>78</v>
      </c>
      <c r="O233" t="s">
        <v>74</v>
      </c>
      <c r="P233" t="s">
        <v>74</v>
      </c>
      <c r="Q233" t="s">
        <v>74</v>
      </c>
      <c r="R233" t="s">
        <v>74</v>
      </c>
      <c r="S233" t="s">
        <v>74</v>
      </c>
      <c r="T233" t="s">
        <v>4208</v>
      </c>
      <c r="U233" t="s">
        <v>4209</v>
      </c>
      <c r="V233" t="s">
        <v>4210</v>
      </c>
      <c r="W233" t="s">
        <v>4211</v>
      </c>
      <c r="X233" t="s">
        <v>4212</v>
      </c>
      <c r="Y233" t="s">
        <v>4213</v>
      </c>
      <c r="Z233" t="s">
        <v>4214</v>
      </c>
      <c r="AA233" t="s">
        <v>4215</v>
      </c>
      <c r="AB233" t="s">
        <v>4216</v>
      </c>
      <c r="AC233" t="s">
        <v>74</v>
      </c>
      <c r="AD233" t="s">
        <v>74</v>
      </c>
      <c r="AE233" t="s">
        <v>74</v>
      </c>
      <c r="AF233" t="s">
        <v>74</v>
      </c>
      <c r="AG233">
        <v>81</v>
      </c>
      <c r="AH233">
        <v>39</v>
      </c>
      <c r="AI233">
        <v>42</v>
      </c>
      <c r="AJ233">
        <v>6</v>
      </c>
      <c r="AK233">
        <v>112</v>
      </c>
      <c r="AL233" t="s">
        <v>350</v>
      </c>
      <c r="AM233" t="s">
        <v>351</v>
      </c>
      <c r="AN233" t="s">
        <v>352</v>
      </c>
      <c r="AO233" t="s">
        <v>4217</v>
      </c>
      <c r="AP233" t="s">
        <v>4218</v>
      </c>
      <c r="AQ233" t="s">
        <v>74</v>
      </c>
      <c r="AR233" t="s">
        <v>4219</v>
      </c>
      <c r="AS233" t="s">
        <v>4220</v>
      </c>
      <c r="AT233" t="s">
        <v>496</v>
      </c>
      <c r="AU233">
        <v>2016</v>
      </c>
      <c r="AV233">
        <v>52</v>
      </c>
      <c r="AW233">
        <v>3</v>
      </c>
      <c r="AX233" t="s">
        <v>74</v>
      </c>
      <c r="AY233" t="s">
        <v>74</v>
      </c>
      <c r="AZ233" t="s">
        <v>74</v>
      </c>
      <c r="BA233" t="s">
        <v>74</v>
      </c>
      <c r="BB233">
        <v>320</v>
      </c>
      <c r="BC233">
        <v>341</v>
      </c>
      <c r="BD233" t="s">
        <v>74</v>
      </c>
      <c r="BE233" t="s">
        <v>4221</v>
      </c>
      <c r="BF233" t="str">
        <f>HYPERLINK("http://dx.doi.org/10.1177/0021886316648774","http://dx.doi.org/10.1177/0021886316648774")</f>
        <v>http://dx.doi.org/10.1177/0021886316648774</v>
      </c>
      <c r="BG233" t="s">
        <v>74</v>
      </c>
      <c r="BH233" t="s">
        <v>74</v>
      </c>
      <c r="BI233">
        <v>22</v>
      </c>
      <c r="BJ233" t="s">
        <v>4222</v>
      </c>
      <c r="BK233" t="s">
        <v>94</v>
      </c>
      <c r="BL233" t="s">
        <v>4223</v>
      </c>
      <c r="BM233" t="s">
        <v>4224</v>
      </c>
      <c r="BN233">
        <v>27536008</v>
      </c>
      <c r="BO233" t="s">
        <v>4225</v>
      </c>
      <c r="BP233" t="s">
        <v>74</v>
      </c>
      <c r="BQ233" t="s">
        <v>74</v>
      </c>
      <c r="BR233" t="s">
        <v>97</v>
      </c>
      <c r="BS233" t="s">
        <v>4226</v>
      </c>
      <c r="BT233" t="str">
        <f>HYPERLINK("https%3A%2F%2Fwww.webofscience.com%2Fwos%2Fwoscc%2Ffull-record%2FWOS:000382213800003","View Full Record in Web of Science")</f>
        <v>View Full Record in Web of Science</v>
      </c>
    </row>
    <row r="234" spans="1:72" x14ac:dyDescent="0.25">
      <c r="A234" t="s">
        <v>72</v>
      </c>
      <c r="B234" t="s">
        <v>4227</v>
      </c>
      <c r="C234" t="s">
        <v>74</v>
      </c>
      <c r="D234" t="s">
        <v>74</v>
      </c>
      <c r="E234" t="s">
        <v>74</v>
      </c>
      <c r="F234" t="s">
        <v>4228</v>
      </c>
      <c r="G234" t="s">
        <v>74</v>
      </c>
      <c r="H234" t="s">
        <v>74</v>
      </c>
      <c r="I234" t="s">
        <v>4229</v>
      </c>
      <c r="J234" t="s">
        <v>1600</v>
      </c>
      <c r="K234" t="s">
        <v>74</v>
      </c>
      <c r="L234" t="s">
        <v>74</v>
      </c>
      <c r="M234" t="s">
        <v>77</v>
      </c>
      <c r="N234" t="s">
        <v>78</v>
      </c>
      <c r="O234" t="s">
        <v>74</v>
      </c>
      <c r="P234" t="s">
        <v>74</v>
      </c>
      <c r="Q234" t="s">
        <v>74</v>
      </c>
      <c r="R234" t="s">
        <v>74</v>
      </c>
      <c r="S234" t="s">
        <v>74</v>
      </c>
      <c r="T234" t="s">
        <v>4230</v>
      </c>
      <c r="U234" t="s">
        <v>4231</v>
      </c>
      <c r="V234" t="s">
        <v>4232</v>
      </c>
      <c r="W234" t="s">
        <v>4233</v>
      </c>
      <c r="X234" t="s">
        <v>4234</v>
      </c>
      <c r="Y234" t="s">
        <v>4235</v>
      </c>
      <c r="Z234" t="s">
        <v>4236</v>
      </c>
      <c r="AA234" t="s">
        <v>74</v>
      </c>
      <c r="AB234" t="s">
        <v>74</v>
      </c>
      <c r="AC234" t="s">
        <v>74</v>
      </c>
      <c r="AD234" t="s">
        <v>74</v>
      </c>
      <c r="AE234" t="s">
        <v>74</v>
      </c>
      <c r="AF234" t="s">
        <v>74</v>
      </c>
      <c r="AG234">
        <v>53</v>
      </c>
      <c r="AH234">
        <v>39</v>
      </c>
      <c r="AI234">
        <v>39</v>
      </c>
      <c r="AJ234">
        <v>2</v>
      </c>
      <c r="AK234">
        <v>81</v>
      </c>
      <c r="AL234" t="s">
        <v>1099</v>
      </c>
      <c r="AM234" t="s">
        <v>305</v>
      </c>
      <c r="AN234" t="s">
        <v>1100</v>
      </c>
      <c r="AO234" t="s">
        <v>1610</v>
      </c>
      <c r="AP234" t="s">
        <v>1611</v>
      </c>
      <c r="AQ234" t="s">
        <v>74</v>
      </c>
      <c r="AR234" t="s">
        <v>1612</v>
      </c>
      <c r="AS234" t="s">
        <v>1613</v>
      </c>
      <c r="AT234" t="s">
        <v>4237</v>
      </c>
      <c r="AU234">
        <v>2013</v>
      </c>
      <c r="AV234">
        <v>24</v>
      </c>
      <c r="AW234">
        <v>20</v>
      </c>
      <c r="AX234" t="s">
        <v>74</v>
      </c>
      <c r="AY234" t="s">
        <v>74</v>
      </c>
      <c r="AZ234" t="s">
        <v>74</v>
      </c>
      <c r="BA234" t="s">
        <v>74</v>
      </c>
      <c r="BB234">
        <v>3886</v>
      </c>
      <c r="BC234">
        <v>3902</v>
      </c>
      <c r="BD234" t="s">
        <v>74</v>
      </c>
      <c r="BE234" t="s">
        <v>4238</v>
      </c>
      <c r="BF234" t="str">
        <f>HYPERLINK("http://dx.doi.org/10.1080/09585192.2013.781519","http://dx.doi.org/10.1080/09585192.2013.781519")</f>
        <v>http://dx.doi.org/10.1080/09585192.2013.781519</v>
      </c>
      <c r="BG234" t="s">
        <v>74</v>
      </c>
      <c r="BH234" t="s">
        <v>74</v>
      </c>
      <c r="BI234">
        <v>17</v>
      </c>
      <c r="BJ234" t="s">
        <v>442</v>
      </c>
      <c r="BK234" t="s">
        <v>94</v>
      </c>
      <c r="BL234" t="s">
        <v>95</v>
      </c>
      <c r="BM234" t="s">
        <v>4239</v>
      </c>
      <c r="BN234" t="s">
        <v>74</v>
      </c>
      <c r="BO234" t="s">
        <v>74</v>
      </c>
      <c r="BP234" t="s">
        <v>74</v>
      </c>
      <c r="BQ234" t="s">
        <v>74</v>
      </c>
      <c r="BR234" t="s">
        <v>97</v>
      </c>
      <c r="BS234" t="s">
        <v>4240</v>
      </c>
      <c r="BT234" t="str">
        <f>HYPERLINK("https%3A%2F%2Fwww.webofscience.com%2Fwos%2Fwoscc%2Ffull-record%2FWOS:000325048400008","View Full Record in Web of Science")</f>
        <v>View Full Record in Web of Science</v>
      </c>
    </row>
    <row r="235" spans="1:72" x14ac:dyDescent="0.25">
      <c r="A235" t="s">
        <v>72</v>
      </c>
      <c r="B235" t="s">
        <v>4241</v>
      </c>
      <c r="C235" t="s">
        <v>74</v>
      </c>
      <c r="D235" t="s">
        <v>74</v>
      </c>
      <c r="E235" t="s">
        <v>74</v>
      </c>
      <c r="F235" t="s">
        <v>4242</v>
      </c>
      <c r="G235" t="s">
        <v>74</v>
      </c>
      <c r="H235" t="s">
        <v>74</v>
      </c>
      <c r="I235" t="s">
        <v>4243</v>
      </c>
      <c r="J235" t="s">
        <v>4244</v>
      </c>
      <c r="K235" t="s">
        <v>74</v>
      </c>
      <c r="L235" t="s">
        <v>74</v>
      </c>
      <c r="M235" t="s">
        <v>77</v>
      </c>
      <c r="N235" t="s">
        <v>78</v>
      </c>
      <c r="O235" t="s">
        <v>74</v>
      </c>
      <c r="P235" t="s">
        <v>74</v>
      </c>
      <c r="Q235" t="s">
        <v>74</v>
      </c>
      <c r="R235" t="s">
        <v>74</v>
      </c>
      <c r="S235" t="s">
        <v>74</v>
      </c>
      <c r="T235" t="s">
        <v>4245</v>
      </c>
      <c r="U235" t="s">
        <v>4246</v>
      </c>
      <c r="V235" t="s">
        <v>4247</v>
      </c>
      <c r="W235" t="s">
        <v>4248</v>
      </c>
      <c r="X235" t="s">
        <v>4249</v>
      </c>
      <c r="Y235" t="s">
        <v>4250</v>
      </c>
      <c r="Z235" t="s">
        <v>4251</v>
      </c>
      <c r="AA235" t="s">
        <v>4252</v>
      </c>
      <c r="AB235" t="s">
        <v>74</v>
      </c>
      <c r="AC235" t="s">
        <v>74</v>
      </c>
      <c r="AD235" t="s">
        <v>74</v>
      </c>
      <c r="AE235" t="s">
        <v>74</v>
      </c>
      <c r="AF235" t="s">
        <v>74</v>
      </c>
      <c r="AG235">
        <v>52</v>
      </c>
      <c r="AH235">
        <v>39</v>
      </c>
      <c r="AI235">
        <v>39</v>
      </c>
      <c r="AJ235">
        <v>0</v>
      </c>
      <c r="AK235">
        <v>42</v>
      </c>
      <c r="AL235" t="s">
        <v>4253</v>
      </c>
      <c r="AM235" t="s">
        <v>4254</v>
      </c>
      <c r="AN235" t="s">
        <v>4255</v>
      </c>
      <c r="AO235" t="s">
        <v>4256</v>
      </c>
      <c r="AP235" t="s">
        <v>74</v>
      </c>
      <c r="AQ235" t="s">
        <v>74</v>
      </c>
      <c r="AR235" t="s">
        <v>4257</v>
      </c>
      <c r="AS235" t="s">
        <v>4258</v>
      </c>
      <c r="AT235" t="s">
        <v>1812</v>
      </c>
      <c r="AU235">
        <v>2009</v>
      </c>
      <c r="AV235">
        <v>20</v>
      </c>
      <c r="AW235">
        <v>2</v>
      </c>
      <c r="AX235" t="s">
        <v>74</v>
      </c>
      <c r="AY235" t="s">
        <v>74</v>
      </c>
      <c r="AZ235" t="s">
        <v>74</v>
      </c>
      <c r="BA235" t="s">
        <v>74</v>
      </c>
      <c r="BB235">
        <v>352</v>
      </c>
      <c r="BC235">
        <v>367</v>
      </c>
      <c r="BD235" t="s">
        <v>74</v>
      </c>
      <c r="BE235" t="s">
        <v>4259</v>
      </c>
      <c r="BF235" t="str">
        <f>HYPERLINK("http://dx.doi.org/10.1287/orsc.1070.0332","http://dx.doi.org/10.1287/orsc.1070.0332")</f>
        <v>http://dx.doi.org/10.1287/orsc.1070.0332</v>
      </c>
      <c r="BG235" t="s">
        <v>74</v>
      </c>
      <c r="BH235" t="s">
        <v>74</v>
      </c>
      <c r="BI235">
        <v>16</v>
      </c>
      <c r="BJ235" t="s">
        <v>442</v>
      </c>
      <c r="BK235" t="s">
        <v>94</v>
      </c>
      <c r="BL235" t="s">
        <v>95</v>
      </c>
      <c r="BM235" t="s">
        <v>4260</v>
      </c>
      <c r="BN235" t="s">
        <v>74</v>
      </c>
      <c r="BO235" t="s">
        <v>74</v>
      </c>
      <c r="BP235" t="s">
        <v>74</v>
      </c>
      <c r="BQ235" t="s">
        <v>74</v>
      </c>
      <c r="BR235" t="s">
        <v>97</v>
      </c>
      <c r="BS235" t="s">
        <v>4261</v>
      </c>
      <c r="BT235" t="str">
        <f>HYPERLINK("https%3A%2F%2Fwww.webofscience.com%2Fwos%2Fwoscc%2Ffull-record%2FWOS:000264892700005","View Full Record in Web of Science")</f>
        <v>View Full Record in Web of Science</v>
      </c>
    </row>
    <row r="236" spans="1:72" x14ac:dyDescent="0.25">
      <c r="A236" t="s">
        <v>72</v>
      </c>
      <c r="B236" t="s">
        <v>4262</v>
      </c>
      <c r="C236" t="s">
        <v>74</v>
      </c>
      <c r="D236" t="s">
        <v>74</v>
      </c>
      <c r="E236" t="s">
        <v>74</v>
      </c>
      <c r="F236" t="s">
        <v>4263</v>
      </c>
      <c r="G236" t="s">
        <v>74</v>
      </c>
      <c r="H236" t="s">
        <v>74</v>
      </c>
      <c r="I236" t="s">
        <v>4264</v>
      </c>
      <c r="J236" t="s">
        <v>4207</v>
      </c>
      <c r="K236" t="s">
        <v>74</v>
      </c>
      <c r="L236" t="s">
        <v>74</v>
      </c>
      <c r="M236" t="s">
        <v>77</v>
      </c>
      <c r="N236" t="s">
        <v>78</v>
      </c>
      <c r="O236" t="s">
        <v>74</v>
      </c>
      <c r="P236" t="s">
        <v>74</v>
      </c>
      <c r="Q236" t="s">
        <v>74</v>
      </c>
      <c r="R236" t="s">
        <v>74</v>
      </c>
      <c r="S236" t="s">
        <v>74</v>
      </c>
      <c r="T236" t="s">
        <v>4265</v>
      </c>
      <c r="U236" t="s">
        <v>4266</v>
      </c>
      <c r="V236" t="s">
        <v>4267</v>
      </c>
      <c r="W236" t="s">
        <v>4268</v>
      </c>
      <c r="X236" t="s">
        <v>4269</v>
      </c>
      <c r="Y236" t="s">
        <v>4270</v>
      </c>
      <c r="Z236" t="s">
        <v>4271</v>
      </c>
      <c r="AA236" t="s">
        <v>74</v>
      </c>
      <c r="AB236" t="s">
        <v>4272</v>
      </c>
      <c r="AC236" t="s">
        <v>4269</v>
      </c>
      <c r="AD236" t="s">
        <v>4269</v>
      </c>
      <c r="AE236" t="s">
        <v>4273</v>
      </c>
      <c r="AF236" t="s">
        <v>74</v>
      </c>
      <c r="AG236">
        <v>65</v>
      </c>
      <c r="AH236">
        <v>38</v>
      </c>
      <c r="AI236">
        <v>39</v>
      </c>
      <c r="AJ236">
        <v>32</v>
      </c>
      <c r="AK236">
        <v>133</v>
      </c>
      <c r="AL236" t="s">
        <v>350</v>
      </c>
      <c r="AM236" t="s">
        <v>351</v>
      </c>
      <c r="AN236" t="s">
        <v>352</v>
      </c>
      <c r="AO236" t="s">
        <v>4217</v>
      </c>
      <c r="AP236" t="s">
        <v>4218</v>
      </c>
      <c r="AQ236" t="s">
        <v>74</v>
      </c>
      <c r="AR236" t="s">
        <v>4219</v>
      </c>
      <c r="AS236" t="s">
        <v>4220</v>
      </c>
      <c r="AT236" t="s">
        <v>496</v>
      </c>
      <c r="AU236">
        <v>2020</v>
      </c>
      <c r="AV236">
        <v>56</v>
      </c>
      <c r="AW236">
        <v>3</v>
      </c>
      <c r="AX236" t="s">
        <v>74</v>
      </c>
      <c r="AY236" t="s">
        <v>74</v>
      </c>
      <c r="AZ236" t="s">
        <v>860</v>
      </c>
      <c r="BA236" t="s">
        <v>74</v>
      </c>
      <c r="BB236">
        <v>347</v>
      </c>
      <c r="BC236">
        <v>366</v>
      </c>
      <c r="BD236">
        <v>21886319888267</v>
      </c>
      <c r="BE236" t="s">
        <v>4274</v>
      </c>
      <c r="BF236" t="str">
        <f>HYPERLINK("http://dx.doi.org/10.1177/0021886319888267","http://dx.doi.org/10.1177/0021886319888267")</f>
        <v>http://dx.doi.org/10.1177/0021886319888267</v>
      </c>
      <c r="BG236" t="s">
        <v>74</v>
      </c>
      <c r="BH236" t="s">
        <v>4275</v>
      </c>
      <c r="BI236">
        <v>20</v>
      </c>
      <c r="BJ236" t="s">
        <v>4222</v>
      </c>
      <c r="BK236" t="s">
        <v>94</v>
      </c>
      <c r="BL236" t="s">
        <v>4223</v>
      </c>
      <c r="BM236" t="s">
        <v>4276</v>
      </c>
      <c r="BN236" t="s">
        <v>74</v>
      </c>
      <c r="BO236" t="s">
        <v>408</v>
      </c>
      <c r="BP236" t="s">
        <v>74</v>
      </c>
      <c r="BQ236" t="s">
        <v>74</v>
      </c>
      <c r="BR236" t="s">
        <v>97</v>
      </c>
      <c r="BS236" t="s">
        <v>4277</v>
      </c>
      <c r="BT236" t="str">
        <f>HYPERLINK("https%3A%2F%2Fwww.webofscience.com%2Fwos%2Fwoscc%2Ffull-record%2FWOS:000496389200001","View Full Record in Web of Science")</f>
        <v>View Full Record in Web of Science</v>
      </c>
    </row>
    <row r="237" spans="1:72" x14ac:dyDescent="0.25">
      <c r="A237" t="s">
        <v>72</v>
      </c>
      <c r="B237" t="s">
        <v>4278</v>
      </c>
      <c r="C237" t="s">
        <v>74</v>
      </c>
      <c r="D237" t="s">
        <v>74</v>
      </c>
      <c r="E237" t="s">
        <v>74</v>
      </c>
      <c r="F237" t="s">
        <v>4279</v>
      </c>
      <c r="G237" t="s">
        <v>74</v>
      </c>
      <c r="H237" t="s">
        <v>74</v>
      </c>
      <c r="I237" t="s">
        <v>4280</v>
      </c>
      <c r="J237" t="s">
        <v>779</v>
      </c>
      <c r="K237" t="s">
        <v>74</v>
      </c>
      <c r="L237" t="s">
        <v>74</v>
      </c>
      <c r="M237" t="s">
        <v>77</v>
      </c>
      <c r="N237" t="s">
        <v>78</v>
      </c>
      <c r="O237" t="s">
        <v>74</v>
      </c>
      <c r="P237" t="s">
        <v>74</v>
      </c>
      <c r="Q237" t="s">
        <v>74</v>
      </c>
      <c r="R237" t="s">
        <v>74</v>
      </c>
      <c r="S237" t="s">
        <v>74</v>
      </c>
      <c r="T237" t="s">
        <v>74</v>
      </c>
      <c r="U237" t="s">
        <v>4281</v>
      </c>
      <c r="V237" t="s">
        <v>4282</v>
      </c>
      <c r="W237" t="s">
        <v>4283</v>
      </c>
      <c r="X237" t="s">
        <v>4284</v>
      </c>
      <c r="Y237" t="s">
        <v>4285</v>
      </c>
      <c r="Z237" t="s">
        <v>4286</v>
      </c>
      <c r="AA237" t="s">
        <v>74</v>
      </c>
      <c r="AB237" t="s">
        <v>74</v>
      </c>
      <c r="AC237" t="s">
        <v>74</v>
      </c>
      <c r="AD237" t="s">
        <v>74</v>
      </c>
      <c r="AE237" t="s">
        <v>74</v>
      </c>
      <c r="AF237" t="s">
        <v>74</v>
      </c>
      <c r="AG237">
        <v>89</v>
      </c>
      <c r="AH237">
        <v>38</v>
      </c>
      <c r="AI237">
        <v>38</v>
      </c>
      <c r="AJ237">
        <v>9</v>
      </c>
      <c r="AK237">
        <v>132</v>
      </c>
      <c r="AL237" t="s">
        <v>218</v>
      </c>
      <c r="AM237" t="s">
        <v>219</v>
      </c>
      <c r="AN237" t="s">
        <v>220</v>
      </c>
      <c r="AO237" t="s">
        <v>789</v>
      </c>
      <c r="AP237" t="s">
        <v>1320</v>
      </c>
      <c r="AQ237" t="s">
        <v>74</v>
      </c>
      <c r="AR237" t="s">
        <v>790</v>
      </c>
      <c r="AS237" t="s">
        <v>791</v>
      </c>
      <c r="AT237" t="s">
        <v>165</v>
      </c>
      <c r="AU237">
        <v>2016</v>
      </c>
      <c r="AV237">
        <v>33</v>
      </c>
      <c r="AW237">
        <v>3</v>
      </c>
      <c r="AX237" t="s">
        <v>74</v>
      </c>
      <c r="AY237" t="s">
        <v>74</v>
      </c>
      <c r="AZ237" t="s">
        <v>74</v>
      </c>
      <c r="BA237" t="s">
        <v>74</v>
      </c>
      <c r="BB237">
        <v>244</v>
      </c>
      <c r="BC237">
        <v>259</v>
      </c>
      <c r="BD237" t="s">
        <v>74</v>
      </c>
      <c r="BE237" t="s">
        <v>4287</v>
      </c>
      <c r="BF237" t="str">
        <f>HYPERLINK("http://dx.doi.org/10.1111/jpim.12267","http://dx.doi.org/10.1111/jpim.12267")</f>
        <v>http://dx.doi.org/10.1111/jpim.12267</v>
      </c>
      <c r="BG237" t="s">
        <v>74</v>
      </c>
      <c r="BH237" t="s">
        <v>74</v>
      </c>
      <c r="BI237">
        <v>16</v>
      </c>
      <c r="BJ237" t="s">
        <v>794</v>
      </c>
      <c r="BK237" t="s">
        <v>147</v>
      </c>
      <c r="BL237" t="s">
        <v>795</v>
      </c>
      <c r="BM237" t="s">
        <v>4288</v>
      </c>
      <c r="BN237" t="s">
        <v>74</v>
      </c>
      <c r="BO237" t="s">
        <v>74</v>
      </c>
      <c r="BP237" t="s">
        <v>74</v>
      </c>
      <c r="BQ237" t="s">
        <v>74</v>
      </c>
      <c r="BR237" t="s">
        <v>97</v>
      </c>
      <c r="BS237" t="s">
        <v>4289</v>
      </c>
      <c r="BT237" t="str">
        <f>HYPERLINK("https%3A%2F%2Fwww.webofscience.com%2Fwos%2Fwoscc%2Ffull-record%2FWOS:000374048700001","View Full Record in Web of Science")</f>
        <v>View Full Record in Web of Science</v>
      </c>
    </row>
    <row r="238" spans="1:72" x14ac:dyDescent="0.25">
      <c r="A238" t="s">
        <v>72</v>
      </c>
      <c r="B238" t="s">
        <v>4290</v>
      </c>
      <c r="C238" t="s">
        <v>74</v>
      </c>
      <c r="D238" t="s">
        <v>74</v>
      </c>
      <c r="E238" t="s">
        <v>74</v>
      </c>
      <c r="F238" t="s">
        <v>4291</v>
      </c>
      <c r="G238" t="s">
        <v>74</v>
      </c>
      <c r="H238" t="s">
        <v>74</v>
      </c>
      <c r="I238" t="s">
        <v>4292</v>
      </c>
      <c r="J238" t="s">
        <v>424</v>
      </c>
      <c r="K238" t="s">
        <v>74</v>
      </c>
      <c r="L238" t="s">
        <v>74</v>
      </c>
      <c r="M238" t="s">
        <v>77</v>
      </c>
      <c r="N238" t="s">
        <v>78</v>
      </c>
      <c r="O238" t="s">
        <v>74</v>
      </c>
      <c r="P238" t="s">
        <v>74</v>
      </c>
      <c r="Q238" t="s">
        <v>74</v>
      </c>
      <c r="R238" t="s">
        <v>74</v>
      </c>
      <c r="S238" t="s">
        <v>74</v>
      </c>
      <c r="T238" t="s">
        <v>4293</v>
      </c>
      <c r="U238" t="s">
        <v>4294</v>
      </c>
      <c r="V238" t="s">
        <v>4295</v>
      </c>
      <c r="W238" t="s">
        <v>4296</v>
      </c>
      <c r="X238" t="s">
        <v>4297</v>
      </c>
      <c r="Y238" t="s">
        <v>4298</v>
      </c>
      <c r="Z238" t="s">
        <v>4299</v>
      </c>
      <c r="AA238" t="s">
        <v>74</v>
      </c>
      <c r="AB238" t="s">
        <v>74</v>
      </c>
      <c r="AC238" t="s">
        <v>4300</v>
      </c>
      <c r="AD238" t="s">
        <v>4300</v>
      </c>
      <c r="AE238" t="s">
        <v>4301</v>
      </c>
      <c r="AF238" t="s">
        <v>74</v>
      </c>
      <c r="AG238">
        <v>56</v>
      </c>
      <c r="AH238">
        <v>38</v>
      </c>
      <c r="AI238">
        <v>39</v>
      </c>
      <c r="AJ238">
        <v>13</v>
      </c>
      <c r="AK238">
        <v>154</v>
      </c>
      <c r="AL238" t="s">
        <v>511</v>
      </c>
      <c r="AM238" t="s">
        <v>435</v>
      </c>
      <c r="AN238" t="s">
        <v>512</v>
      </c>
      <c r="AO238" t="s">
        <v>437</v>
      </c>
      <c r="AP238" t="s">
        <v>438</v>
      </c>
      <c r="AQ238" t="s">
        <v>74</v>
      </c>
      <c r="AR238" t="s">
        <v>439</v>
      </c>
      <c r="AS238" t="s">
        <v>440</v>
      </c>
      <c r="AT238" t="s">
        <v>405</v>
      </c>
      <c r="AU238">
        <v>2016</v>
      </c>
      <c r="AV238">
        <v>45</v>
      </c>
      <c r="AW238">
        <v>1</v>
      </c>
      <c r="AX238" t="s">
        <v>74</v>
      </c>
      <c r="AY238" t="s">
        <v>74</v>
      </c>
      <c r="AZ238" t="s">
        <v>74</v>
      </c>
      <c r="BA238" t="s">
        <v>74</v>
      </c>
      <c r="BB238">
        <v>148</v>
      </c>
      <c r="BC238">
        <v>158</v>
      </c>
      <c r="BD238" t="s">
        <v>74</v>
      </c>
      <c r="BE238" t="s">
        <v>4302</v>
      </c>
      <c r="BF238" t="str">
        <f>HYPERLINK("http://dx.doi.org/10.1016/j.respol.2015.07.007","http://dx.doi.org/10.1016/j.respol.2015.07.007")</f>
        <v>http://dx.doi.org/10.1016/j.respol.2015.07.007</v>
      </c>
      <c r="BG238" t="s">
        <v>74</v>
      </c>
      <c r="BH238" t="s">
        <v>74</v>
      </c>
      <c r="BI238">
        <v>11</v>
      </c>
      <c r="BJ238" t="s">
        <v>442</v>
      </c>
      <c r="BK238" t="s">
        <v>94</v>
      </c>
      <c r="BL238" t="s">
        <v>95</v>
      </c>
      <c r="BM238" t="s">
        <v>4303</v>
      </c>
      <c r="BN238" t="s">
        <v>74</v>
      </c>
      <c r="BO238" t="s">
        <v>74</v>
      </c>
      <c r="BP238" t="s">
        <v>74</v>
      </c>
      <c r="BQ238" t="s">
        <v>74</v>
      </c>
      <c r="BR238" t="s">
        <v>97</v>
      </c>
      <c r="BS238" t="s">
        <v>4304</v>
      </c>
      <c r="BT238" t="str">
        <f>HYPERLINK("https%3A%2F%2Fwww.webofscience.com%2Fwos%2Fwoscc%2Ffull-record%2FWOS:000367484100012","View Full Record in Web of Science")</f>
        <v>View Full Record in Web of Science</v>
      </c>
    </row>
    <row r="239" spans="1:72" x14ac:dyDescent="0.25">
      <c r="A239" t="s">
        <v>72</v>
      </c>
      <c r="B239" t="s">
        <v>4305</v>
      </c>
      <c r="C239" t="s">
        <v>74</v>
      </c>
      <c r="D239" t="s">
        <v>74</v>
      </c>
      <c r="E239" t="s">
        <v>74</v>
      </c>
      <c r="F239" t="s">
        <v>4306</v>
      </c>
      <c r="G239" t="s">
        <v>74</v>
      </c>
      <c r="H239" t="s">
        <v>74</v>
      </c>
      <c r="I239" t="s">
        <v>4307</v>
      </c>
      <c r="J239" t="s">
        <v>424</v>
      </c>
      <c r="K239" t="s">
        <v>74</v>
      </c>
      <c r="L239" t="s">
        <v>74</v>
      </c>
      <c r="M239" t="s">
        <v>77</v>
      </c>
      <c r="N239" t="s">
        <v>78</v>
      </c>
      <c r="O239" t="s">
        <v>74</v>
      </c>
      <c r="P239" t="s">
        <v>74</v>
      </c>
      <c r="Q239" t="s">
        <v>74</v>
      </c>
      <c r="R239" t="s">
        <v>74</v>
      </c>
      <c r="S239" t="s">
        <v>74</v>
      </c>
      <c r="T239" t="s">
        <v>4308</v>
      </c>
      <c r="U239" t="s">
        <v>4309</v>
      </c>
      <c r="V239" t="s">
        <v>4310</v>
      </c>
      <c r="W239" t="s">
        <v>4311</v>
      </c>
      <c r="X239" t="s">
        <v>4312</v>
      </c>
      <c r="Y239" t="s">
        <v>4313</v>
      </c>
      <c r="Z239" t="s">
        <v>4314</v>
      </c>
      <c r="AA239" t="s">
        <v>4315</v>
      </c>
      <c r="AB239" t="s">
        <v>4316</v>
      </c>
      <c r="AC239" t="s">
        <v>4317</v>
      </c>
      <c r="AD239" t="s">
        <v>4318</v>
      </c>
      <c r="AE239" t="s">
        <v>4319</v>
      </c>
      <c r="AF239" t="s">
        <v>74</v>
      </c>
      <c r="AG239">
        <v>57</v>
      </c>
      <c r="AH239">
        <v>38</v>
      </c>
      <c r="AI239">
        <v>41</v>
      </c>
      <c r="AJ239">
        <v>6</v>
      </c>
      <c r="AK239">
        <v>108</v>
      </c>
      <c r="AL239" t="s">
        <v>511</v>
      </c>
      <c r="AM239" t="s">
        <v>435</v>
      </c>
      <c r="AN239" t="s">
        <v>512</v>
      </c>
      <c r="AO239" t="s">
        <v>437</v>
      </c>
      <c r="AP239" t="s">
        <v>438</v>
      </c>
      <c r="AQ239" t="s">
        <v>74</v>
      </c>
      <c r="AR239" t="s">
        <v>439</v>
      </c>
      <c r="AS239" t="s">
        <v>440</v>
      </c>
      <c r="AT239" t="s">
        <v>122</v>
      </c>
      <c r="AU239">
        <v>2015</v>
      </c>
      <c r="AV239">
        <v>44</v>
      </c>
      <c r="AW239">
        <v>3</v>
      </c>
      <c r="AX239" t="s">
        <v>74</v>
      </c>
      <c r="AY239" t="s">
        <v>74</v>
      </c>
      <c r="AZ239" t="s">
        <v>74</v>
      </c>
      <c r="BA239" t="s">
        <v>74</v>
      </c>
      <c r="BB239">
        <v>698</v>
      </c>
      <c r="BC239">
        <v>710</v>
      </c>
      <c r="BD239" t="s">
        <v>74</v>
      </c>
      <c r="BE239" t="s">
        <v>4320</v>
      </c>
      <c r="BF239" t="str">
        <f>HYPERLINK("http://dx.doi.org/10.1016/j.respol.2014.10.010","http://dx.doi.org/10.1016/j.respol.2014.10.010")</f>
        <v>http://dx.doi.org/10.1016/j.respol.2014.10.010</v>
      </c>
      <c r="BG239" t="s">
        <v>74</v>
      </c>
      <c r="BH239" t="s">
        <v>74</v>
      </c>
      <c r="BI239">
        <v>13</v>
      </c>
      <c r="BJ239" t="s">
        <v>442</v>
      </c>
      <c r="BK239" t="s">
        <v>94</v>
      </c>
      <c r="BL239" t="s">
        <v>95</v>
      </c>
      <c r="BM239" t="s">
        <v>846</v>
      </c>
      <c r="BN239" t="s">
        <v>74</v>
      </c>
      <c r="BO239" t="s">
        <v>111</v>
      </c>
      <c r="BP239" t="s">
        <v>74</v>
      </c>
      <c r="BQ239" t="s">
        <v>74</v>
      </c>
      <c r="BR239" t="s">
        <v>97</v>
      </c>
      <c r="BS239" t="s">
        <v>4321</v>
      </c>
      <c r="BT239" t="str">
        <f>HYPERLINK("https%3A%2F%2Fwww.webofscience.com%2Fwos%2Fwoscc%2Ffull-record%2FWOS:000350837800011","View Full Record in Web of Science")</f>
        <v>View Full Record in Web of Science</v>
      </c>
    </row>
    <row r="240" spans="1:72" x14ac:dyDescent="0.25">
      <c r="A240" t="s">
        <v>72</v>
      </c>
      <c r="B240" t="s">
        <v>4322</v>
      </c>
      <c r="C240" t="s">
        <v>74</v>
      </c>
      <c r="D240" t="s">
        <v>74</v>
      </c>
      <c r="E240" t="s">
        <v>74</v>
      </c>
      <c r="F240" t="s">
        <v>4323</v>
      </c>
      <c r="G240" t="s">
        <v>74</v>
      </c>
      <c r="H240" t="s">
        <v>74</v>
      </c>
      <c r="I240" t="s">
        <v>4324</v>
      </c>
      <c r="J240" t="s">
        <v>4325</v>
      </c>
      <c r="K240" t="s">
        <v>74</v>
      </c>
      <c r="L240" t="s">
        <v>74</v>
      </c>
      <c r="M240" t="s">
        <v>77</v>
      </c>
      <c r="N240" t="s">
        <v>78</v>
      </c>
      <c r="O240" t="s">
        <v>74</v>
      </c>
      <c r="P240" t="s">
        <v>74</v>
      </c>
      <c r="Q240" t="s">
        <v>74</v>
      </c>
      <c r="R240" t="s">
        <v>74</v>
      </c>
      <c r="S240" t="s">
        <v>74</v>
      </c>
      <c r="T240" t="s">
        <v>74</v>
      </c>
      <c r="U240" t="s">
        <v>4326</v>
      </c>
      <c r="V240" t="s">
        <v>4327</v>
      </c>
      <c r="W240" t="s">
        <v>4328</v>
      </c>
      <c r="X240" t="s">
        <v>4329</v>
      </c>
      <c r="Y240" t="s">
        <v>4330</v>
      </c>
      <c r="Z240" t="s">
        <v>4331</v>
      </c>
      <c r="AA240" t="s">
        <v>74</v>
      </c>
      <c r="AB240" t="s">
        <v>74</v>
      </c>
      <c r="AC240" t="s">
        <v>74</v>
      </c>
      <c r="AD240" t="s">
        <v>74</v>
      </c>
      <c r="AE240" t="s">
        <v>74</v>
      </c>
      <c r="AF240" t="s">
        <v>74</v>
      </c>
      <c r="AG240">
        <v>60</v>
      </c>
      <c r="AH240">
        <v>37</v>
      </c>
      <c r="AI240">
        <v>38</v>
      </c>
      <c r="AJ240">
        <v>4</v>
      </c>
      <c r="AK240">
        <v>68</v>
      </c>
      <c r="AL240" t="s">
        <v>218</v>
      </c>
      <c r="AM240" t="s">
        <v>219</v>
      </c>
      <c r="AN240" t="s">
        <v>220</v>
      </c>
      <c r="AO240" t="s">
        <v>4332</v>
      </c>
      <c r="AP240" t="s">
        <v>4333</v>
      </c>
      <c r="AQ240" t="s">
        <v>74</v>
      </c>
      <c r="AR240" t="s">
        <v>4334</v>
      </c>
      <c r="AS240" t="s">
        <v>4335</v>
      </c>
      <c r="AT240" t="s">
        <v>91</v>
      </c>
      <c r="AU240">
        <v>2019</v>
      </c>
      <c r="AV240">
        <v>28</v>
      </c>
      <c r="AW240">
        <v>2</v>
      </c>
      <c r="AX240" t="s">
        <v>74</v>
      </c>
      <c r="AY240" t="s">
        <v>74</v>
      </c>
      <c r="AZ240" t="s">
        <v>74</v>
      </c>
      <c r="BA240" t="s">
        <v>74</v>
      </c>
      <c r="BB240">
        <v>230</v>
      </c>
      <c r="BC240">
        <v>239</v>
      </c>
      <c r="BD240" t="s">
        <v>74</v>
      </c>
      <c r="BE240" t="s">
        <v>4336</v>
      </c>
      <c r="BF240" t="str">
        <f>HYPERLINK("http://dx.doi.org/10.1111/caim.12304","http://dx.doi.org/10.1111/caim.12304")</f>
        <v>http://dx.doi.org/10.1111/caim.12304</v>
      </c>
      <c r="BG240" t="s">
        <v>74</v>
      </c>
      <c r="BH240" t="s">
        <v>74</v>
      </c>
      <c r="BI240">
        <v>10</v>
      </c>
      <c r="BJ240" t="s">
        <v>442</v>
      </c>
      <c r="BK240" t="s">
        <v>94</v>
      </c>
      <c r="BL240" t="s">
        <v>95</v>
      </c>
      <c r="BM240" t="s">
        <v>4337</v>
      </c>
      <c r="BN240" t="s">
        <v>74</v>
      </c>
      <c r="BO240" t="s">
        <v>74</v>
      </c>
      <c r="BP240" t="s">
        <v>74</v>
      </c>
      <c r="BQ240" t="s">
        <v>74</v>
      </c>
      <c r="BR240" t="s">
        <v>97</v>
      </c>
      <c r="BS240" t="s">
        <v>4338</v>
      </c>
      <c r="BT240" t="str">
        <f>HYPERLINK("https%3A%2F%2Fwww.webofscience.com%2Fwos%2Fwoscc%2Ffull-record%2FWOS:000469267200008","View Full Record in Web of Science")</f>
        <v>View Full Record in Web of Science</v>
      </c>
    </row>
    <row r="241" spans="1:72" x14ac:dyDescent="0.25">
      <c r="A241" t="s">
        <v>72</v>
      </c>
      <c r="B241" t="s">
        <v>4339</v>
      </c>
      <c r="C241" t="s">
        <v>74</v>
      </c>
      <c r="D241" t="s">
        <v>74</v>
      </c>
      <c r="E241" t="s">
        <v>74</v>
      </c>
      <c r="F241" t="s">
        <v>4340</v>
      </c>
      <c r="G241" t="s">
        <v>74</v>
      </c>
      <c r="H241" t="s">
        <v>74</v>
      </c>
      <c r="I241" t="s">
        <v>4341</v>
      </c>
      <c r="J241" t="s">
        <v>4342</v>
      </c>
      <c r="K241" t="s">
        <v>74</v>
      </c>
      <c r="L241" t="s">
        <v>74</v>
      </c>
      <c r="M241" t="s">
        <v>77</v>
      </c>
      <c r="N241" t="s">
        <v>78</v>
      </c>
      <c r="O241" t="s">
        <v>74</v>
      </c>
      <c r="P241" t="s">
        <v>74</v>
      </c>
      <c r="Q241" t="s">
        <v>74</v>
      </c>
      <c r="R241" t="s">
        <v>74</v>
      </c>
      <c r="S241" t="s">
        <v>74</v>
      </c>
      <c r="T241" t="s">
        <v>4343</v>
      </c>
      <c r="U241" t="s">
        <v>4344</v>
      </c>
      <c r="V241" t="s">
        <v>4345</v>
      </c>
      <c r="W241" t="s">
        <v>4346</v>
      </c>
      <c r="X241" t="s">
        <v>4347</v>
      </c>
      <c r="Y241" t="s">
        <v>4348</v>
      </c>
      <c r="Z241" t="s">
        <v>4349</v>
      </c>
      <c r="AA241" t="s">
        <v>4350</v>
      </c>
      <c r="AB241" t="s">
        <v>4351</v>
      </c>
      <c r="AC241" t="s">
        <v>74</v>
      </c>
      <c r="AD241" t="s">
        <v>74</v>
      </c>
      <c r="AE241" t="s">
        <v>74</v>
      </c>
      <c r="AF241" t="s">
        <v>74</v>
      </c>
      <c r="AG241">
        <v>131</v>
      </c>
      <c r="AH241">
        <v>37</v>
      </c>
      <c r="AI241">
        <v>38</v>
      </c>
      <c r="AJ241">
        <v>3</v>
      </c>
      <c r="AK241">
        <v>67</v>
      </c>
      <c r="AL241" t="s">
        <v>434</v>
      </c>
      <c r="AM241" t="s">
        <v>435</v>
      </c>
      <c r="AN241" t="s">
        <v>436</v>
      </c>
      <c r="AO241" t="s">
        <v>4352</v>
      </c>
      <c r="AP241" t="s">
        <v>4353</v>
      </c>
      <c r="AQ241" t="s">
        <v>74</v>
      </c>
      <c r="AR241" t="s">
        <v>4354</v>
      </c>
      <c r="AS241" t="s">
        <v>4355</v>
      </c>
      <c r="AT241" t="s">
        <v>91</v>
      </c>
      <c r="AU241">
        <v>2016</v>
      </c>
      <c r="AV241">
        <v>26</v>
      </c>
      <c r="AW241">
        <v>2</v>
      </c>
      <c r="AX241" t="s">
        <v>74</v>
      </c>
      <c r="AY241" t="s">
        <v>74</v>
      </c>
      <c r="AZ241" t="s">
        <v>74</v>
      </c>
      <c r="BA241" t="s">
        <v>74</v>
      </c>
      <c r="BB241">
        <v>112</v>
      </c>
      <c r="BC241">
        <v>124</v>
      </c>
      <c r="BD241" t="s">
        <v>74</v>
      </c>
      <c r="BE241" t="s">
        <v>4356</v>
      </c>
      <c r="BF241" t="str">
        <f>HYPERLINK("http://dx.doi.org/10.1016/j.hrmr.2015.09.007","http://dx.doi.org/10.1016/j.hrmr.2015.09.007")</f>
        <v>http://dx.doi.org/10.1016/j.hrmr.2015.09.007</v>
      </c>
      <c r="BG241" t="s">
        <v>74</v>
      </c>
      <c r="BH241" t="s">
        <v>74</v>
      </c>
      <c r="BI241">
        <v>13</v>
      </c>
      <c r="BJ241" t="s">
        <v>442</v>
      </c>
      <c r="BK241" t="s">
        <v>94</v>
      </c>
      <c r="BL241" t="s">
        <v>95</v>
      </c>
      <c r="BM241" t="s">
        <v>4357</v>
      </c>
      <c r="BN241" t="s">
        <v>74</v>
      </c>
      <c r="BO241" t="s">
        <v>74</v>
      </c>
      <c r="BP241" t="s">
        <v>74</v>
      </c>
      <c r="BQ241" t="s">
        <v>74</v>
      </c>
      <c r="BR241" t="s">
        <v>97</v>
      </c>
      <c r="BS241" t="s">
        <v>4358</v>
      </c>
      <c r="BT241" t="str">
        <f>HYPERLINK("https%3A%2F%2Fwww.webofscience.com%2Fwos%2Fwoscc%2Ffull-record%2FWOS:000372758500003","View Full Record in Web of Science")</f>
        <v>View Full Record in Web of Science</v>
      </c>
    </row>
    <row r="242" spans="1:72" x14ac:dyDescent="0.25">
      <c r="A242" t="s">
        <v>72</v>
      </c>
      <c r="B242" t="s">
        <v>4359</v>
      </c>
      <c r="C242" t="s">
        <v>74</v>
      </c>
      <c r="D242" t="s">
        <v>74</v>
      </c>
      <c r="E242" t="s">
        <v>74</v>
      </c>
      <c r="F242" t="s">
        <v>4360</v>
      </c>
      <c r="G242" t="s">
        <v>74</v>
      </c>
      <c r="H242" t="s">
        <v>74</v>
      </c>
      <c r="I242" t="s">
        <v>4361</v>
      </c>
      <c r="J242" t="s">
        <v>318</v>
      </c>
      <c r="K242" t="s">
        <v>74</v>
      </c>
      <c r="L242" t="s">
        <v>74</v>
      </c>
      <c r="M242" t="s">
        <v>77</v>
      </c>
      <c r="N242" t="s">
        <v>78</v>
      </c>
      <c r="O242" t="s">
        <v>74</v>
      </c>
      <c r="P242" t="s">
        <v>74</v>
      </c>
      <c r="Q242" t="s">
        <v>74</v>
      </c>
      <c r="R242" t="s">
        <v>74</v>
      </c>
      <c r="S242" t="s">
        <v>74</v>
      </c>
      <c r="T242" t="s">
        <v>4362</v>
      </c>
      <c r="U242" t="s">
        <v>74</v>
      </c>
      <c r="V242" t="s">
        <v>4363</v>
      </c>
      <c r="W242" t="s">
        <v>4364</v>
      </c>
      <c r="X242" t="s">
        <v>4365</v>
      </c>
      <c r="Y242" t="s">
        <v>4366</v>
      </c>
      <c r="Z242" t="s">
        <v>4367</v>
      </c>
      <c r="AA242" t="s">
        <v>4368</v>
      </c>
      <c r="AB242" t="s">
        <v>4369</v>
      </c>
      <c r="AC242" t="s">
        <v>74</v>
      </c>
      <c r="AD242" t="s">
        <v>74</v>
      </c>
      <c r="AE242" t="s">
        <v>74</v>
      </c>
      <c r="AF242" t="s">
        <v>74</v>
      </c>
      <c r="AG242">
        <v>12</v>
      </c>
      <c r="AH242">
        <v>37</v>
      </c>
      <c r="AI242">
        <v>40</v>
      </c>
      <c r="AJ242">
        <v>2</v>
      </c>
      <c r="AK242">
        <v>54</v>
      </c>
      <c r="AL242" t="s">
        <v>329</v>
      </c>
      <c r="AM242" t="s">
        <v>330</v>
      </c>
      <c r="AN242" t="s">
        <v>331</v>
      </c>
      <c r="AO242" t="s">
        <v>332</v>
      </c>
      <c r="AP242" t="s">
        <v>333</v>
      </c>
      <c r="AQ242" t="s">
        <v>74</v>
      </c>
      <c r="AR242" t="s">
        <v>334</v>
      </c>
      <c r="AS242" t="s">
        <v>335</v>
      </c>
      <c r="AT242" t="s">
        <v>165</v>
      </c>
      <c r="AU242">
        <v>2014</v>
      </c>
      <c r="AV242">
        <v>67</v>
      </c>
      <c r="AW242">
        <v>5</v>
      </c>
      <c r="AX242" t="s">
        <v>74</v>
      </c>
      <c r="AY242" t="s">
        <v>74</v>
      </c>
      <c r="AZ242" t="s">
        <v>74</v>
      </c>
      <c r="BA242" t="s">
        <v>74</v>
      </c>
      <c r="BB242">
        <v>752</v>
      </c>
      <c r="BC242">
        <v>757</v>
      </c>
      <c r="BD242" t="s">
        <v>74</v>
      </c>
      <c r="BE242" t="s">
        <v>4370</v>
      </c>
      <c r="BF242" t="str">
        <f>HYPERLINK("http://dx.doi.org/10.1016/j.jbusres.2013.11.039","http://dx.doi.org/10.1016/j.jbusres.2013.11.039")</f>
        <v>http://dx.doi.org/10.1016/j.jbusres.2013.11.039</v>
      </c>
      <c r="BG242" t="s">
        <v>74</v>
      </c>
      <c r="BH242" t="s">
        <v>74</v>
      </c>
      <c r="BI242">
        <v>6</v>
      </c>
      <c r="BJ242" t="s">
        <v>337</v>
      </c>
      <c r="BK242" t="s">
        <v>94</v>
      </c>
      <c r="BL242" t="s">
        <v>95</v>
      </c>
      <c r="BM242" t="s">
        <v>4371</v>
      </c>
      <c r="BN242" t="s">
        <v>74</v>
      </c>
      <c r="BO242" t="s">
        <v>74</v>
      </c>
      <c r="BP242" t="s">
        <v>74</v>
      </c>
      <c r="BQ242" t="s">
        <v>74</v>
      </c>
      <c r="BR242" t="s">
        <v>97</v>
      </c>
      <c r="BS242" t="s">
        <v>4372</v>
      </c>
      <c r="BT242" t="str">
        <f>HYPERLINK("https%3A%2F%2Fwww.webofscience.com%2Fwos%2Fwoscc%2Ffull-record%2FWOS:000333775900017","View Full Record in Web of Science")</f>
        <v>View Full Record in Web of Science</v>
      </c>
    </row>
    <row r="243" spans="1:72" x14ac:dyDescent="0.25">
      <c r="A243" t="s">
        <v>72</v>
      </c>
      <c r="B243" t="s">
        <v>4373</v>
      </c>
      <c r="C243" t="s">
        <v>74</v>
      </c>
      <c r="D243" t="s">
        <v>74</v>
      </c>
      <c r="E243" t="s">
        <v>74</v>
      </c>
      <c r="F243" t="s">
        <v>4374</v>
      </c>
      <c r="G243" t="s">
        <v>74</v>
      </c>
      <c r="H243" t="s">
        <v>74</v>
      </c>
      <c r="I243" t="s">
        <v>4375</v>
      </c>
      <c r="J243" t="s">
        <v>4376</v>
      </c>
      <c r="K243" t="s">
        <v>74</v>
      </c>
      <c r="L243" t="s">
        <v>74</v>
      </c>
      <c r="M243" t="s">
        <v>77</v>
      </c>
      <c r="N243" t="s">
        <v>78</v>
      </c>
      <c r="O243" t="s">
        <v>74</v>
      </c>
      <c r="P243" t="s">
        <v>74</v>
      </c>
      <c r="Q243" t="s">
        <v>74</v>
      </c>
      <c r="R243" t="s">
        <v>74</v>
      </c>
      <c r="S243" t="s">
        <v>74</v>
      </c>
      <c r="T243" t="s">
        <v>4377</v>
      </c>
      <c r="U243" t="s">
        <v>4378</v>
      </c>
      <c r="V243" t="s">
        <v>4379</v>
      </c>
      <c r="W243" t="s">
        <v>4380</v>
      </c>
      <c r="X243" t="s">
        <v>4381</v>
      </c>
      <c r="Y243" t="s">
        <v>4382</v>
      </c>
      <c r="Z243" t="s">
        <v>4383</v>
      </c>
      <c r="AA243" t="s">
        <v>4384</v>
      </c>
      <c r="AB243" t="s">
        <v>4385</v>
      </c>
      <c r="AC243" t="s">
        <v>4386</v>
      </c>
      <c r="AD243" t="s">
        <v>4387</v>
      </c>
      <c r="AE243" t="s">
        <v>4388</v>
      </c>
      <c r="AF243" t="s">
        <v>74</v>
      </c>
      <c r="AG243">
        <v>72</v>
      </c>
      <c r="AH243">
        <v>37</v>
      </c>
      <c r="AI243">
        <v>38</v>
      </c>
      <c r="AJ243">
        <v>4</v>
      </c>
      <c r="AK243">
        <v>113</v>
      </c>
      <c r="AL243" t="s">
        <v>4389</v>
      </c>
      <c r="AM243" t="s">
        <v>541</v>
      </c>
      <c r="AN243" t="s">
        <v>4390</v>
      </c>
      <c r="AO243" t="s">
        <v>4391</v>
      </c>
      <c r="AP243" t="s">
        <v>74</v>
      </c>
      <c r="AQ243" t="s">
        <v>74</v>
      </c>
      <c r="AR243" t="s">
        <v>4392</v>
      </c>
      <c r="AS243" t="s">
        <v>4393</v>
      </c>
      <c r="AT243" t="s">
        <v>4394</v>
      </c>
      <c r="AU243">
        <v>2012</v>
      </c>
      <c r="AV243">
        <v>12</v>
      </c>
      <c r="AW243" t="s">
        <v>74</v>
      </c>
      <c r="AX243" t="s">
        <v>74</v>
      </c>
      <c r="AY243" t="s">
        <v>74</v>
      </c>
      <c r="AZ243" t="s">
        <v>74</v>
      </c>
      <c r="BA243" t="s">
        <v>74</v>
      </c>
      <c r="BB243" t="s">
        <v>74</v>
      </c>
      <c r="BC243" t="s">
        <v>74</v>
      </c>
      <c r="BD243">
        <v>72</v>
      </c>
      <c r="BE243" t="s">
        <v>4395</v>
      </c>
      <c r="BF243" t="str">
        <f>HYPERLINK("http://dx.doi.org/10.1186/1471-2148-12-72","http://dx.doi.org/10.1186/1471-2148-12-72")</f>
        <v>http://dx.doi.org/10.1186/1471-2148-12-72</v>
      </c>
      <c r="BG243" t="s">
        <v>74</v>
      </c>
      <c r="BH243" t="s">
        <v>74</v>
      </c>
      <c r="BI243">
        <v>12</v>
      </c>
      <c r="BJ243" t="s">
        <v>4396</v>
      </c>
      <c r="BK243" t="s">
        <v>283</v>
      </c>
      <c r="BL243" t="s">
        <v>4396</v>
      </c>
      <c r="BM243" t="s">
        <v>4397</v>
      </c>
      <c r="BN243">
        <v>22642364</v>
      </c>
      <c r="BO243" t="s">
        <v>4398</v>
      </c>
      <c r="BP243" t="s">
        <v>74</v>
      </c>
      <c r="BQ243" t="s">
        <v>74</v>
      </c>
      <c r="BR243" t="s">
        <v>97</v>
      </c>
      <c r="BS243" t="s">
        <v>4399</v>
      </c>
      <c r="BT243" t="str">
        <f>HYPERLINK("https%3A%2F%2Fwww.webofscience.com%2Fwos%2Fwoscc%2Ffull-record%2FWOS:000310329100001","View Full Record in Web of Science")</f>
        <v>View Full Record in Web of Science</v>
      </c>
    </row>
    <row r="244" spans="1:72" x14ac:dyDescent="0.25">
      <c r="A244" t="s">
        <v>72</v>
      </c>
      <c r="B244" t="s">
        <v>4400</v>
      </c>
      <c r="C244" t="s">
        <v>74</v>
      </c>
      <c r="D244" t="s">
        <v>74</v>
      </c>
      <c r="E244" t="s">
        <v>74</v>
      </c>
      <c r="F244" t="s">
        <v>4400</v>
      </c>
      <c r="G244" t="s">
        <v>74</v>
      </c>
      <c r="H244" t="s">
        <v>74</v>
      </c>
      <c r="I244" t="s">
        <v>4401</v>
      </c>
      <c r="J244" t="s">
        <v>2326</v>
      </c>
      <c r="K244" t="s">
        <v>74</v>
      </c>
      <c r="L244" t="s">
        <v>74</v>
      </c>
      <c r="M244" t="s">
        <v>77</v>
      </c>
      <c r="N244" t="s">
        <v>78</v>
      </c>
      <c r="O244" t="s">
        <v>74</v>
      </c>
      <c r="P244" t="s">
        <v>74</v>
      </c>
      <c r="Q244" t="s">
        <v>74</v>
      </c>
      <c r="R244" t="s">
        <v>74</v>
      </c>
      <c r="S244" t="s">
        <v>74</v>
      </c>
      <c r="T244" t="s">
        <v>4402</v>
      </c>
      <c r="U244" t="s">
        <v>74</v>
      </c>
      <c r="V244" t="s">
        <v>4403</v>
      </c>
      <c r="W244" t="s">
        <v>4404</v>
      </c>
      <c r="X244" t="s">
        <v>4405</v>
      </c>
      <c r="Y244" t="s">
        <v>4406</v>
      </c>
      <c r="Z244" t="s">
        <v>4407</v>
      </c>
      <c r="AA244" t="s">
        <v>74</v>
      </c>
      <c r="AB244" t="s">
        <v>74</v>
      </c>
      <c r="AC244" t="s">
        <v>74</v>
      </c>
      <c r="AD244" t="s">
        <v>74</v>
      </c>
      <c r="AE244" t="s">
        <v>74</v>
      </c>
      <c r="AF244" t="s">
        <v>74</v>
      </c>
      <c r="AG244">
        <v>34</v>
      </c>
      <c r="AH244">
        <v>37</v>
      </c>
      <c r="AI244">
        <v>39</v>
      </c>
      <c r="AJ244">
        <v>1</v>
      </c>
      <c r="AK244">
        <v>22</v>
      </c>
      <c r="AL244" t="s">
        <v>511</v>
      </c>
      <c r="AM244" t="s">
        <v>435</v>
      </c>
      <c r="AN244" t="s">
        <v>512</v>
      </c>
      <c r="AO244" t="s">
        <v>2330</v>
      </c>
      <c r="AP244" t="s">
        <v>4166</v>
      </c>
      <c r="AQ244" t="s">
        <v>74</v>
      </c>
      <c r="AR244" t="s">
        <v>2326</v>
      </c>
      <c r="AS244" t="s">
        <v>2331</v>
      </c>
      <c r="AT244" t="s">
        <v>165</v>
      </c>
      <c r="AU244">
        <v>2001</v>
      </c>
      <c r="AV244">
        <v>21</v>
      </c>
      <c r="AW244">
        <v>5</v>
      </c>
      <c r="AX244" t="s">
        <v>74</v>
      </c>
      <c r="AY244" t="s">
        <v>74</v>
      </c>
      <c r="AZ244" t="s">
        <v>74</v>
      </c>
      <c r="BA244" t="s">
        <v>74</v>
      </c>
      <c r="BB244">
        <v>311</v>
      </c>
      <c r="BC244">
        <v>324</v>
      </c>
      <c r="BD244" t="s">
        <v>74</v>
      </c>
      <c r="BE244" t="s">
        <v>4408</v>
      </c>
      <c r="BF244" t="str">
        <f>HYPERLINK("http://dx.doi.org/10.1016/S0166-4972(00)00050-X","http://dx.doi.org/10.1016/S0166-4972(00)00050-X")</f>
        <v>http://dx.doi.org/10.1016/S0166-4972(00)00050-X</v>
      </c>
      <c r="BG244" t="s">
        <v>74</v>
      </c>
      <c r="BH244" t="s">
        <v>74</v>
      </c>
      <c r="BI244">
        <v>14</v>
      </c>
      <c r="BJ244" t="s">
        <v>2333</v>
      </c>
      <c r="BK244" t="s">
        <v>147</v>
      </c>
      <c r="BL244" t="s">
        <v>1481</v>
      </c>
      <c r="BM244" t="s">
        <v>4409</v>
      </c>
      <c r="BN244" t="s">
        <v>74</v>
      </c>
      <c r="BO244" t="s">
        <v>74</v>
      </c>
      <c r="BP244" t="s">
        <v>74</v>
      </c>
      <c r="BQ244" t="s">
        <v>74</v>
      </c>
      <c r="BR244" t="s">
        <v>97</v>
      </c>
      <c r="BS244" t="s">
        <v>4410</v>
      </c>
      <c r="BT244" t="str">
        <f>HYPERLINK("https%3A%2F%2Fwww.webofscience.com%2Fwos%2Fwoscc%2Ffull-record%2FWOS:000167748500004","View Full Record in Web of Science")</f>
        <v>View Full Record in Web of Science</v>
      </c>
    </row>
    <row r="245" spans="1:72" x14ac:dyDescent="0.25">
      <c r="A245" t="s">
        <v>72</v>
      </c>
      <c r="B245" t="s">
        <v>4411</v>
      </c>
      <c r="C245" t="s">
        <v>74</v>
      </c>
      <c r="D245" t="s">
        <v>74</v>
      </c>
      <c r="E245" t="s">
        <v>74</v>
      </c>
      <c r="F245" t="s">
        <v>4411</v>
      </c>
      <c r="G245" t="s">
        <v>74</v>
      </c>
      <c r="H245" t="s">
        <v>74</v>
      </c>
      <c r="I245" t="s">
        <v>4412</v>
      </c>
      <c r="J245" t="s">
        <v>424</v>
      </c>
      <c r="K245" t="s">
        <v>74</v>
      </c>
      <c r="L245" t="s">
        <v>74</v>
      </c>
      <c r="M245" t="s">
        <v>77</v>
      </c>
      <c r="N245" t="s">
        <v>78</v>
      </c>
      <c r="O245" t="s">
        <v>74</v>
      </c>
      <c r="P245" t="s">
        <v>74</v>
      </c>
      <c r="Q245" t="s">
        <v>74</v>
      </c>
      <c r="R245" t="s">
        <v>74</v>
      </c>
      <c r="S245" t="s">
        <v>74</v>
      </c>
      <c r="T245" t="s">
        <v>74</v>
      </c>
      <c r="U245" t="s">
        <v>4413</v>
      </c>
      <c r="V245" t="s">
        <v>4414</v>
      </c>
      <c r="W245" t="s">
        <v>4415</v>
      </c>
      <c r="X245" t="s">
        <v>4416</v>
      </c>
      <c r="Y245" t="s">
        <v>4417</v>
      </c>
      <c r="Z245" t="s">
        <v>74</v>
      </c>
      <c r="AA245" t="s">
        <v>74</v>
      </c>
      <c r="AB245" t="s">
        <v>4418</v>
      </c>
      <c r="AC245" t="s">
        <v>74</v>
      </c>
      <c r="AD245" t="s">
        <v>74</v>
      </c>
      <c r="AE245" t="s">
        <v>74</v>
      </c>
      <c r="AF245" t="s">
        <v>74</v>
      </c>
      <c r="AG245">
        <v>32</v>
      </c>
      <c r="AH245">
        <v>37</v>
      </c>
      <c r="AI245">
        <v>40</v>
      </c>
      <c r="AJ245">
        <v>0</v>
      </c>
      <c r="AK245">
        <v>22</v>
      </c>
      <c r="AL245" t="s">
        <v>511</v>
      </c>
      <c r="AM245" t="s">
        <v>435</v>
      </c>
      <c r="AN245" t="s">
        <v>512</v>
      </c>
      <c r="AO245" t="s">
        <v>437</v>
      </c>
      <c r="AP245" t="s">
        <v>74</v>
      </c>
      <c r="AQ245" t="s">
        <v>74</v>
      </c>
      <c r="AR245" t="s">
        <v>439</v>
      </c>
      <c r="AS245" t="s">
        <v>440</v>
      </c>
      <c r="AT245" t="s">
        <v>892</v>
      </c>
      <c r="AU245">
        <v>1995</v>
      </c>
      <c r="AV245">
        <v>24</v>
      </c>
      <c r="AW245">
        <v>1</v>
      </c>
      <c r="AX245" t="s">
        <v>74</v>
      </c>
      <c r="AY245" t="s">
        <v>74</v>
      </c>
      <c r="AZ245" t="s">
        <v>74</v>
      </c>
      <c r="BA245" t="s">
        <v>74</v>
      </c>
      <c r="BB245">
        <v>151</v>
      </c>
      <c r="BC245">
        <v>168</v>
      </c>
      <c r="BD245" t="s">
        <v>74</v>
      </c>
      <c r="BE245" t="s">
        <v>4419</v>
      </c>
      <c r="BF245" t="str">
        <f>HYPERLINK("http://dx.doi.org/10.1016/0048-7333(93)00756-J","http://dx.doi.org/10.1016/0048-7333(93)00756-J")</f>
        <v>http://dx.doi.org/10.1016/0048-7333(93)00756-J</v>
      </c>
      <c r="BG245" t="s">
        <v>74</v>
      </c>
      <c r="BH245" t="s">
        <v>74</v>
      </c>
      <c r="BI245">
        <v>18</v>
      </c>
      <c r="BJ245" t="s">
        <v>442</v>
      </c>
      <c r="BK245" t="s">
        <v>94</v>
      </c>
      <c r="BL245" t="s">
        <v>95</v>
      </c>
      <c r="BM245" t="s">
        <v>4420</v>
      </c>
      <c r="BN245" t="s">
        <v>74</v>
      </c>
      <c r="BO245" t="s">
        <v>74</v>
      </c>
      <c r="BP245" t="s">
        <v>74</v>
      </c>
      <c r="BQ245" t="s">
        <v>74</v>
      </c>
      <c r="BR245" t="s">
        <v>97</v>
      </c>
      <c r="BS245" t="s">
        <v>4421</v>
      </c>
      <c r="BT245" t="str">
        <f>HYPERLINK("https%3A%2F%2Fwww.webofscience.com%2Fwos%2Fwoscc%2Ffull-record%2FWOS:A1995QC08300009","View Full Record in Web of Science")</f>
        <v>View Full Record in Web of Science</v>
      </c>
    </row>
    <row r="246" spans="1:72" x14ac:dyDescent="0.25">
      <c r="A246" t="s">
        <v>72</v>
      </c>
      <c r="B246" t="s">
        <v>4422</v>
      </c>
      <c r="C246" t="s">
        <v>74</v>
      </c>
      <c r="D246" t="s">
        <v>74</v>
      </c>
      <c r="E246" t="s">
        <v>74</v>
      </c>
      <c r="F246" t="s">
        <v>4423</v>
      </c>
      <c r="G246" t="s">
        <v>74</v>
      </c>
      <c r="H246" t="s">
        <v>74</v>
      </c>
      <c r="I246" t="s">
        <v>4424</v>
      </c>
      <c r="J246" t="s">
        <v>4425</v>
      </c>
      <c r="K246" t="s">
        <v>74</v>
      </c>
      <c r="L246" t="s">
        <v>74</v>
      </c>
      <c r="M246" t="s">
        <v>77</v>
      </c>
      <c r="N246" t="s">
        <v>78</v>
      </c>
      <c r="O246" t="s">
        <v>74</v>
      </c>
      <c r="P246" t="s">
        <v>74</v>
      </c>
      <c r="Q246" t="s">
        <v>74</v>
      </c>
      <c r="R246" t="s">
        <v>74</v>
      </c>
      <c r="S246" t="s">
        <v>74</v>
      </c>
      <c r="T246" t="s">
        <v>4426</v>
      </c>
      <c r="U246" t="s">
        <v>4427</v>
      </c>
      <c r="V246" t="s">
        <v>4428</v>
      </c>
      <c r="W246" t="s">
        <v>4429</v>
      </c>
      <c r="X246" t="s">
        <v>4430</v>
      </c>
      <c r="Y246" t="s">
        <v>4431</v>
      </c>
      <c r="Z246" t="s">
        <v>4432</v>
      </c>
      <c r="AA246" t="s">
        <v>4433</v>
      </c>
      <c r="AB246" t="s">
        <v>4434</v>
      </c>
      <c r="AC246" t="s">
        <v>4435</v>
      </c>
      <c r="AD246" t="s">
        <v>4435</v>
      </c>
      <c r="AE246" t="s">
        <v>4436</v>
      </c>
      <c r="AF246" t="s">
        <v>74</v>
      </c>
      <c r="AG246">
        <v>124</v>
      </c>
      <c r="AH246">
        <v>36</v>
      </c>
      <c r="AI246">
        <v>36</v>
      </c>
      <c r="AJ246">
        <v>6</v>
      </c>
      <c r="AK246">
        <v>43</v>
      </c>
      <c r="AL246" t="s">
        <v>1099</v>
      </c>
      <c r="AM246" t="s">
        <v>305</v>
      </c>
      <c r="AN246" t="s">
        <v>1100</v>
      </c>
      <c r="AO246" t="s">
        <v>4437</v>
      </c>
      <c r="AP246" t="s">
        <v>4438</v>
      </c>
      <c r="AQ246" t="s">
        <v>74</v>
      </c>
      <c r="AR246" t="s">
        <v>4439</v>
      </c>
      <c r="AS246" t="s">
        <v>4440</v>
      </c>
      <c r="AT246" t="s">
        <v>4441</v>
      </c>
      <c r="AU246">
        <v>2020</v>
      </c>
      <c r="AV246">
        <v>23</v>
      </c>
      <c r="AW246">
        <v>24</v>
      </c>
      <c r="AX246" t="s">
        <v>74</v>
      </c>
      <c r="AY246" t="s">
        <v>74</v>
      </c>
      <c r="AZ246" t="s">
        <v>74</v>
      </c>
      <c r="BA246" t="s">
        <v>74</v>
      </c>
      <c r="BB246">
        <v>3054</v>
      </c>
      <c r="BC246">
        <v>3072</v>
      </c>
      <c r="BD246" t="s">
        <v>74</v>
      </c>
      <c r="BE246" t="s">
        <v>4442</v>
      </c>
      <c r="BF246" t="str">
        <f>HYPERLINK("http://dx.doi.org/10.1080/13683500.2019.1678573","http://dx.doi.org/10.1080/13683500.2019.1678573")</f>
        <v>http://dx.doi.org/10.1080/13683500.2019.1678573</v>
      </c>
      <c r="BG246" t="s">
        <v>74</v>
      </c>
      <c r="BH246" t="s">
        <v>4443</v>
      </c>
      <c r="BI246">
        <v>19</v>
      </c>
      <c r="BJ246" t="s">
        <v>630</v>
      </c>
      <c r="BK246" t="s">
        <v>94</v>
      </c>
      <c r="BL246" t="s">
        <v>631</v>
      </c>
      <c r="BM246" t="s">
        <v>4444</v>
      </c>
      <c r="BN246" t="s">
        <v>74</v>
      </c>
      <c r="BO246" t="s">
        <v>74</v>
      </c>
      <c r="BP246" t="s">
        <v>74</v>
      </c>
      <c r="BQ246" t="s">
        <v>74</v>
      </c>
      <c r="BR246" t="s">
        <v>97</v>
      </c>
      <c r="BS246" t="s">
        <v>4445</v>
      </c>
      <c r="BT246" t="str">
        <f>HYPERLINK("https%3A%2F%2Fwww.webofscience.com%2Fwos%2Fwoscc%2Ffull-record%2FWOS:000491024400001","View Full Record in Web of Science")</f>
        <v>View Full Record in Web of Science</v>
      </c>
    </row>
    <row r="247" spans="1:72" x14ac:dyDescent="0.25">
      <c r="A247" t="s">
        <v>72</v>
      </c>
      <c r="B247" t="s">
        <v>4446</v>
      </c>
      <c r="C247" t="s">
        <v>74</v>
      </c>
      <c r="D247" t="s">
        <v>74</v>
      </c>
      <c r="E247" t="s">
        <v>74</v>
      </c>
      <c r="F247" t="s">
        <v>4447</v>
      </c>
      <c r="G247" t="s">
        <v>74</v>
      </c>
      <c r="H247" t="s">
        <v>74</v>
      </c>
      <c r="I247" t="s">
        <v>4448</v>
      </c>
      <c r="J247" t="s">
        <v>209</v>
      </c>
      <c r="K247" t="s">
        <v>74</v>
      </c>
      <c r="L247" t="s">
        <v>74</v>
      </c>
      <c r="M247" t="s">
        <v>77</v>
      </c>
      <c r="N247" t="s">
        <v>78</v>
      </c>
      <c r="O247" t="s">
        <v>74</v>
      </c>
      <c r="P247" t="s">
        <v>74</v>
      </c>
      <c r="Q247" t="s">
        <v>74</v>
      </c>
      <c r="R247" t="s">
        <v>74</v>
      </c>
      <c r="S247" t="s">
        <v>74</v>
      </c>
      <c r="T247" t="s">
        <v>4449</v>
      </c>
      <c r="U247" t="s">
        <v>4450</v>
      </c>
      <c r="V247" t="s">
        <v>4451</v>
      </c>
      <c r="W247" t="s">
        <v>4452</v>
      </c>
      <c r="X247" t="s">
        <v>4453</v>
      </c>
      <c r="Y247" t="s">
        <v>4454</v>
      </c>
      <c r="Z247" t="s">
        <v>4455</v>
      </c>
      <c r="AA247" t="s">
        <v>4456</v>
      </c>
      <c r="AB247" t="s">
        <v>4457</v>
      </c>
      <c r="AC247" t="s">
        <v>74</v>
      </c>
      <c r="AD247" t="s">
        <v>74</v>
      </c>
      <c r="AE247" t="s">
        <v>74</v>
      </c>
      <c r="AF247" t="s">
        <v>74</v>
      </c>
      <c r="AG247">
        <v>72</v>
      </c>
      <c r="AH247">
        <v>36</v>
      </c>
      <c r="AI247">
        <v>37</v>
      </c>
      <c r="AJ247">
        <v>10</v>
      </c>
      <c r="AK247">
        <v>162</v>
      </c>
      <c r="AL247" t="s">
        <v>218</v>
      </c>
      <c r="AM247" t="s">
        <v>219</v>
      </c>
      <c r="AN247" t="s">
        <v>220</v>
      </c>
      <c r="AO247" t="s">
        <v>221</v>
      </c>
      <c r="AP247" t="s">
        <v>222</v>
      </c>
      <c r="AQ247" t="s">
        <v>74</v>
      </c>
      <c r="AR247" t="s">
        <v>223</v>
      </c>
      <c r="AS247" t="s">
        <v>224</v>
      </c>
      <c r="AT247" t="s">
        <v>200</v>
      </c>
      <c r="AU247">
        <v>2018</v>
      </c>
      <c r="AV247">
        <v>39</v>
      </c>
      <c r="AW247">
        <v>3</v>
      </c>
      <c r="AX247" t="s">
        <v>74</v>
      </c>
      <c r="AY247" t="s">
        <v>74</v>
      </c>
      <c r="AZ247" t="s">
        <v>74</v>
      </c>
      <c r="BA247" t="s">
        <v>74</v>
      </c>
      <c r="BB247">
        <v>292</v>
      </c>
      <c r="BC247">
        <v>305</v>
      </c>
      <c r="BD247" t="s">
        <v>74</v>
      </c>
      <c r="BE247" t="s">
        <v>4458</v>
      </c>
      <c r="BF247" t="str">
        <f>HYPERLINK("http://dx.doi.org/10.1002/job.2219","http://dx.doi.org/10.1002/job.2219")</f>
        <v>http://dx.doi.org/10.1002/job.2219</v>
      </c>
      <c r="BG247" t="s">
        <v>74</v>
      </c>
      <c r="BH247" t="s">
        <v>74</v>
      </c>
      <c r="BI247">
        <v>14</v>
      </c>
      <c r="BJ247" t="s">
        <v>226</v>
      </c>
      <c r="BK247" t="s">
        <v>94</v>
      </c>
      <c r="BL247" t="s">
        <v>227</v>
      </c>
      <c r="BM247" t="s">
        <v>4459</v>
      </c>
      <c r="BN247" t="s">
        <v>74</v>
      </c>
      <c r="BO247" t="s">
        <v>378</v>
      </c>
      <c r="BP247" t="s">
        <v>74</v>
      </c>
      <c r="BQ247" t="s">
        <v>74</v>
      </c>
      <c r="BR247" t="s">
        <v>97</v>
      </c>
      <c r="BS247" t="s">
        <v>4460</v>
      </c>
      <c r="BT247" t="str">
        <f>HYPERLINK("https%3A%2F%2Fwww.webofscience.com%2Fwos%2Fwoscc%2Ffull-record%2FWOS:000426511700004","View Full Record in Web of Science")</f>
        <v>View Full Record in Web of Science</v>
      </c>
    </row>
    <row r="248" spans="1:72" x14ac:dyDescent="0.25">
      <c r="A248" t="s">
        <v>72</v>
      </c>
      <c r="B248" t="s">
        <v>4461</v>
      </c>
      <c r="C248" t="s">
        <v>74</v>
      </c>
      <c r="D248" t="s">
        <v>74</v>
      </c>
      <c r="E248" t="s">
        <v>74</v>
      </c>
      <c r="F248" t="s">
        <v>4462</v>
      </c>
      <c r="G248" t="s">
        <v>74</v>
      </c>
      <c r="H248" t="s">
        <v>74</v>
      </c>
      <c r="I248" t="s">
        <v>4463</v>
      </c>
      <c r="J248" t="s">
        <v>4464</v>
      </c>
      <c r="K248" t="s">
        <v>74</v>
      </c>
      <c r="L248" t="s">
        <v>74</v>
      </c>
      <c r="M248" t="s">
        <v>77</v>
      </c>
      <c r="N248" t="s">
        <v>78</v>
      </c>
      <c r="O248" t="s">
        <v>74</v>
      </c>
      <c r="P248" t="s">
        <v>74</v>
      </c>
      <c r="Q248" t="s">
        <v>74</v>
      </c>
      <c r="R248" t="s">
        <v>74</v>
      </c>
      <c r="S248" t="s">
        <v>74</v>
      </c>
      <c r="T248" t="s">
        <v>4465</v>
      </c>
      <c r="U248" t="s">
        <v>4466</v>
      </c>
      <c r="V248" t="s">
        <v>4467</v>
      </c>
      <c r="W248" t="s">
        <v>4468</v>
      </c>
      <c r="X248" t="s">
        <v>4469</v>
      </c>
      <c r="Y248" t="s">
        <v>4470</v>
      </c>
      <c r="Z248" t="s">
        <v>4471</v>
      </c>
      <c r="AA248" t="s">
        <v>4472</v>
      </c>
      <c r="AB248" t="s">
        <v>4473</v>
      </c>
      <c r="AC248" t="s">
        <v>74</v>
      </c>
      <c r="AD248" t="s">
        <v>74</v>
      </c>
      <c r="AE248" t="s">
        <v>74</v>
      </c>
      <c r="AF248" t="s">
        <v>74</v>
      </c>
      <c r="AG248">
        <v>67</v>
      </c>
      <c r="AH248">
        <v>36</v>
      </c>
      <c r="AI248">
        <v>37</v>
      </c>
      <c r="AJ248">
        <v>10</v>
      </c>
      <c r="AK248">
        <v>49</v>
      </c>
      <c r="AL248" t="s">
        <v>602</v>
      </c>
      <c r="AM248" t="s">
        <v>160</v>
      </c>
      <c r="AN248" t="s">
        <v>603</v>
      </c>
      <c r="AO248" t="s">
        <v>4474</v>
      </c>
      <c r="AP248" t="s">
        <v>4475</v>
      </c>
      <c r="AQ248" t="s">
        <v>74</v>
      </c>
      <c r="AR248" t="s">
        <v>4476</v>
      </c>
      <c r="AS248" t="s">
        <v>4477</v>
      </c>
      <c r="AT248" t="s">
        <v>200</v>
      </c>
      <c r="AU248">
        <v>2018</v>
      </c>
      <c r="AV248">
        <v>27</v>
      </c>
      <c r="AW248" t="s">
        <v>74</v>
      </c>
      <c r="AX248" t="s">
        <v>74</v>
      </c>
      <c r="AY248" t="s">
        <v>74</v>
      </c>
      <c r="AZ248" t="s">
        <v>74</v>
      </c>
      <c r="BA248" t="s">
        <v>74</v>
      </c>
      <c r="BB248">
        <v>92</v>
      </c>
      <c r="BC248">
        <v>100</v>
      </c>
      <c r="BD248" t="s">
        <v>74</v>
      </c>
      <c r="BE248" t="s">
        <v>4478</v>
      </c>
      <c r="BF248" t="str">
        <f>HYPERLINK("http://dx.doi.org/10.1016/j.tsc.2017.12.006","http://dx.doi.org/10.1016/j.tsc.2017.12.006")</f>
        <v>http://dx.doi.org/10.1016/j.tsc.2017.12.006</v>
      </c>
      <c r="BG248" t="s">
        <v>74</v>
      </c>
      <c r="BH248" t="s">
        <v>74</v>
      </c>
      <c r="BI248">
        <v>9</v>
      </c>
      <c r="BJ248" t="s">
        <v>815</v>
      </c>
      <c r="BK248" t="s">
        <v>94</v>
      </c>
      <c r="BL248" t="s">
        <v>815</v>
      </c>
      <c r="BM248" t="s">
        <v>4479</v>
      </c>
      <c r="BN248" t="s">
        <v>74</v>
      </c>
      <c r="BO248" t="s">
        <v>408</v>
      </c>
      <c r="BP248" t="s">
        <v>74</v>
      </c>
      <c r="BQ248" t="s">
        <v>74</v>
      </c>
      <c r="BR248" t="s">
        <v>97</v>
      </c>
      <c r="BS248" t="s">
        <v>4480</v>
      </c>
      <c r="BT248" t="str">
        <f>HYPERLINK("https%3A%2F%2Fwww.webofscience.com%2Fwos%2Fwoscc%2Ffull-record%2FWOS:000427552900009","View Full Record in Web of Science")</f>
        <v>View Full Record in Web of Science</v>
      </c>
    </row>
    <row r="249" spans="1:72" x14ac:dyDescent="0.25">
      <c r="A249" t="s">
        <v>72</v>
      </c>
      <c r="B249" t="s">
        <v>4481</v>
      </c>
      <c r="C249" t="s">
        <v>74</v>
      </c>
      <c r="D249" t="s">
        <v>74</v>
      </c>
      <c r="E249" t="s">
        <v>74</v>
      </c>
      <c r="F249" t="s">
        <v>4482</v>
      </c>
      <c r="G249" t="s">
        <v>74</v>
      </c>
      <c r="H249" t="s">
        <v>74</v>
      </c>
      <c r="I249" t="s">
        <v>4483</v>
      </c>
      <c r="J249" t="s">
        <v>997</v>
      </c>
      <c r="K249" t="s">
        <v>74</v>
      </c>
      <c r="L249" t="s">
        <v>74</v>
      </c>
      <c r="M249" t="s">
        <v>77</v>
      </c>
      <c r="N249" t="s">
        <v>78</v>
      </c>
      <c r="O249" t="s">
        <v>74</v>
      </c>
      <c r="P249" t="s">
        <v>74</v>
      </c>
      <c r="Q249" t="s">
        <v>74</v>
      </c>
      <c r="R249" t="s">
        <v>74</v>
      </c>
      <c r="S249" t="s">
        <v>74</v>
      </c>
      <c r="T249" t="s">
        <v>74</v>
      </c>
      <c r="U249" t="s">
        <v>4484</v>
      </c>
      <c r="V249" t="s">
        <v>4485</v>
      </c>
      <c r="W249" t="s">
        <v>4486</v>
      </c>
      <c r="X249" t="s">
        <v>4487</v>
      </c>
      <c r="Y249" t="s">
        <v>4488</v>
      </c>
      <c r="Z249" t="s">
        <v>4489</v>
      </c>
      <c r="AA249" t="s">
        <v>74</v>
      </c>
      <c r="AB249" t="s">
        <v>74</v>
      </c>
      <c r="AC249" t="s">
        <v>4490</v>
      </c>
      <c r="AD249" t="s">
        <v>4491</v>
      </c>
      <c r="AE249" t="s">
        <v>4492</v>
      </c>
      <c r="AF249" t="s">
        <v>74</v>
      </c>
      <c r="AG249">
        <v>71</v>
      </c>
      <c r="AH249">
        <v>36</v>
      </c>
      <c r="AI249">
        <v>36</v>
      </c>
      <c r="AJ249">
        <v>5</v>
      </c>
      <c r="AK249">
        <v>80</v>
      </c>
      <c r="AL249" t="s">
        <v>1006</v>
      </c>
      <c r="AM249" t="s">
        <v>160</v>
      </c>
      <c r="AN249" t="s">
        <v>1007</v>
      </c>
      <c r="AO249" t="s">
        <v>1008</v>
      </c>
      <c r="AP249" t="s">
        <v>1009</v>
      </c>
      <c r="AQ249" t="s">
        <v>74</v>
      </c>
      <c r="AR249" t="s">
        <v>1010</v>
      </c>
      <c r="AS249" t="s">
        <v>1011</v>
      </c>
      <c r="AT249" t="s">
        <v>792</v>
      </c>
      <c r="AU249">
        <v>2017</v>
      </c>
      <c r="AV249">
        <v>27</v>
      </c>
      <c r="AW249">
        <v>3</v>
      </c>
      <c r="AX249" t="s">
        <v>74</v>
      </c>
      <c r="AY249" t="s">
        <v>74</v>
      </c>
      <c r="AZ249" t="s">
        <v>74</v>
      </c>
      <c r="BA249" t="s">
        <v>74</v>
      </c>
      <c r="BB249">
        <v>517</v>
      </c>
      <c r="BC249">
        <v>534</v>
      </c>
      <c r="BD249" t="s">
        <v>74</v>
      </c>
      <c r="BE249" t="s">
        <v>4493</v>
      </c>
      <c r="BF249" t="str">
        <f>HYPERLINK("http://dx.doi.org/10.1093/jopart/muw055","http://dx.doi.org/10.1093/jopart/muw055")</f>
        <v>http://dx.doi.org/10.1093/jopart/muw055</v>
      </c>
      <c r="BG249" t="s">
        <v>74</v>
      </c>
      <c r="BH249" t="s">
        <v>74</v>
      </c>
      <c r="BI249">
        <v>18</v>
      </c>
      <c r="BJ249" t="s">
        <v>1013</v>
      </c>
      <c r="BK249" t="s">
        <v>94</v>
      </c>
      <c r="BL249" t="s">
        <v>1014</v>
      </c>
      <c r="BM249" t="s">
        <v>4494</v>
      </c>
      <c r="BN249" t="s">
        <v>74</v>
      </c>
      <c r="BO249" t="s">
        <v>229</v>
      </c>
      <c r="BP249" t="s">
        <v>74</v>
      </c>
      <c r="BQ249" t="s">
        <v>74</v>
      </c>
      <c r="BR249" t="s">
        <v>97</v>
      </c>
      <c r="BS249" t="s">
        <v>4495</v>
      </c>
      <c r="BT249" t="str">
        <f>HYPERLINK("https%3A%2F%2Fwww.webofscience.com%2Fwos%2Fwoscc%2Ffull-record%2FWOS:000407197000009","View Full Record in Web of Science")</f>
        <v>View Full Record in Web of Science</v>
      </c>
    </row>
    <row r="250" spans="1:72" x14ac:dyDescent="0.25">
      <c r="A250" t="s">
        <v>72</v>
      </c>
      <c r="B250" t="s">
        <v>4496</v>
      </c>
      <c r="C250" t="s">
        <v>74</v>
      </c>
      <c r="D250" t="s">
        <v>74</v>
      </c>
      <c r="E250" t="s">
        <v>74</v>
      </c>
      <c r="F250" t="s">
        <v>4497</v>
      </c>
      <c r="G250" t="s">
        <v>74</v>
      </c>
      <c r="H250" t="s">
        <v>74</v>
      </c>
      <c r="I250" t="s">
        <v>4498</v>
      </c>
      <c r="J250" t="s">
        <v>4499</v>
      </c>
      <c r="K250" t="s">
        <v>74</v>
      </c>
      <c r="L250" t="s">
        <v>74</v>
      </c>
      <c r="M250" t="s">
        <v>77</v>
      </c>
      <c r="N250" t="s">
        <v>78</v>
      </c>
      <c r="O250" t="s">
        <v>74</v>
      </c>
      <c r="P250" t="s">
        <v>74</v>
      </c>
      <c r="Q250" t="s">
        <v>74</v>
      </c>
      <c r="R250" t="s">
        <v>74</v>
      </c>
      <c r="S250" t="s">
        <v>74</v>
      </c>
      <c r="T250" t="s">
        <v>4500</v>
      </c>
      <c r="U250" t="s">
        <v>4501</v>
      </c>
      <c r="V250" t="s">
        <v>4502</v>
      </c>
      <c r="W250" t="s">
        <v>4503</v>
      </c>
      <c r="X250" t="s">
        <v>4504</v>
      </c>
      <c r="Y250" t="s">
        <v>4505</v>
      </c>
      <c r="Z250" t="s">
        <v>4506</v>
      </c>
      <c r="AA250" t="s">
        <v>4507</v>
      </c>
      <c r="AB250" t="s">
        <v>4508</v>
      </c>
      <c r="AC250" t="s">
        <v>74</v>
      </c>
      <c r="AD250" t="s">
        <v>74</v>
      </c>
      <c r="AE250" t="s">
        <v>74</v>
      </c>
      <c r="AF250" t="s">
        <v>74</v>
      </c>
      <c r="AG250">
        <v>77</v>
      </c>
      <c r="AH250">
        <v>36</v>
      </c>
      <c r="AI250">
        <v>36</v>
      </c>
      <c r="AJ250">
        <v>15</v>
      </c>
      <c r="AK250">
        <v>82</v>
      </c>
      <c r="AL250" t="s">
        <v>1099</v>
      </c>
      <c r="AM250" t="s">
        <v>305</v>
      </c>
      <c r="AN250" t="s">
        <v>1100</v>
      </c>
      <c r="AO250" t="s">
        <v>4509</v>
      </c>
      <c r="AP250" t="s">
        <v>4510</v>
      </c>
      <c r="AQ250" t="s">
        <v>74</v>
      </c>
      <c r="AR250" t="s">
        <v>4511</v>
      </c>
      <c r="AS250" t="s">
        <v>4512</v>
      </c>
      <c r="AT250" t="s">
        <v>74</v>
      </c>
      <c r="AU250">
        <v>2017</v>
      </c>
      <c r="AV250">
        <v>151</v>
      </c>
      <c r="AW250">
        <v>2</v>
      </c>
      <c r="AX250" t="s">
        <v>74</v>
      </c>
      <c r="AY250" t="s">
        <v>74</v>
      </c>
      <c r="AZ250" t="s">
        <v>74</v>
      </c>
      <c r="BA250" t="s">
        <v>74</v>
      </c>
      <c r="BB250">
        <v>148</v>
      </c>
      <c r="BC250">
        <v>170</v>
      </c>
      <c r="BD250" t="s">
        <v>74</v>
      </c>
      <c r="BE250" t="s">
        <v>4513</v>
      </c>
      <c r="BF250" t="str">
        <f>HYPERLINK("http://dx.doi.org/10.1080/00223980.2016.1248808","http://dx.doi.org/10.1080/00223980.2016.1248808")</f>
        <v>http://dx.doi.org/10.1080/00223980.2016.1248808</v>
      </c>
      <c r="BG250" t="s">
        <v>74</v>
      </c>
      <c r="BH250" t="s">
        <v>74</v>
      </c>
      <c r="BI250">
        <v>23</v>
      </c>
      <c r="BJ250" t="s">
        <v>3203</v>
      </c>
      <c r="BK250" t="s">
        <v>94</v>
      </c>
      <c r="BL250" t="s">
        <v>460</v>
      </c>
      <c r="BM250" t="s">
        <v>4514</v>
      </c>
      <c r="BN250">
        <v>27858528</v>
      </c>
      <c r="BO250" t="s">
        <v>74</v>
      </c>
      <c r="BP250" t="s">
        <v>74</v>
      </c>
      <c r="BQ250" t="s">
        <v>74</v>
      </c>
      <c r="BR250" t="s">
        <v>97</v>
      </c>
      <c r="BS250" t="s">
        <v>4515</v>
      </c>
      <c r="BT250" t="str">
        <f>HYPERLINK("https%3A%2F%2Fwww.webofscience.com%2Fwos%2Fwoscc%2Ffull-record%2FWOS:000394461200003","View Full Record in Web of Science")</f>
        <v>View Full Record in Web of Science</v>
      </c>
    </row>
    <row r="251" spans="1:72" x14ac:dyDescent="0.25">
      <c r="A251" t="s">
        <v>72</v>
      </c>
      <c r="B251" t="s">
        <v>2877</v>
      </c>
      <c r="C251" t="s">
        <v>74</v>
      </c>
      <c r="D251" t="s">
        <v>74</v>
      </c>
      <c r="E251" t="s">
        <v>74</v>
      </c>
      <c r="F251" t="s">
        <v>2878</v>
      </c>
      <c r="G251" t="s">
        <v>74</v>
      </c>
      <c r="H251" t="s">
        <v>74</v>
      </c>
      <c r="I251" t="s">
        <v>4516</v>
      </c>
      <c r="J251" t="s">
        <v>3660</v>
      </c>
      <c r="K251" t="s">
        <v>74</v>
      </c>
      <c r="L251" t="s">
        <v>74</v>
      </c>
      <c r="M251" t="s">
        <v>77</v>
      </c>
      <c r="N251" t="s">
        <v>78</v>
      </c>
      <c r="O251" t="s">
        <v>74</v>
      </c>
      <c r="P251" t="s">
        <v>74</v>
      </c>
      <c r="Q251" t="s">
        <v>74</v>
      </c>
      <c r="R251" t="s">
        <v>74</v>
      </c>
      <c r="S251" t="s">
        <v>74</v>
      </c>
      <c r="T251" t="s">
        <v>4517</v>
      </c>
      <c r="U251" t="s">
        <v>4518</v>
      </c>
      <c r="V251" t="s">
        <v>4519</v>
      </c>
      <c r="W251" t="s">
        <v>2883</v>
      </c>
      <c r="X251" t="s">
        <v>2884</v>
      </c>
      <c r="Y251" t="s">
        <v>2885</v>
      </c>
      <c r="Z251" t="s">
        <v>2886</v>
      </c>
      <c r="AA251" t="s">
        <v>74</v>
      </c>
      <c r="AB251" t="s">
        <v>2887</v>
      </c>
      <c r="AC251" t="s">
        <v>74</v>
      </c>
      <c r="AD251" t="s">
        <v>74</v>
      </c>
      <c r="AE251" t="s">
        <v>74</v>
      </c>
      <c r="AF251" t="s">
        <v>74</v>
      </c>
      <c r="AG251">
        <v>96</v>
      </c>
      <c r="AH251">
        <v>36</v>
      </c>
      <c r="AI251">
        <v>38</v>
      </c>
      <c r="AJ251">
        <v>4</v>
      </c>
      <c r="AK251">
        <v>85</v>
      </c>
      <c r="AL251" t="s">
        <v>350</v>
      </c>
      <c r="AM251" t="s">
        <v>351</v>
      </c>
      <c r="AN251" t="s">
        <v>352</v>
      </c>
      <c r="AO251" t="s">
        <v>3673</v>
      </c>
      <c r="AP251" t="s">
        <v>3674</v>
      </c>
      <c r="AQ251" t="s">
        <v>74</v>
      </c>
      <c r="AR251" t="s">
        <v>3675</v>
      </c>
      <c r="AS251" t="s">
        <v>3676</v>
      </c>
      <c r="AT251" t="s">
        <v>405</v>
      </c>
      <c r="AU251">
        <v>2015</v>
      </c>
      <c r="AV251">
        <v>22</v>
      </c>
      <c r="AW251">
        <v>1</v>
      </c>
      <c r="AX251" t="s">
        <v>74</v>
      </c>
      <c r="AY251" t="s">
        <v>74</v>
      </c>
      <c r="AZ251" t="s">
        <v>74</v>
      </c>
      <c r="BA251" t="s">
        <v>74</v>
      </c>
      <c r="BB251">
        <v>21</v>
      </c>
      <c r="BC251">
        <v>36</v>
      </c>
      <c r="BD251" t="s">
        <v>74</v>
      </c>
      <c r="BE251" t="s">
        <v>4520</v>
      </c>
      <c r="BF251" t="str">
        <f>HYPERLINK("http://dx.doi.org/10.1177/1548051813517002","http://dx.doi.org/10.1177/1548051813517002")</f>
        <v>http://dx.doi.org/10.1177/1548051813517002</v>
      </c>
      <c r="BG251" t="s">
        <v>74</v>
      </c>
      <c r="BH251" t="s">
        <v>74</v>
      </c>
      <c r="BI251">
        <v>16</v>
      </c>
      <c r="BJ251" t="s">
        <v>442</v>
      </c>
      <c r="BK251" t="s">
        <v>94</v>
      </c>
      <c r="BL251" t="s">
        <v>95</v>
      </c>
      <c r="BM251" t="s">
        <v>4521</v>
      </c>
      <c r="BN251" t="s">
        <v>74</v>
      </c>
      <c r="BO251" t="s">
        <v>74</v>
      </c>
      <c r="BP251" t="s">
        <v>74</v>
      </c>
      <c r="BQ251" t="s">
        <v>74</v>
      </c>
      <c r="BR251" t="s">
        <v>97</v>
      </c>
      <c r="BS251" t="s">
        <v>4522</v>
      </c>
      <c r="BT251" t="str">
        <f>HYPERLINK("https%3A%2F%2Fwww.webofscience.com%2Fwos%2Fwoscc%2Ffull-record%2FWOS:000348920700002","View Full Record in Web of Science")</f>
        <v>View Full Record in Web of Science</v>
      </c>
    </row>
    <row r="252" spans="1:72" x14ac:dyDescent="0.25">
      <c r="A252" t="s">
        <v>72</v>
      </c>
      <c r="B252" t="s">
        <v>4523</v>
      </c>
      <c r="C252" t="s">
        <v>74</v>
      </c>
      <c r="D252" t="s">
        <v>74</v>
      </c>
      <c r="E252" t="s">
        <v>74</v>
      </c>
      <c r="F252" t="s">
        <v>4524</v>
      </c>
      <c r="G252" t="s">
        <v>74</v>
      </c>
      <c r="H252" t="s">
        <v>74</v>
      </c>
      <c r="I252" t="s">
        <v>4525</v>
      </c>
      <c r="J252" t="s">
        <v>4526</v>
      </c>
      <c r="K252" t="s">
        <v>74</v>
      </c>
      <c r="L252" t="s">
        <v>74</v>
      </c>
      <c r="M252" t="s">
        <v>77</v>
      </c>
      <c r="N252" t="s">
        <v>78</v>
      </c>
      <c r="O252" t="s">
        <v>74</v>
      </c>
      <c r="P252" t="s">
        <v>74</v>
      </c>
      <c r="Q252" t="s">
        <v>74</v>
      </c>
      <c r="R252" t="s">
        <v>74</v>
      </c>
      <c r="S252" t="s">
        <v>74</v>
      </c>
      <c r="T252" t="s">
        <v>4527</v>
      </c>
      <c r="U252" t="s">
        <v>4528</v>
      </c>
      <c r="V252" t="s">
        <v>4529</v>
      </c>
      <c r="W252" t="s">
        <v>4530</v>
      </c>
      <c r="X252" t="s">
        <v>4531</v>
      </c>
      <c r="Y252" t="s">
        <v>4532</v>
      </c>
      <c r="Z252" t="s">
        <v>4533</v>
      </c>
      <c r="AA252" t="s">
        <v>74</v>
      </c>
      <c r="AB252" t="s">
        <v>4534</v>
      </c>
      <c r="AC252" t="s">
        <v>4535</v>
      </c>
      <c r="AD252" t="s">
        <v>4536</v>
      </c>
      <c r="AE252" t="s">
        <v>4537</v>
      </c>
      <c r="AF252" t="s">
        <v>74</v>
      </c>
      <c r="AG252">
        <v>95</v>
      </c>
      <c r="AH252">
        <v>36</v>
      </c>
      <c r="AI252">
        <v>36</v>
      </c>
      <c r="AJ252">
        <v>6</v>
      </c>
      <c r="AK252">
        <v>104</v>
      </c>
      <c r="AL252" t="s">
        <v>665</v>
      </c>
      <c r="AM252" t="s">
        <v>666</v>
      </c>
      <c r="AN252" t="s">
        <v>667</v>
      </c>
      <c r="AO252" t="s">
        <v>4538</v>
      </c>
      <c r="AP252" t="s">
        <v>4539</v>
      </c>
      <c r="AQ252" t="s">
        <v>74</v>
      </c>
      <c r="AR252" t="s">
        <v>4540</v>
      </c>
      <c r="AS252" t="s">
        <v>4541</v>
      </c>
      <c r="AT252" t="s">
        <v>74</v>
      </c>
      <c r="AU252">
        <v>2015</v>
      </c>
      <c r="AV252">
        <v>115</v>
      </c>
      <c r="AW252">
        <v>2</v>
      </c>
      <c r="AX252" t="s">
        <v>74</v>
      </c>
      <c r="AY252" t="s">
        <v>74</v>
      </c>
      <c r="AZ252" t="s">
        <v>74</v>
      </c>
      <c r="BA252" t="s">
        <v>74</v>
      </c>
      <c r="BB252">
        <v>353</v>
      </c>
      <c r="BC252">
        <v>382</v>
      </c>
      <c r="BD252" t="s">
        <v>74</v>
      </c>
      <c r="BE252" t="s">
        <v>4542</v>
      </c>
      <c r="BF252" t="str">
        <f>HYPERLINK("http://dx.doi.org/10.1108/IMDS-10-2014-0317","http://dx.doi.org/10.1108/IMDS-10-2014-0317")</f>
        <v>http://dx.doi.org/10.1108/IMDS-10-2014-0317</v>
      </c>
      <c r="BG252" t="s">
        <v>74</v>
      </c>
      <c r="BH252" t="s">
        <v>74</v>
      </c>
      <c r="BI252">
        <v>30</v>
      </c>
      <c r="BJ252" t="s">
        <v>4543</v>
      </c>
      <c r="BK252" t="s">
        <v>147</v>
      </c>
      <c r="BL252" t="s">
        <v>4544</v>
      </c>
      <c r="BM252" t="s">
        <v>4545</v>
      </c>
      <c r="BN252" t="s">
        <v>74</v>
      </c>
      <c r="BO252" t="s">
        <v>74</v>
      </c>
      <c r="BP252" t="s">
        <v>74</v>
      </c>
      <c r="BQ252" t="s">
        <v>74</v>
      </c>
      <c r="BR252" t="s">
        <v>97</v>
      </c>
      <c r="BS252" t="s">
        <v>4546</v>
      </c>
      <c r="BT252" t="str">
        <f>HYPERLINK("https%3A%2F%2Fwww.webofscience.com%2Fwos%2Fwoscc%2Ffull-record%2FWOS:000352103300008","View Full Record in Web of Science")</f>
        <v>View Full Record in Web of Science</v>
      </c>
    </row>
    <row r="253" spans="1:72" x14ac:dyDescent="0.25">
      <c r="A253" t="s">
        <v>72</v>
      </c>
      <c r="B253" t="s">
        <v>4170</v>
      </c>
      <c r="C253" t="s">
        <v>74</v>
      </c>
      <c r="D253" t="s">
        <v>74</v>
      </c>
      <c r="E253" t="s">
        <v>74</v>
      </c>
      <c r="F253" t="s">
        <v>4171</v>
      </c>
      <c r="G253" t="s">
        <v>74</v>
      </c>
      <c r="H253" t="s">
        <v>74</v>
      </c>
      <c r="I253" t="s">
        <v>4547</v>
      </c>
      <c r="J253" t="s">
        <v>4548</v>
      </c>
      <c r="K253" t="s">
        <v>74</v>
      </c>
      <c r="L253" t="s">
        <v>74</v>
      </c>
      <c r="M253" t="s">
        <v>77</v>
      </c>
      <c r="N253" t="s">
        <v>78</v>
      </c>
      <c r="O253" t="s">
        <v>74</v>
      </c>
      <c r="P253" t="s">
        <v>74</v>
      </c>
      <c r="Q253" t="s">
        <v>74</v>
      </c>
      <c r="R253" t="s">
        <v>74</v>
      </c>
      <c r="S253" t="s">
        <v>74</v>
      </c>
      <c r="T253" t="s">
        <v>4549</v>
      </c>
      <c r="U253" t="s">
        <v>2773</v>
      </c>
      <c r="V253" t="s">
        <v>4550</v>
      </c>
      <c r="W253" t="s">
        <v>4551</v>
      </c>
      <c r="X253" t="s">
        <v>3214</v>
      </c>
      <c r="Y253" t="s">
        <v>4552</v>
      </c>
      <c r="Z253" t="s">
        <v>4179</v>
      </c>
      <c r="AA253" t="s">
        <v>4180</v>
      </c>
      <c r="AB253" t="s">
        <v>4181</v>
      </c>
      <c r="AC253" t="s">
        <v>74</v>
      </c>
      <c r="AD253" t="s">
        <v>74</v>
      </c>
      <c r="AE253" t="s">
        <v>74</v>
      </c>
      <c r="AF253" t="s">
        <v>74</v>
      </c>
      <c r="AG253">
        <v>59</v>
      </c>
      <c r="AH253">
        <v>36</v>
      </c>
      <c r="AI253">
        <v>37</v>
      </c>
      <c r="AJ253">
        <v>2</v>
      </c>
      <c r="AK253">
        <v>37</v>
      </c>
      <c r="AL253" t="s">
        <v>1099</v>
      </c>
      <c r="AM253" t="s">
        <v>305</v>
      </c>
      <c r="AN253" t="s">
        <v>1100</v>
      </c>
      <c r="AO253" t="s">
        <v>4553</v>
      </c>
      <c r="AP253" t="s">
        <v>4554</v>
      </c>
      <c r="AQ253" t="s">
        <v>74</v>
      </c>
      <c r="AR253" t="s">
        <v>4555</v>
      </c>
      <c r="AS253" t="s">
        <v>4556</v>
      </c>
      <c r="AT253" t="s">
        <v>74</v>
      </c>
      <c r="AU253">
        <v>2010</v>
      </c>
      <c r="AV253">
        <v>12</v>
      </c>
      <c r="AW253">
        <v>2</v>
      </c>
      <c r="AX253" t="s">
        <v>74</v>
      </c>
      <c r="AY253" t="s">
        <v>74</v>
      </c>
      <c r="AZ253" t="s">
        <v>74</v>
      </c>
      <c r="BA253" t="s">
        <v>74</v>
      </c>
      <c r="BB253">
        <v>192</v>
      </c>
      <c r="BC253">
        <v>216</v>
      </c>
      <c r="BD253" t="s">
        <v>4557</v>
      </c>
      <c r="BE253" t="s">
        <v>4558</v>
      </c>
      <c r="BF253" t="str">
        <f>HYPERLINK("http://dx.doi.org/10.1080/14616681003725201","http://dx.doi.org/10.1080/14616681003725201")</f>
        <v>http://dx.doi.org/10.1080/14616681003725201</v>
      </c>
      <c r="BG253" t="s">
        <v>74</v>
      </c>
      <c r="BH253" t="s">
        <v>74</v>
      </c>
      <c r="BI253">
        <v>25</v>
      </c>
      <c r="BJ253" t="s">
        <v>630</v>
      </c>
      <c r="BK253" t="s">
        <v>94</v>
      </c>
      <c r="BL253" t="s">
        <v>631</v>
      </c>
      <c r="BM253" t="s">
        <v>4559</v>
      </c>
      <c r="BN253" t="s">
        <v>74</v>
      </c>
      <c r="BO253" t="s">
        <v>74</v>
      </c>
      <c r="BP253" t="s">
        <v>74</v>
      </c>
      <c r="BQ253" t="s">
        <v>74</v>
      </c>
      <c r="BR253" t="s">
        <v>97</v>
      </c>
      <c r="BS253" t="s">
        <v>4560</v>
      </c>
      <c r="BT253" t="str">
        <f>HYPERLINK("https%3A%2F%2Fwww.webofscience.com%2Fwos%2Fwoscc%2Ffull-record%2FWOS:000278723600002","View Full Record in Web of Science")</f>
        <v>View Full Record in Web of Science</v>
      </c>
    </row>
    <row r="254" spans="1:72" x14ac:dyDescent="0.25">
      <c r="A254" t="s">
        <v>72</v>
      </c>
      <c r="B254" t="s">
        <v>4561</v>
      </c>
      <c r="C254" t="s">
        <v>74</v>
      </c>
      <c r="D254" t="s">
        <v>74</v>
      </c>
      <c r="E254" t="s">
        <v>74</v>
      </c>
      <c r="F254" t="s">
        <v>4562</v>
      </c>
      <c r="G254" t="s">
        <v>74</v>
      </c>
      <c r="H254" t="s">
        <v>74</v>
      </c>
      <c r="I254" t="s">
        <v>4563</v>
      </c>
      <c r="J254" t="s">
        <v>4564</v>
      </c>
      <c r="K254" t="s">
        <v>74</v>
      </c>
      <c r="L254" t="s">
        <v>74</v>
      </c>
      <c r="M254" t="s">
        <v>77</v>
      </c>
      <c r="N254" t="s">
        <v>78</v>
      </c>
      <c r="O254" t="s">
        <v>74</v>
      </c>
      <c r="P254" t="s">
        <v>74</v>
      </c>
      <c r="Q254" t="s">
        <v>74</v>
      </c>
      <c r="R254" t="s">
        <v>74</v>
      </c>
      <c r="S254" t="s">
        <v>74</v>
      </c>
      <c r="T254" t="s">
        <v>4565</v>
      </c>
      <c r="U254" t="s">
        <v>4566</v>
      </c>
      <c r="V254" t="s">
        <v>4567</v>
      </c>
      <c r="W254" t="s">
        <v>4568</v>
      </c>
      <c r="X254" t="s">
        <v>4569</v>
      </c>
      <c r="Y254" t="s">
        <v>4570</v>
      </c>
      <c r="Z254" t="s">
        <v>4571</v>
      </c>
      <c r="AA254" t="s">
        <v>4572</v>
      </c>
      <c r="AB254" t="s">
        <v>4573</v>
      </c>
      <c r="AC254" t="s">
        <v>74</v>
      </c>
      <c r="AD254" t="s">
        <v>74</v>
      </c>
      <c r="AE254" t="s">
        <v>74</v>
      </c>
      <c r="AF254" t="s">
        <v>74</v>
      </c>
      <c r="AG254">
        <v>125</v>
      </c>
      <c r="AH254">
        <v>35</v>
      </c>
      <c r="AI254">
        <v>35</v>
      </c>
      <c r="AJ254">
        <v>15</v>
      </c>
      <c r="AK254">
        <v>68</v>
      </c>
      <c r="AL254" t="s">
        <v>1099</v>
      </c>
      <c r="AM254" t="s">
        <v>305</v>
      </c>
      <c r="AN254" t="s">
        <v>1100</v>
      </c>
      <c r="AO254" t="s">
        <v>4574</v>
      </c>
      <c r="AP254" t="s">
        <v>4575</v>
      </c>
      <c r="AQ254" t="s">
        <v>74</v>
      </c>
      <c r="AR254" t="s">
        <v>4576</v>
      </c>
      <c r="AS254" t="s">
        <v>4577</v>
      </c>
      <c r="AT254" t="s">
        <v>4578</v>
      </c>
      <c r="AU254">
        <v>2021</v>
      </c>
      <c r="AV254">
        <v>30</v>
      </c>
      <c r="AW254">
        <v>8</v>
      </c>
      <c r="AX254" t="s">
        <v>74</v>
      </c>
      <c r="AY254" t="s">
        <v>74</v>
      </c>
      <c r="AZ254" t="s">
        <v>74</v>
      </c>
      <c r="BA254" t="s">
        <v>74</v>
      </c>
      <c r="BB254">
        <v>929</v>
      </c>
      <c r="BC254">
        <v>956</v>
      </c>
      <c r="BD254" t="s">
        <v>74</v>
      </c>
      <c r="BE254" t="s">
        <v>4579</v>
      </c>
      <c r="BF254" t="str">
        <f>HYPERLINK("http://dx.doi.org/10.1080/19368623.2021.1912681","http://dx.doi.org/10.1080/19368623.2021.1912681")</f>
        <v>http://dx.doi.org/10.1080/19368623.2021.1912681</v>
      </c>
      <c r="BG254" t="s">
        <v>74</v>
      </c>
      <c r="BH254" t="s">
        <v>4580</v>
      </c>
      <c r="BI254">
        <v>28</v>
      </c>
      <c r="BJ254" t="s">
        <v>4581</v>
      </c>
      <c r="BK254" t="s">
        <v>94</v>
      </c>
      <c r="BL254" t="s">
        <v>2359</v>
      </c>
      <c r="BM254" t="s">
        <v>4582</v>
      </c>
      <c r="BN254" t="s">
        <v>74</v>
      </c>
      <c r="BO254" t="s">
        <v>74</v>
      </c>
      <c r="BP254" t="s">
        <v>74</v>
      </c>
      <c r="BQ254" t="s">
        <v>74</v>
      </c>
      <c r="BR254" t="s">
        <v>97</v>
      </c>
      <c r="BS254" t="s">
        <v>4583</v>
      </c>
      <c r="BT254" t="str">
        <f>HYPERLINK("https%3A%2F%2Fwww.webofscience.com%2Fwos%2Fwoscc%2Ffull-record%2FWOS:000650472500001","View Full Record in Web of Science")</f>
        <v>View Full Record in Web of Science</v>
      </c>
    </row>
    <row r="255" spans="1:72" x14ac:dyDescent="0.25">
      <c r="A255" t="s">
        <v>72</v>
      </c>
      <c r="B255" t="s">
        <v>4584</v>
      </c>
      <c r="C255" t="s">
        <v>74</v>
      </c>
      <c r="D255" t="s">
        <v>74</v>
      </c>
      <c r="E255" t="s">
        <v>74</v>
      </c>
      <c r="F255" t="s">
        <v>4585</v>
      </c>
      <c r="G255" t="s">
        <v>74</v>
      </c>
      <c r="H255" t="s">
        <v>74</v>
      </c>
      <c r="I255" t="s">
        <v>4586</v>
      </c>
      <c r="J255" t="s">
        <v>3184</v>
      </c>
      <c r="K255" t="s">
        <v>74</v>
      </c>
      <c r="L255" t="s">
        <v>74</v>
      </c>
      <c r="M255" t="s">
        <v>77</v>
      </c>
      <c r="N255" t="s">
        <v>78</v>
      </c>
      <c r="O255" t="s">
        <v>74</v>
      </c>
      <c r="P255" t="s">
        <v>74</v>
      </c>
      <c r="Q255" t="s">
        <v>74</v>
      </c>
      <c r="R255" t="s">
        <v>74</v>
      </c>
      <c r="S255" t="s">
        <v>74</v>
      </c>
      <c r="T255" t="s">
        <v>4587</v>
      </c>
      <c r="U255" t="s">
        <v>4588</v>
      </c>
      <c r="V255" t="s">
        <v>4589</v>
      </c>
      <c r="W255" t="s">
        <v>4590</v>
      </c>
      <c r="X255" t="s">
        <v>4591</v>
      </c>
      <c r="Y255" t="s">
        <v>4592</v>
      </c>
      <c r="Z255" t="s">
        <v>4593</v>
      </c>
      <c r="AA255" t="s">
        <v>4594</v>
      </c>
      <c r="AB255" t="s">
        <v>4595</v>
      </c>
      <c r="AC255" t="s">
        <v>74</v>
      </c>
      <c r="AD255" t="s">
        <v>74</v>
      </c>
      <c r="AE255" t="s">
        <v>74</v>
      </c>
      <c r="AF255" t="s">
        <v>74</v>
      </c>
      <c r="AG255">
        <v>202</v>
      </c>
      <c r="AH255">
        <v>35</v>
      </c>
      <c r="AI255">
        <v>35</v>
      </c>
      <c r="AJ255">
        <v>14</v>
      </c>
      <c r="AK255">
        <v>51</v>
      </c>
      <c r="AL255" t="s">
        <v>3195</v>
      </c>
      <c r="AM255" t="s">
        <v>3196</v>
      </c>
      <c r="AN255" t="s">
        <v>3197</v>
      </c>
      <c r="AO255" t="s">
        <v>3198</v>
      </c>
      <c r="AP255" t="s">
        <v>74</v>
      </c>
      <c r="AQ255" t="s">
        <v>74</v>
      </c>
      <c r="AR255" t="s">
        <v>3199</v>
      </c>
      <c r="AS255" t="s">
        <v>3200</v>
      </c>
      <c r="AT255" t="s">
        <v>4596</v>
      </c>
      <c r="AU255">
        <v>2020</v>
      </c>
      <c r="AV255">
        <v>11</v>
      </c>
      <c r="AW255" t="s">
        <v>74</v>
      </c>
      <c r="AX255" t="s">
        <v>74</v>
      </c>
      <c r="AY255" t="s">
        <v>74</v>
      </c>
      <c r="AZ255" t="s">
        <v>74</v>
      </c>
      <c r="BA255" t="s">
        <v>74</v>
      </c>
      <c r="BB255" t="s">
        <v>74</v>
      </c>
      <c r="BC255" t="s">
        <v>74</v>
      </c>
      <c r="BD255">
        <v>423</v>
      </c>
      <c r="BE255" t="s">
        <v>4597</v>
      </c>
      <c r="BF255" t="str">
        <f>HYPERLINK("http://dx.doi.org/10.3389/fpsyg.2020.00423","http://dx.doi.org/10.3389/fpsyg.2020.00423")</f>
        <v>http://dx.doi.org/10.3389/fpsyg.2020.00423</v>
      </c>
      <c r="BG255" t="s">
        <v>74</v>
      </c>
      <c r="BH255" t="s">
        <v>74</v>
      </c>
      <c r="BI255">
        <v>17</v>
      </c>
      <c r="BJ255" t="s">
        <v>3203</v>
      </c>
      <c r="BK255" t="s">
        <v>94</v>
      </c>
      <c r="BL255" t="s">
        <v>460</v>
      </c>
      <c r="BM255" t="s">
        <v>4598</v>
      </c>
      <c r="BN255">
        <v>32296361</v>
      </c>
      <c r="BO255" t="s">
        <v>4398</v>
      </c>
      <c r="BP255" t="s">
        <v>74</v>
      </c>
      <c r="BQ255" t="s">
        <v>74</v>
      </c>
      <c r="BR255" t="s">
        <v>97</v>
      </c>
      <c r="BS255" t="s">
        <v>4599</v>
      </c>
      <c r="BT255" t="str">
        <f>HYPERLINK("https%3A%2F%2Fwww.webofscience.com%2Fwos%2Fwoscc%2Ffull-record%2FWOS:000526754500001","View Full Record in Web of Science")</f>
        <v>View Full Record in Web of Science</v>
      </c>
    </row>
    <row r="256" spans="1:72" x14ac:dyDescent="0.25">
      <c r="A256" t="s">
        <v>72</v>
      </c>
      <c r="B256" t="s">
        <v>4600</v>
      </c>
      <c r="C256" t="s">
        <v>74</v>
      </c>
      <c r="D256" t="s">
        <v>74</v>
      </c>
      <c r="E256" t="s">
        <v>74</v>
      </c>
      <c r="F256" t="s">
        <v>4601</v>
      </c>
      <c r="G256" t="s">
        <v>74</v>
      </c>
      <c r="H256" t="s">
        <v>74</v>
      </c>
      <c r="I256" t="s">
        <v>4602</v>
      </c>
      <c r="J256" t="s">
        <v>4603</v>
      </c>
      <c r="K256" t="s">
        <v>74</v>
      </c>
      <c r="L256" t="s">
        <v>74</v>
      </c>
      <c r="M256" t="s">
        <v>77</v>
      </c>
      <c r="N256" t="s">
        <v>78</v>
      </c>
      <c r="O256" t="s">
        <v>74</v>
      </c>
      <c r="P256" t="s">
        <v>74</v>
      </c>
      <c r="Q256" t="s">
        <v>74</v>
      </c>
      <c r="R256" t="s">
        <v>74</v>
      </c>
      <c r="S256" t="s">
        <v>74</v>
      </c>
      <c r="T256" t="s">
        <v>4604</v>
      </c>
      <c r="U256" t="s">
        <v>4605</v>
      </c>
      <c r="V256" t="s">
        <v>4606</v>
      </c>
      <c r="W256" t="s">
        <v>4607</v>
      </c>
      <c r="X256" t="s">
        <v>4608</v>
      </c>
      <c r="Y256" t="s">
        <v>4609</v>
      </c>
      <c r="Z256" t="s">
        <v>4610</v>
      </c>
      <c r="AA256" t="s">
        <v>74</v>
      </c>
      <c r="AB256" t="s">
        <v>3794</v>
      </c>
      <c r="AC256" t="s">
        <v>4611</v>
      </c>
      <c r="AD256" t="s">
        <v>3508</v>
      </c>
      <c r="AE256" t="s">
        <v>4612</v>
      </c>
      <c r="AF256" t="s">
        <v>74</v>
      </c>
      <c r="AG256">
        <v>154</v>
      </c>
      <c r="AH256">
        <v>35</v>
      </c>
      <c r="AI256">
        <v>35</v>
      </c>
      <c r="AJ256">
        <v>8</v>
      </c>
      <c r="AK256">
        <v>90</v>
      </c>
      <c r="AL256" t="s">
        <v>665</v>
      </c>
      <c r="AM256" t="s">
        <v>666</v>
      </c>
      <c r="AN256" t="s">
        <v>667</v>
      </c>
      <c r="AO256" t="s">
        <v>4613</v>
      </c>
      <c r="AP256" t="s">
        <v>4614</v>
      </c>
      <c r="AQ256" t="s">
        <v>74</v>
      </c>
      <c r="AR256" t="s">
        <v>4615</v>
      </c>
      <c r="AS256" t="s">
        <v>4616</v>
      </c>
      <c r="AT256" t="s">
        <v>4617</v>
      </c>
      <c r="AU256">
        <v>2019</v>
      </c>
      <c r="AV256">
        <v>41</v>
      </c>
      <c r="AW256">
        <v>6</v>
      </c>
      <c r="AX256" t="s">
        <v>74</v>
      </c>
      <c r="AY256" t="s">
        <v>74</v>
      </c>
      <c r="AZ256" t="s">
        <v>74</v>
      </c>
      <c r="BA256" t="s">
        <v>74</v>
      </c>
      <c r="BB256">
        <v>1288</v>
      </c>
      <c r="BC256">
        <v>1311</v>
      </c>
      <c r="BD256" t="s">
        <v>74</v>
      </c>
      <c r="BE256" t="s">
        <v>4618</v>
      </c>
      <c r="BF256" t="str">
        <f>HYPERLINK("http://dx.doi.org/10.1108/ER-01-2017-0007","http://dx.doi.org/10.1108/ER-01-2017-0007")</f>
        <v>http://dx.doi.org/10.1108/ER-01-2017-0007</v>
      </c>
      <c r="BG256" t="s">
        <v>74</v>
      </c>
      <c r="BH256" t="s">
        <v>74</v>
      </c>
      <c r="BI256">
        <v>24</v>
      </c>
      <c r="BJ256" t="s">
        <v>673</v>
      </c>
      <c r="BK256" t="s">
        <v>94</v>
      </c>
      <c r="BL256" t="s">
        <v>95</v>
      </c>
      <c r="BM256" t="s">
        <v>4619</v>
      </c>
      <c r="BN256" t="s">
        <v>74</v>
      </c>
      <c r="BO256" t="s">
        <v>74</v>
      </c>
      <c r="BP256" t="s">
        <v>74</v>
      </c>
      <c r="BQ256" t="s">
        <v>74</v>
      </c>
      <c r="BR256" t="s">
        <v>97</v>
      </c>
      <c r="BS256" t="s">
        <v>4620</v>
      </c>
      <c r="BT256" t="str">
        <f>HYPERLINK("https%3A%2F%2Fwww.webofscience.com%2Fwos%2Fwoscc%2Ffull-record%2FWOS:000487036600009","View Full Record in Web of Science")</f>
        <v>View Full Record in Web of Science</v>
      </c>
    </row>
    <row r="257" spans="1:72" x14ac:dyDescent="0.25">
      <c r="A257" t="s">
        <v>72</v>
      </c>
      <c r="B257" t="s">
        <v>4621</v>
      </c>
      <c r="C257" t="s">
        <v>74</v>
      </c>
      <c r="D257" t="s">
        <v>74</v>
      </c>
      <c r="E257" t="s">
        <v>74</v>
      </c>
      <c r="F257" t="s">
        <v>4622</v>
      </c>
      <c r="G257" t="s">
        <v>74</v>
      </c>
      <c r="H257" t="s">
        <v>74</v>
      </c>
      <c r="I257" t="s">
        <v>4623</v>
      </c>
      <c r="J257" t="s">
        <v>4134</v>
      </c>
      <c r="K257" t="s">
        <v>74</v>
      </c>
      <c r="L257" t="s">
        <v>74</v>
      </c>
      <c r="M257" t="s">
        <v>77</v>
      </c>
      <c r="N257" t="s">
        <v>319</v>
      </c>
      <c r="O257" t="s">
        <v>4624</v>
      </c>
      <c r="P257" t="s">
        <v>4625</v>
      </c>
      <c r="Q257" t="s">
        <v>4626</v>
      </c>
      <c r="R257" t="s">
        <v>4627</v>
      </c>
      <c r="S257" t="s">
        <v>74</v>
      </c>
      <c r="T257" t="s">
        <v>4628</v>
      </c>
      <c r="U257" t="s">
        <v>4629</v>
      </c>
      <c r="V257" t="s">
        <v>4630</v>
      </c>
      <c r="W257" t="s">
        <v>4631</v>
      </c>
      <c r="X257" t="s">
        <v>4632</v>
      </c>
      <c r="Y257" t="s">
        <v>4633</v>
      </c>
      <c r="Z257" t="s">
        <v>4634</v>
      </c>
      <c r="AA257" t="s">
        <v>4635</v>
      </c>
      <c r="AB257" t="s">
        <v>74</v>
      </c>
      <c r="AC257" t="s">
        <v>74</v>
      </c>
      <c r="AD257" t="s">
        <v>74</v>
      </c>
      <c r="AE257" t="s">
        <v>74</v>
      </c>
      <c r="AF257" t="s">
        <v>74</v>
      </c>
      <c r="AG257">
        <v>49</v>
      </c>
      <c r="AH257">
        <v>35</v>
      </c>
      <c r="AI257">
        <v>35</v>
      </c>
      <c r="AJ257">
        <v>5</v>
      </c>
      <c r="AK257">
        <v>45</v>
      </c>
      <c r="AL257" t="s">
        <v>665</v>
      </c>
      <c r="AM257" t="s">
        <v>666</v>
      </c>
      <c r="AN257" t="s">
        <v>667</v>
      </c>
      <c r="AO257" t="s">
        <v>4144</v>
      </c>
      <c r="AP257" t="s">
        <v>4145</v>
      </c>
      <c r="AQ257" t="s">
        <v>74</v>
      </c>
      <c r="AR257" t="s">
        <v>4146</v>
      </c>
      <c r="AS257" t="s">
        <v>4147</v>
      </c>
      <c r="AT257" t="s">
        <v>4636</v>
      </c>
      <c r="AU257">
        <v>2019</v>
      </c>
      <c r="AV257">
        <v>22</v>
      </c>
      <c r="AW257">
        <v>1</v>
      </c>
      <c r="AX257" t="s">
        <v>74</v>
      </c>
      <c r="AY257" t="s">
        <v>74</v>
      </c>
      <c r="AZ257" t="s">
        <v>74</v>
      </c>
      <c r="BA257" t="s">
        <v>74</v>
      </c>
      <c r="BB257">
        <v>41</v>
      </c>
      <c r="BC257">
        <v>58</v>
      </c>
      <c r="BD257" t="s">
        <v>74</v>
      </c>
      <c r="BE257" t="s">
        <v>4637</v>
      </c>
      <c r="BF257" t="str">
        <f>HYPERLINK("http://dx.doi.org/10.1108/EJIM-05-2018-0088","http://dx.doi.org/10.1108/EJIM-05-2018-0088")</f>
        <v>http://dx.doi.org/10.1108/EJIM-05-2018-0088</v>
      </c>
      <c r="BG257" t="s">
        <v>74</v>
      </c>
      <c r="BH257" t="s">
        <v>74</v>
      </c>
      <c r="BI257">
        <v>18</v>
      </c>
      <c r="BJ257" t="s">
        <v>93</v>
      </c>
      <c r="BK257" t="s">
        <v>338</v>
      </c>
      <c r="BL257" t="s">
        <v>95</v>
      </c>
      <c r="BM257" t="s">
        <v>4638</v>
      </c>
      <c r="BN257" t="s">
        <v>74</v>
      </c>
      <c r="BO257" t="s">
        <v>74</v>
      </c>
      <c r="BP257" t="s">
        <v>74</v>
      </c>
      <c r="BQ257" t="s">
        <v>74</v>
      </c>
      <c r="BR257" t="s">
        <v>97</v>
      </c>
      <c r="BS257" t="s">
        <v>4639</v>
      </c>
      <c r="BT257" t="str">
        <f>HYPERLINK("https%3A%2F%2Fwww.webofscience.com%2Fwos%2Fwoscc%2Ffull-record%2FWOS:000454910000003","View Full Record in Web of Science")</f>
        <v>View Full Record in Web of Science</v>
      </c>
    </row>
    <row r="258" spans="1:72" x14ac:dyDescent="0.25">
      <c r="A258" t="s">
        <v>72</v>
      </c>
      <c r="B258" t="s">
        <v>4640</v>
      </c>
      <c r="C258" t="s">
        <v>74</v>
      </c>
      <c r="D258" t="s">
        <v>74</v>
      </c>
      <c r="E258" t="s">
        <v>74</v>
      </c>
      <c r="F258" t="s">
        <v>4641</v>
      </c>
      <c r="G258" t="s">
        <v>74</v>
      </c>
      <c r="H258" t="s">
        <v>74</v>
      </c>
      <c r="I258" t="s">
        <v>4642</v>
      </c>
      <c r="J258" t="s">
        <v>4643</v>
      </c>
      <c r="K258" t="s">
        <v>74</v>
      </c>
      <c r="L258" t="s">
        <v>74</v>
      </c>
      <c r="M258" t="s">
        <v>77</v>
      </c>
      <c r="N258" t="s">
        <v>78</v>
      </c>
      <c r="O258" t="s">
        <v>74</v>
      </c>
      <c r="P258" t="s">
        <v>74</v>
      </c>
      <c r="Q258" t="s">
        <v>74</v>
      </c>
      <c r="R258" t="s">
        <v>74</v>
      </c>
      <c r="S258" t="s">
        <v>74</v>
      </c>
      <c r="T258" t="s">
        <v>4644</v>
      </c>
      <c r="U258" t="s">
        <v>4645</v>
      </c>
      <c r="V258" t="s">
        <v>4646</v>
      </c>
      <c r="W258" t="s">
        <v>4647</v>
      </c>
      <c r="X258" t="s">
        <v>4648</v>
      </c>
      <c r="Y258" t="s">
        <v>4649</v>
      </c>
      <c r="Z258" t="s">
        <v>4650</v>
      </c>
      <c r="AA258" t="s">
        <v>4651</v>
      </c>
      <c r="AB258" t="s">
        <v>4652</v>
      </c>
      <c r="AC258" t="s">
        <v>74</v>
      </c>
      <c r="AD258" t="s">
        <v>74</v>
      </c>
      <c r="AE258" t="s">
        <v>74</v>
      </c>
      <c r="AF258" t="s">
        <v>74</v>
      </c>
      <c r="AG258">
        <v>44</v>
      </c>
      <c r="AH258">
        <v>35</v>
      </c>
      <c r="AI258">
        <v>35</v>
      </c>
      <c r="AJ258">
        <v>0</v>
      </c>
      <c r="AK258">
        <v>27</v>
      </c>
      <c r="AL258" t="s">
        <v>511</v>
      </c>
      <c r="AM258" t="s">
        <v>435</v>
      </c>
      <c r="AN258" t="s">
        <v>512</v>
      </c>
      <c r="AO258" t="s">
        <v>4653</v>
      </c>
      <c r="AP258" t="s">
        <v>4654</v>
      </c>
      <c r="AQ258" t="s">
        <v>74</v>
      </c>
      <c r="AR258" t="s">
        <v>4655</v>
      </c>
      <c r="AS258" t="s">
        <v>4656</v>
      </c>
      <c r="AT258" t="s">
        <v>1364</v>
      </c>
      <c r="AU258">
        <v>2012</v>
      </c>
      <c r="AV258">
        <v>217</v>
      </c>
      <c r="AW258">
        <v>2</v>
      </c>
      <c r="AX258" t="s">
        <v>74</v>
      </c>
      <c r="AY258" t="s">
        <v>74</v>
      </c>
      <c r="AZ258" t="s">
        <v>74</v>
      </c>
      <c r="BA258" t="s">
        <v>74</v>
      </c>
      <c r="BB258">
        <v>459</v>
      </c>
      <c r="BC258">
        <v>469</v>
      </c>
      <c r="BD258" t="s">
        <v>74</v>
      </c>
      <c r="BE258" t="s">
        <v>4657</v>
      </c>
      <c r="BF258" t="str">
        <f>HYPERLINK("http://dx.doi.org/10.1016/j.ejor.2011.09.035","http://dx.doi.org/10.1016/j.ejor.2011.09.035")</f>
        <v>http://dx.doi.org/10.1016/j.ejor.2011.09.035</v>
      </c>
      <c r="BG258" t="s">
        <v>74</v>
      </c>
      <c r="BH258" t="s">
        <v>74</v>
      </c>
      <c r="BI258">
        <v>11</v>
      </c>
      <c r="BJ258" t="s">
        <v>4658</v>
      </c>
      <c r="BK258" t="s">
        <v>283</v>
      </c>
      <c r="BL258" t="s">
        <v>4659</v>
      </c>
      <c r="BM258" t="s">
        <v>4660</v>
      </c>
      <c r="BN258" t="s">
        <v>74</v>
      </c>
      <c r="BO258" t="s">
        <v>74</v>
      </c>
      <c r="BP258" t="s">
        <v>74</v>
      </c>
      <c r="BQ258" t="s">
        <v>74</v>
      </c>
      <c r="BR258" t="s">
        <v>97</v>
      </c>
      <c r="BS258" t="s">
        <v>4661</v>
      </c>
      <c r="BT258" t="str">
        <f>HYPERLINK("https%3A%2F%2Fwww.webofscience.com%2Fwos%2Fwoscc%2Ffull-record%2FWOS:000297873700023","View Full Record in Web of Science")</f>
        <v>View Full Record in Web of Science</v>
      </c>
    </row>
    <row r="259" spans="1:72" x14ac:dyDescent="0.25">
      <c r="A259" t="s">
        <v>72</v>
      </c>
      <c r="B259" t="s">
        <v>4662</v>
      </c>
      <c r="C259" t="s">
        <v>74</v>
      </c>
      <c r="D259" t="s">
        <v>74</v>
      </c>
      <c r="E259" t="s">
        <v>74</v>
      </c>
      <c r="F259" t="s">
        <v>4663</v>
      </c>
      <c r="G259" t="s">
        <v>74</v>
      </c>
      <c r="H259" t="s">
        <v>74</v>
      </c>
      <c r="I259" t="s">
        <v>4664</v>
      </c>
      <c r="J259" t="s">
        <v>466</v>
      </c>
      <c r="K259" t="s">
        <v>74</v>
      </c>
      <c r="L259" t="s">
        <v>74</v>
      </c>
      <c r="M259" t="s">
        <v>77</v>
      </c>
      <c r="N259" t="s">
        <v>78</v>
      </c>
      <c r="O259" t="s">
        <v>74</v>
      </c>
      <c r="P259" t="s">
        <v>74</v>
      </c>
      <c r="Q259" t="s">
        <v>74</v>
      </c>
      <c r="R259" t="s">
        <v>74</v>
      </c>
      <c r="S259" t="s">
        <v>74</v>
      </c>
      <c r="T259" t="s">
        <v>4665</v>
      </c>
      <c r="U259" t="s">
        <v>4666</v>
      </c>
      <c r="V259" t="s">
        <v>4667</v>
      </c>
      <c r="W259" t="s">
        <v>4668</v>
      </c>
      <c r="X259" t="s">
        <v>4669</v>
      </c>
      <c r="Y259" t="s">
        <v>4670</v>
      </c>
      <c r="Z259" t="s">
        <v>4671</v>
      </c>
      <c r="AA259" t="s">
        <v>74</v>
      </c>
      <c r="AB259" t="s">
        <v>4672</v>
      </c>
      <c r="AC259" t="s">
        <v>4673</v>
      </c>
      <c r="AD259" t="s">
        <v>4674</v>
      </c>
      <c r="AE259" t="s">
        <v>4675</v>
      </c>
      <c r="AF259" t="s">
        <v>74</v>
      </c>
      <c r="AG259">
        <v>84</v>
      </c>
      <c r="AH259">
        <v>34</v>
      </c>
      <c r="AI259">
        <v>35</v>
      </c>
      <c r="AJ259">
        <v>17</v>
      </c>
      <c r="AK259">
        <v>89</v>
      </c>
      <c r="AL259" t="s">
        <v>218</v>
      </c>
      <c r="AM259" t="s">
        <v>219</v>
      </c>
      <c r="AN259" t="s">
        <v>220</v>
      </c>
      <c r="AO259" t="s">
        <v>476</v>
      </c>
      <c r="AP259" t="s">
        <v>477</v>
      </c>
      <c r="AQ259" t="s">
        <v>74</v>
      </c>
      <c r="AR259" t="s">
        <v>478</v>
      </c>
      <c r="AS259" t="s">
        <v>479</v>
      </c>
      <c r="AT259" t="s">
        <v>375</v>
      </c>
      <c r="AU259">
        <v>2020</v>
      </c>
      <c r="AV259">
        <v>54</v>
      </c>
      <c r="AW259">
        <v>4</v>
      </c>
      <c r="AX259" t="s">
        <v>74</v>
      </c>
      <c r="AY259" t="s">
        <v>74</v>
      </c>
      <c r="AZ259" t="s">
        <v>74</v>
      </c>
      <c r="BA259" t="s">
        <v>74</v>
      </c>
      <c r="BB259">
        <v>912</v>
      </c>
      <c r="BC259">
        <v>925</v>
      </c>
      <c r="BD259" t="s">
        <v>74</v>
      </c>
      <c r="BE259" t="s">
        <v>4676</v>
      </c>
      <c r="BF259" t="str">
        <f>HYPERLINK("http://dx.doi.org/10.1002/jocb.419","http://dx.doi.org/10.1002/jocb.419")</f>
        <v>http://dx.doi.org/10.1002/jocb.419</v>
      </c>
      <c r="BG259" t="s">
        <v>74</v>
      </c>
      <c r="BH259" t="s">
        <v>4677</v>
      </c>
      <c r="BI259">
        <v>14</v>
      </c>
      <c r="BJ259" t="s">
        <v>481</v>
      </c>
      <c r="BK259" t="s">
        <v>94</v>
      </c>
      <c r="BL259" t="s">
        <v>460</v>
      </c>
      <c r="BM259" t="s">
        <v>4678</v>
      </c>
      <c r="BN259" t="s">
        <v>74</v>
      </c>
      <c r="BO259" t="s">
        <v>74</v>
      </c>
      <c r="BP259" t="s">
        <v>74</v>
      </c>
      <c r="BQ259" t="s">
        <v>74</v>
      </c>
      <c r="BR259" t="s">
        <v>97</v>
      </c>
      <c r="BS259" t="s">
        <v>4679</v>
      </c>
      <c r="BT259" t="str">
        <f>HYPERLINK("https%3A%2F%2Fwww.webofscience.com%2Fwos%2Fwoscc%2Ffull-record%2FWOS:000474259800001","View Full Record in Web of Science")</f>
        <v>View Full Record in Web of Science</v>
      </c>
    </row>
    <row r="260" spans="1:72" x14ac:dyDescent="0.25">
      <c r="A260" t="s">
        <v>72</v>
      </c>
      <c r="B260" t="s">
        <v>2946</v>
      </c>
      <c r="C260" t="s">
        <v>74</v>
      </c>
      <c r="D260" t="s">
        <v>74</v>
      </c>
      <c r="E260" t="s">
        <v>74</v>
      </c>
      <c r="F260" t="s">
        <v>2947</v>
      </c>
      <c r="G260" t="s">
        <v>74</v>
      </c>
      <c r="H260" t="s">
        <v>74</v>
      </c>
      <c r="I260" t="s">
        <v>4680</v>
      </c>
      <c r="J260" t="s">
        <v>1290</v>
      </c>
      <c r="K260" t="s">
        <v>74</v>
      </c>
      <c r="L260" t="s">
        <v>74</v>
      </c>
      <c r="M260" t="s">
        <v>77</v>
      </c>
      <c r="N260" t="s">
        <v>78</v>
      </c>
      <c r="O260" t="s">
        <v>74</v>
      </c>
      <c r="P260" t="s">
        <v>74</v>
      </c>
      <c r="Q260" t="s">
        <v>74</v>
      </c>
      <c r="R260" t="s">
        <v>74</v>
      </c>
      <c r="S260" t="s">
        <v>74</v>
      </c>
      <c r="T260" t="s">
        <v>4681</v>
      </c>
      <c r="U260" t="s">
        <v>4682</v>
      </c>
      <c r="V260" t="s">
        <v>4683</v>
      </c>
      <c r="W260" t="s">
        <v>4684</v>
      </c>
      <c r="X260" t="s">
        <v>4685</v>
      </c>
      <c r="Y260" t="s">
        <v>4686</v>
      </c>
      <c r="Z260" t="s">
        <v>4687</v>
      </c>
      <c r="AA260" t="s">
        <v>4688</v>
      </c>
      <c r="AB260" t="s">
        <v>4689</v>
      </c>
      <c r="AC260" t="s">
        <v>74</v>
      </c>
      <c r="AD260" t="s">
        <v>74</v>
      </c>
      <c r="AE260" t="s">
        <v>74</v>
      </c>
      <c r="AF260" t="s">
        <v>74</v>
      </c>
      <c r="AG260">
        <v>76</v>
      </c>
      <c r="AH260">
        <v>34</v>
      </c>
      <c r="AI260">
        <v>36</v>
      </c>
      <c r="AJ260">
        <v>15</v>
      </c>
      <c r="AK260">
        <v>128</v>
      </c>
      <c r="AL260" t="s">
        <v>665</v>
      </c>
      <c r="AM260" t="s">
        <v>666</v>
      </c>
      <c r="AN260" t="s">
        <v>667</v>
      </c>
      <c r="AO260" t="s">
        <v>1300</v>
      </c>
      <c r="AP260" t="s">
        <v>1301</v>
      </c>
      <c r="AQ260" t="s">
        <v>74</v>
      </c>
      <c r="AR260" t="s">
        <v>1302</v>
      </c>
      <c r="AS260" t="s">
        <v>1303</v>
      </c>
      <c r="AT260" t="s">
        <v>74</v>
      </c>
      <c r="AU260">
        <v>2018</v>
      </c>
      <c r="AV260">
        <v>30</v>
      </c>
      <c r="AW260">
        <v>4</v>
      </c>
      <c r="AX260" t="s">
        <v>74</v>
      </c>
      <c r="AY260" t="s">
        <v>74</v>
      </c>
      <c r="AZ260" t="s">
        <v>860</v>
      </c>
      <c r="BA260" t="s">
        <v>74</v>
      </c>
      <c r="BB260">
        <v>2112</v>
      </c>
      <c r="BC260">
        <v>2131</v>
      </c>
      <c r="BD260" t="s">
        <v>74</v>
      </c>
      <c r="BE260" t="s">
        <v>4690</v>
      </c>
      <c r="BF260" t="str">
        <f>HYPERLINK("http://dx.doi.org/10.1108/IJCHM-08-2016-0465","http://dx.doi.org/10.1108/IJCHM-08-2016-0465")</f>
        <v>http://dx.doi.org/10.1108/IJCHM-08-2016-0465</v>
      </c>
      <c r="BG260" t="s">
        <v>74</v>
      </c>
      <c r="BH260" t="s">
        <v>74</v>
      </c>
      <c r="BI260">
        <v>20</v>
      </c>
      <c r="BJ260" t="s">
        <v>1305</v>
      </c>
      <c r="BK260" t="s">
        <v>94</v>
      </c>
      <c r="BL260" t="s">
        <v>1306</v>
      </c>
      <c r="BM260" t="s">
        <v>4691</v>
      </c>
      <c r="BN260" t="s">
        <v>74</v>
      </c>
      <c r="BO260" t="s">
        <v>74</v>
      </c>
      <c r="BP260" t="s">
        <v>74</v>
      </c>
      <c r="BQ260" t="s">
        <v>74</v>
      </c>
      <c r="BR260" t="s">
        <v>97</v>
      </c>
      <c r="BS260" t="s">
        <v>4692</v>
      </c>
      <c r="BT260" t="str">
        <f>HYPERLINK("https%3A%2F%2Fwww.webofscience.com%2Fwos%2Fwoscc%2Ffull-record%2FWOS:000431030700007","View Full Record in Web of Science")</f>
        <v>View Full Record in Web of Science</v>
      </c>
    </row>
    <row r="261" spans="1:72" x14ac:dyDescent="0.25">
      <c r="A261" t="s">
        <v>72</v>
      </c>
      <c r="B261" t="s">
        <v>4693</v>
      </c>
      <c r="C261" t="s">
        <v>74</v>
      </c>
      <c r="D261" t="s">
        <v>74</v>
      </c>
      <c r="E261" t="s">
        <v>74</v>
      </c>
      <c r="F261" t="s">
        <v>4694</v>
      </c>
      <c r="G261" t="s">
        <v>74</v>
      </c>
      <c r="H261" t="s">
        <v>74</v>
      </c>
      <c r="I261" t="s">
        <v>4695</v>
      </c>
      <c r="J261" t="s">
        <v>4696</v>
      </c>
      <c r="K261" t="s">
        <v>74</v>
      </c>
      <c r="L261" t="s">
        <v>74</v>
      </c>
      <c r="M261" t="s">
        <v>77</v>
      </c>
      <c r="N261" t="s">
        <v>78</v>
      </c>
      <c r="O261" t="s">
        <v>74</v>
      </c>
      <c r="P261" t="s">
        <v>74</v>
      </c>
      <c r="Q261" t="s">
        <v>74</v>
      </c>
      <c r="R261" t="s">
        <v>74</v>
      </c>
      <c r="S261" t="s">
        <v>74</v>
      </c>
      <c r="T261" t="s">
        <v>4697</v>
      </c>
      <c r="U261" t="s">
        <v>4698</v>
      </c>
      <c r="V261" t="s">
        <v>4699</v>
      </c>
      <c r="W261" t="s">
        <v>4700</v>
      </c>
      <c r="X261" t="s">
        <v>4701</v>
      </c>
      <c r="Y261" t="s">
        <v>4702</v>
      </c>
      <c r="Z261" t="s">
        <v>4703</v>
      </c>
      <c r="AA261" t="s">
        <v>4704</v>
      </c>
      <c r="AB261" t="s">
        <v>4705</v>
      </c>
      <c r="AC261" t="s">
        <v>74</v>
      </c>
      <c r="AD261" t="s">
        <v>74</v>
      </c>
      <c r="AE261" t="s">
        <v>74</v>
      </c>
      <c r="AF261" t="s">
        <v>74</v>
      </c>
      <c r="AG261">
        <v>89</v>
      </c>
      <c r="AH261">
        <v>34</v>
      </c>
      <c r="AI261">
        <v>34</v>
      </c>
      <c r="AJ261">
        <v>4</v>
      </c>
      <c r="AK261">
        <v>68</v>
      </c>
      <c r="AL261" t="s">
        <v>434</v>
      </c>
      <c r="AM261" t="s">
        <v>435</v>
      </c>
      <c r="AN261" t="s">
        <v>436</v>
      </c>
      <c r="AO261" t="s">
        <v>4706</v>
      </c>
      <c r="AP261" t="s">
        <v>4707</v>
      </c>
      <c r="AQ261" t="s">
        <v>74</v>
      </c>
      <c r="AR261" t="s">
        <v>4708</v>
      </c>
      <c r="AS261" t="s">
        <v>4709</v>
      </c>
      <c r="AT261" t="s">
        <v>375</v>
      </c>
      <c r="AU261">
        <v>2015</v>
      </c>
      <c r="AV261">
        <v>24</v>
      </c>
      <c r="AW261">
        <v>4</v>
      </c>
      <c r="AX261" t="s">
        <v>74</v>
      </c>
      <c r="AY261" t="s">
        <v>74</v>
      </c>
      <c r="AZ261" t="s">
        <v>74</v>
      </c>
      <c r="BA261" t="s">
        <v>74</v>
      </c>
      <c r="BB261">
        <v>255</v>
      </c>
      <c r="BC261">
        <v>269</v>
      </c>
      <c r="BD261" t="s">
        <v>74</v>
      </c>
      <c r="BE261" t="s">
        <v>4710</v>
      </c>
      <c r="BF261" t="str">
        <f>HYPERLINK("http://dx.doi.org/10.1016/j.jsis.2015.10.003","http://dx.doi.org/10.1016/j.jsis.2015.10.003")</f>
        <v>http://dx.doi.org/10.1016/j.jsis.2015.10.003</v>
      </c>
      <c r="BG261" t="s">
        <v>74</v>
      </c>
      <c r="BH261" t="s">
        <v>74</v>
      </c>
      <c r="BI261">
        <v>15</v>
      </c>
      <c r="BJ261" t="s">
        <v>960</v>
      </c>
      <c r="BK261" t="s">
        <v>147</v>
      </c>
      <c r="BL261" t="s">
        <v>961</v>
      </c>
      <c r="BM261" t="s">
        <v>4711</v>
      </c>
      <c r="BN261" t="s">
        <v>74</v>
      </c>
      <c r="BO261" t="s">
        <v>74</v>
      </c>
      <c r="BP261" t="s">
        <v>74</v>
      </c>
      <c r="BQ261" t="s">
        <v>74</v>
      </c>
      <c r="BR261" t="s">
        <v>97</v>
      </c>
      <c r="BS261" t="s">
        <v>4712</v>
      </c>
      <c r="BT261" t="str">
        <f>HYPERLINK("https%3A%2F%2Fwww.webofscience.com%2Fwos%2Fwoscc%2Ffull-record%2FWOS:000367121600005","View Full Record in Web of Science")</f>
        <v>View Full Record in Web of Science</v>
      </c>
    </row>
    <row r="262" spans="1:72" x14ac:dyDescent="0.25">
      <c r="A262" t="s">
        <v>72</v>
      </c>
      <c r="B262" t="s">
        <v>4713</v>
      </c>
      <c r="C262" t="s">
        <v>74</v>
      </c>
      <c r="D262" t="s">
        <v>74</v>
      </c>
      <c r="E262" t="s">
        <v>74</v>
      </c>
      <c r="F262" t="s">
        <v>4714</v>
      </c>
      <c r="G262" t="s">
        <v>74</v>
      </c>
      <c r="H262" t="s">
        <v>74</v>
      </c>
      <c r="I262" t="s">
        <v>4715</v>
      </c>
      <c r="J262" t="s">
        <v>1760</v>
      </c>
      <c r="K262" t="s">
        <v>74</v>
      </c>
      <c r="L262" t="s">
        <v>74</v>
      </c>
      <c r="M262" t="s">
        <v>77</v>
      </c>
      <c r="N262" t="s">
        <v>78</v>
      </c>
      <c r="O262" t="s">
        <v>74</v>
      </c>
      <c r="P262" t="s">
        <v>74</v>
      </c>
      <c r="Q262" t="s">
        <v>74</v>
      </c>
      <c r="R262" t="s">
        <v>74</v>
      </c>
      <c r="S262" t="s">
        <v>74</v>
      </c>
      <c r="T262" t="s">
        <v>4716</v>
      </c>
      <c r="U262" t="s">
        <v>4717</v>
      </c>
      <c r="V262" t="s">
        <v>4718</v>
      </c>
      <c r="W262" t="s">
        <v>4719</v>
      </c>
      <c r="X262" t="s">
        <v>4720</v>
      </c>
      <c r="Y262" t="s">
        <v>4721</v>
      </c>
      <c r="Z262" t="s">
        <v>4722</v>
      </c>
      <c r="AA262" t="s">
        <v>4723</v>
      </c>
      <c r="AB262" t="s">
        <v>4724</v>
      </c>
      <c r="AC262" t="s">
        <v>4725</v>
      </c>
      <c r="AD262" t="s">
        <v>4726</v>
      </c>
      <c r="AE262" t="s">
        <v>4727</v>
      </c>
      <c r="AF262" t="s">
        <v>74</v>
      </c>
      <c r="AG262">
        <v>18</v>
      </c>
      <c r="AH262">
        <v>34</v>
      </c>
      <c r="AI262">
        <v>34</v>
      </c>
      <c r="AJ262">
        <v>0</v>
      </c>
      <c r="AK262">
        <v>34</v>
      </c>
      <c r="AL262" t="s">
        <v>1006</v>
      </c>
      <c r="AM262" t="s">
        <v>160</v>
      </c>
      <c r="AN262" t="s">
        <v>1007</v>
      </c>
      <c r="AO262" t="s">
        <v>1767</v>
      </c>
      <c r="AP262" t="s">
        <v>4728</v>
      </c>
      <c r="AQ262" t="s">
        <v>74</v>
      </c>
      <c r="AR262" t="s">
        <v>1768</v>
      </c>
      <c r="AS262" t="s">
        <v>1769</v>
      </c>
      <c r="AT262" t="s">
        <v>91</v>
      </c>
      <c r="AU262">
        <v>2015</v>
      </c>
      <c r="AV262">
        <v>24</v>
      </c>
      <c r="AW262">
        <v>3</v>
      </c>
      <c r="AX262" t="s">
        <v>74</v>
      </c>
      <c r="AY262" t="s">
        <v>74</v>
      </c>
      <c r="AZ262" t="s">
        <v>74</v>
      </c>
      <c r="BA262" t="s">
        <v>74</v>
      </c>
      <c r="BB262">
        <v>603</v>
      </c>
      <c r="BC262">
        <v>611</v>
      </c>
      <c r="BD262" t="s">
        <v>74</v>
      </c>
      <c r="BE262" t="s">
        <v>4729</v>
      </c>
      <c r="BF262" t="str">
        <f>HYPERLINK("http://dx.doi.org/10.1093/icc/dtv015","http://dx.doi.org/10.1093/icc/dtv015")</f>
        <v>http://dx.doi.org/10.1093/icc/dtv015</v>
      </c>
      <c r="BG262" t="s">
        <v>74</v>
      </c>
      <c r="BH262" t="s">
        <v>74</v>
      </c>
      <c r="BI262">
        <v>9</v>
      </c>
      <c r="BJ262" t="s">
        <v>1199</v>
      </c>
      <c r="BK262" t="s">
        <v>94</v>
      </c>
      <c r="BL262" t="s">
        <v>95</v>
      </c>
      <c r="BM262" t="s">
        <v>4730</v>
      </c>
      <c r="BN262" t="s">
        <v>74</v>
      </c>
      <c r="BO262" t="s">
        <v>718</v>
      </c>
      <c r="BP262" t="s">
        <v>74</v>
      </c>
      <c r="BQ262" t="s">
        <v>74</v>
      </c>
      <c r="BR262" t="s">
        <v>97</v>
      </c>
      <c r="BS262" t="s">
        <v>4731</v>
      </c>
      <c r="BT262" t="str">
        <f>HYPERLINK("https%3A%2F%2Fwww.webofscience.com%2Fwos%2Fwoscc%2Ffull-record%2FWOS:000356236000003","View Full Record in Web of Science")</f>
        <v>View Full Record in Web of Science</v>
      </c>
    </row>
    <row r="263" spans="1:72" x14ac:dyDescent="0.25">
      <c r="A263" t="s">
        <v>72</v>
      </c>
      <c r="B263" t="s">
        <v>4732</v>
      </c>
      <c r="C263" t="s">
        <v>74</v>
      </c>
      <c r="D263" t="s">
        <v>74</v>
      </c>
      <c r="E263" t="s">
        <v>74</v>
      </c>
      <c r="F263" t="s">
        <v>4733</v>
      </c>
      <c r="G263" t="s">
        <v>74</v>
      </c>
      <c r="H263" t="s">
        <v>74</v>
      </c>
      <c r="I263" t="s">
        <v>4734</v>
      </c>
      <c r="J263" t="s">
        <v>4735</v>
      </c>
      <c r="K263" t="s">
        <v>74</v>
      </c>
      <c r="L263" t="s">
        <v>74</v>
      </c>
      <c r="M263" t="s">
        <v>77</v>
      </c>
      <c r="N263" t="s">
        <v>78</v>
      </c>
      <c r="O263" t="s">
        <v>74</v>
      </c>
      <c r="P263" t="s">
        <v>74</v>
      </c>
      <c r="Q263" t="s">
        <v>74</v>
      </c>
      <c r="R263" t="s">
        <v>74</v>
      </c>
      <c r="S263" t="s">
        <v>74</v>
      </c>
      <c r="T263" t="s">
        <v>4736</v>
      </c>
      <c r="U263" t="s">
        <v>4737</v>
      </c>
      <c r="V263" t="s">
        <v>4738</v>
      </c>
      <c r="W263" t="s">
        <v>4739</v>
      </c>
      <c r="X263" t="s">
        <v>387</v>
      </c>
      <c r="Y263" t="s">
        <v>4740</v>
      </c>
      <c r="Z263" t="s">
        <v>4741</v>
      </c>
      <c r="AA263" t="s">
        <v>4742</v>
      </c>
      <c r="AB263" t="s">
        <v>4743</v>
      </c>
      <c r="AC263" t="s">
        <v>74</v>
      </c>
      <c r="AD263" t="s">
        <v>74</v>
      </c>
      <c r="AE263" t="s">
        <v>74</v>
      </c>
      <c r="AF263" t="s">
        <v>74</v>
      </c>
      <c r="AG263">
        <v>33</v>
      </c>
      <c r="AH263">
        <v>34</v>
      </c>
      <c r="AI263">
        <v>34</v>
      </c>
      <c r="AJ263">
        <v>0</v>
      </c>
      <c r="AK263">
        <v>25</v>
      </c>
      <c r="AL263" t="s">
        <v>786</v>
      </c>
      <c r="AM263" t="s">
        <v>219</v>
      </c>
      <c r="AN263" t="s">
        <v>220</v>
      </c>
      <c r="AO263" t="s">
        <v>4744</v>
      </c>
      <c r="AP263" t="s">
        <v>74</v>
      </c>
      <c r="AQ263" t="s">
        <v>74</v>
      </c>
      <c r="AR263" t="s">
        <v>4745</v>
      </c>
      <c r="AS263" t="s">
        <v>4746</v>
      </c>
      <c r="AT263" t="s">
        <v>1562</v>
      </c>
      <c r="AU263">
        <v>2013</v>
      </c>
      <c r="AV263">
        <v>22</v>
      </c>
      <c r="AW263">
        <v>1</v>
      </c>
      <c r="AX263" t="s">
        <v>74</v>
      </c>
      <c r="AY263" t="s">
        <v>74</v>
      </c>
      <c r="AZ263" t="s">
        <v>74</v>
      </c>
      <c r="BA263" t="s">
        <v>74</v>
      </c>
      <c r="BB263">
        <v>44</v>
      </c>
      <c r="BC263">
        <v>52</v>
      </c>
      <c r="BD263" t="s">
        <v>74</v>
      </c>
      <c r="BE263" t="s">
        <v>4747</v>
      </c>
      <c r="BF263" t="str">
        <f>HYPERLINK("http://dx.doi.org/10.1002/icd.1765","http://dx.doi.org/10.1002/icd.1765")</f>
        <v>http://dx.doi.org/10.1002/icd.1765</v>
      </c>
      <c r="BG263" t="s">
        <v>74</v>
      </c>
      <c r="BH263" t="s">
        <v>74</v>
      </c>
      <c r="BI263">
        <v>9</v>
      </c>
      <c r="BJ263" t="s">
        <v>913</v>
      </c>
      <c r="BK263" t="s">
        <v>94</v>
      </c>
      <c r="BL263" t="s">
        <v>460</v>
      </c>
      <c r="BM263" t="s">
        <v>4748</v>
      </c>
      <c r="BN263" t="s">
        <v>74</v>
      </c>
      <c r="BO263" t="s">
        <v>74</v>
      </c>
      <c r="BP263" t="s">
        <v>74</v>
      </c>
      <c r="BQ263" t="s">
        <v>74</v>
      </c>
      <c r="BR263" t="s">
        <v>97</v>
      </c>
      <c r="BS263" t="s">
        <v>4749</v>
      </c>
      <c r="BT263" t="str">
        <f>HYPERLINK("https%3A%2F%2Fwww.webofscience.com%2Fwos%2Fwoscc%2Ffull-record%2FWOS:000315091700004","View Full Record in Web of Science")</f>
        <v>View Full Record in Web of Science</v>
      </c>
    </row>
    <row r="264" spans="1:72" x14ac:dyDescent="0.25">
      <c r="A264" t="s">
        <v>72</v>
      </c>
      <c r="B264" t="s">
        <v>4750</v>
      </c>
      <c r="C264" t="s">
        <v>74</v>
      </c>
      <c r="D264" t="s">
        <v>74</v>
      </c>
      <c r="E264" t="s">
        <v>74</v>
      </c>
      <c r="F264" t="s">
        <v>4751</v>
      </c>
      <c r="G264" t="s">
        <v>74</v>
      </c>
      <c r="H264" t="s">
        <v>74</v>
      </c>
      <c r="I264" t="s">
        <v>4752</v>
      </c>
      <c r="J264" t="s">
        <v>4753</v>
      </c>
      <c r="K264" t="s">
        <v>74</v>
      </c>
      <c r="L264" t="s">
        <v>74</v>
      </c>
      <c r="M264" t="s">
        <v>77</v>
      </c>
      <c r="N264" t="s">
        <v>78</v>
      </c>
      <c r="O264" t="s">
        <v>74</v>
      </c>
      <c r="P264" t="s">
        <v>74</v>
      </c>
      <c r="Q264" t="s">
        <v>74</v>
      </c>
      <c r="R264" t="s">
        <v>74</v>
      </c>
      <c r="S264" t="s">
        <v>74</v>
      </c>
      <c r="T264" t="s">
        <v>4754</v>
      </c>
      <c r="U264" t="s">
        <v>74</v>
      </c>
      <c r="V264" t="s">
        <v>4755</v>
      </c>
      <c r="W264" t="s">
        <v>4756</v>
      </c>
      <c r="X264" t="s">
        <v>4757</v>
      </c>
      <c r="Y264" t="s">
        <v>4758</v>
      </c>
      <c r="Z264" t="s">
        <v>74</v>
      </c>
      <c r="AA264" t="s">
        <v>4759</v>
      </c>
      <c r="AB264" t="s">
        <v>74</v>
      </c>
      <c r="AC264" t="s">
        <v>74</v>
      </c>
      <c r="AD264" t="s">
        <v>74</v>
      </c>
      <c r="AE264" t="s">
        <v>74</v>
      </c>
      <c r="AF264" t="s">
        <v>74</v>
      </c>
      <c r="AG264">
        <v>54</v>
      </c>
      <c r="AH264">
        <v>34</v>
      </c>
      <c r="AI264">
        <v>34</v>
      </c>
      <c r="AJ264">
        <v>3</v>
      </c>
      <c r="AK264">
        <v>12</v>
      </c>
      <c r="AL264" t="s">
        <v>4760</v>
      </c>
      <c r="AM264" t="s">
        <v>4761</v>
      </c>
      <c r="AN264" t="s">
        <v>4762</v>
      </c>
      <c r="AO264" t="s">
        <v>4763</v>
      </c>
      <c r="AP264" t="s">
        <v>4764</v>
      </c>
      <c r="AQ264" t="s">
        <v>74</v>
      </c>
      <c r="AR264" t="s">
        <v>4765</v>
      </c>
      <c r="AS264" t="s">
        <v>4766</v>
      </c>
      <c r="AT264" t="s">
        <v>4767</v>
      </c>
      <c r="AU264">
        <v>2007</v>
      </c>
      <c r="AV264">
        <v>13</v>
      </c>
      <c r="AW264">
        <v>4</v>
      </c>
      <c r="AX264" t="s">
        <v>74</v>
      </c>
      <c r="AY264" t="s">
        <v>74</v>
      </c>
      <c r="AZ264" t="s">
        <v>74</v>
      </c>
      <c r="BA264" t="s">
        <v>74</v>
      </c>
      <c r="BB264">
        <v>513</v>
      </c>
      <c r="BC264">
        <v>533</v>
      </c>
      <c r="BD264" t="s">
        <v>74</v>
      </c>
      <c r="BE264" t="s">
        <v>4768</v>
      </c>
      <c r="BF264" t="str">
        <f>HYPERLINK("http://dx.doi.org/10.1163/19426720-01304006","http://dx.doi.org/10.1163/19426720-01304006")</f>
        <v>http://dx.doi.org/10.1163/19426720-01304006</v>
      </c>
      <c r="BG264" t="s">
        <v>74</v>
      </c>
      <c r="BH264" t="s">
        <v>74</v>
      </c>
      <c r="BI264">
        <v>21</v>
      </c>
      <c r="BJ264" t="s">
        <v>4769</v>
      </c>
      <c r="BK264" t="s">
        <v>94</v>
      </c>
      <c r="BL264" t="s">
        <v>4769</v>
      </c>
      <c r="BM264" t="s">
        <v>4770</v>
      </c>
      <c r="BN264" t="s">
        <v>74</v>
      </c>
      <c r="BO264" t="s">
        <v>74</v>
      </c>
      <c r="BP264" t="s">
        <v>74</v>
      </c>
      <c r="BQ264" t="s">
        <v>74</v>
      </c>
      <c r="BR264" t="s">
        <v>97</v>
      </c>
      <c r="BS264" t="s">
        <v>4771</v>
      </c>
      <c r="BT264" t="str">
        <f>HYPERLINK("https%3A%2F%2Fwww.webofscience.com%2Fwos%2Fwoscc%2Ffull-record%2FWOS:000251270800006","View Full Record in Web of Science")</f>
        <v>View Full Record in Web of Science</v>
      </c>
    </row>
    <row r="265" spans="1:72" x14ac:dyDescent="0.25">
      <c r="A265" t="s">
        <v>72</v>
      </c>
      <c r="B265" t="s">
        <v>4772</v>
      </c>
      <c r="C265" t="s">
        <v>74</v>
      </c>
      <c r="D265" t="s">
        <v>74</v>
      </c>
      <c r="E265" t="s">
        <v>74</v>
      </c>
      <c r="F265" t="s">
        <v>4773</v>
      </c>
      <c r="G265" t="s">
        <v>74</v>
      </c>
      <c r="H265" t="s">
        <v>74</v>
      </c>
      <c r="I265" t="s">
        <v>4774</v>
      </c>
      <c r="J265" t="s">
        <v>2182</v>
      </c>
      <c r="K265" t="s">
        <v>74</v>
      </c>
      <c r="L265" t="s">
        <v>74</v>
      </c>
      <c r="M265" t="s">
        <v>77</v>
      </c>
      <c r="N265" t="s">
        <v>78</v>
      </c>
      <c r="O265" t="s">
        <v>74</v>
      </c>
      <c r="P265" t="s">
        <v>74</v>
      </c>
      <c r="Q265" t="s">
        <v>74</v>
      </c>
      <c r="R265" t="s">
        <v>74</v>
      </c>
      <c r="S265" t="s">
        <v>74</v>
      </c>
      <c r="T265" t="s">
        <v>4775</v>
      </c>
      <c r="U265" t="s">
        <v>4776</v>
      </c>
      <c r="V265" t="s">
        <v>4777</v>
      </c>
      <c r="W265" t="s">
        <v>4778</v>
      </c>
      <c r="X265" t="s">
        <v>4779</v>
      </c>
      <c r="Y265" t="s">
        <v>4780</v>
      </c>
      <c r="Z265" t="s">
        <v>4781</v>
      </c>
      <c r="AA265" t="s">
        <v>4782</v>
      </c>
      <c r="AB265" t="s">
        <v>1865</v>
      </c>
      <c r="AC265" t="s">
        <v>4783</v>
      </c>
      <c r="AD265" t="s">
        <v>4784</v>
      </c>
      <c r="AE265" t="s">
        <v>4785</v>
      </c>
      <c r="AF265" t="s">
        <v>74</v>
      </c>
      <c r="AG265">
        <v>52</v>
      </c>
      <c r="AH265">
        <v>33</v>
      </c>
      <c r="AI265">
        <v>34</v>
      </c>
      <c r="AJ265">
        <v>7</v>
      </c>
      <c r="AK265">
        <v>99</v>
      </c>
      <c r="AL265" t="s">
        <v>665</v>
      </c>
      <c r="AM265" t="s">
        <v>666</v>
      </c>
      <c r="AN265" t="s">
        <v>667</v>
      </c>
      <c r="AO265" t="s">
        <v>2192</v>
      </c>
      <c r="AP265" t="s">
        <v>2193</v>
      </c>
      <c r="AQ265" t="s">
        <v>74</v>
      </c>
      <c r="AR265" t="s">
        <v>2194</v>
      </c>
      <c r="AS265" t="s">
        <v>2195</v>
      </c>
      <c r="AT265" t="s">
        <v>4786</v>
      </c>
      <c r="AU265">
        <v>2019</v>
      </c>
      <c r="AV265">
        <v>34</v>
      </c>
      <c r="AW265">
        <v>8</v>
      </c>
      <c r="AX265" t="s">
        <v>74</v>
      </c>
      <c r="AY265" t="s">
        <v>74</v>
      </c>
      <c r="AZ265" t="s">
        <v>74</v>
      </c>
      <c r="BA265" t="s">
        <v>74</v>
      </c>
      <c r="BB265">
        <v>505</v>
      </c>
      <c r="BC265">
        <v>518</v>
      </c>
      <c r="BD265" t="s">
        <v>74</v>
      </c>
      <c r="BE265" t="s">
        <v>4787</v>
      </c>
      <c r="BF265" t="str">
        <f>HYPERLINK("http://dx.doi.org/10.1108/JMP-11-2018-0499","http://dx.doi.org/10.1108/JMP-11-2018-0499")</f>
        <v>http://dx.doi.org/10.1108/JMP-11-2018-0499</v>
      </c>
      <c r="BG265" t="s">
        <v>74</v>
      </c>
      <c r="BH265" t="s">
        <v>74</v>
      </c>
      <c r="BI265">
        <v>14</v>
      </c>
      <c r="BJ265" t="s">
        <v>202</v>
      </c>
      <c r="BK265" t="s">
        <v>94</v>
      </c>
      <c r="BL265" t="s">
        <v>203</v>
      </c>
      <c r="BM265" t="s">
        <v>4788</v>
      </c>
      <c r="BN265" t="s">
        <v>74</v>
      </c>
      <c r="BO265" t="s">
        <v>74</v>
      </c>
      <c r="BP265" t="s">
        <v>74</v>
      </c>
      <c r="BQ265" t="s">
        <v>74</v>
      </c>
      <c r="BR265" t="s">
        <v>97</v>
      </c>
      <c r="BS265" t="s">
        <v>4789</v>
      </c>
      <c r="BT265" t="str">
        <f>HYPERLINK("https%3A%2F%2Fwww.webofscience.com%2Fwos%2Fwoscc%2Ffull-record%2FWOS:000499924200001","View Full Record in Web of Science")</f>
        <v>View Full Record in Web of Science</v>
      </c>
    </row>
    <row r="266" spans="1:72" x14ac:dyDescent="0.25">
      <c r="A266" t="s">
        <v>72</v>
      </c>
      <c r="B266" t="s">
        <v>4790</v>
      </c>
      <c r="C266" t="s">
        <v>74</v>
      </c>
      <c r="D266" t="s">
        <v>74</v>
      </c>
      <c r="E266" t="s">
        <v>74</v>
      </c>
      <c r="F266" t="s">
        <v>4791</v>
      </c>
      <c r="G266" t="s">
        <v>74</v>
      </c>
      <c r="H266" t="s">
        <v>74</v>
      </c>
      <c r="I266" t="s">
        <v>4792</v>
      </c>
      <c r="J266" t="s">
        <v>3184</v>
      </c>
      <c r="K266" t="s">
        <v>74</v>
      </c>
      <c r="L266" t="s">
        <v>74</v>
      </c>
      <c r="M266" t="s">
        <v>77</v>
      </c>
      <c r="N266" t="s">
        <v>78</v>
      </c>
      <c r="O266" t="s">
        <v>74</v>
      </c>
      <c r="P266" t="s">
        <v>74</v>
      </c>
      <c r="Q266" t="s">
        <v>74</v>
      </c>
      <c r="R266" t="s">
        <v>74</v>
      </c>
      <c r="S266" t="s">
        <v>74</v>
      </c>
      <c r="T266" t="s">
        <v>4793</v>
      </c>
      <c r="U266" t="s">
        <v>4794</v>
      </c>
      <c r="V266" t="s">
        <v>4795</v>
      </c>
      <c r="W266" t="s">
        <v>4796</v>
      </c>
      <c r="X266" t="s">
        <v>4797</v>
      </c>
      <c r="Y266" t="s">
        <v>4798</v>
      </c>
      <c r="Z266" t="s">
        <v>4799</v>
      </c>
      <c r="AA266" t="s">
        <v>74</v>
      </c>
      <c r="AB266" t="s">
        <v>4800</v>
      </c>
      <c r="AC266" t="s">
        <v>74</v>
      </c>
      <c r="AD266" t="s">
        <v>74</v>
      </c>
      <c r="AE266" t="s">
        <v>74</v>
      </c>
      <c r="AF266" t="s">
        <v>74</v>
      </c>
      <c r="AG266">
        <v>118</v>
      </c>
      <c r="AH266">
        <v>33</v>
      </c>
      <c r="AI266">
        <v>34</v>
      </c>
      <c r="AJ266">
        <v>10</v>
      </c>
      <c r="AK266">
        <v>43</v>
      </c>
      <c r="AL266" t="s">
        <v>3195</v>
      </c>
      <c r="AM266" t="s">
        <v>3196</v>
      </c>
      <c r="AN266" t="s">
        <v>3197</v>
      </c>
      <c r="AO266" t="s">
        <v>3198</v>
      </c>
      <c r="AP266" t="s">
        <v>74</v>
      </c>
      <c r="AQ266" t="s">
        <v>74</v>
      </c>
      <c r="AR266" t="s">
        <v>3199</v>
      </c>
      <c r="AS266" t="s">
        <v>3200</v>
      </c>
      <c r="AT266" t="s">
        <v>4801</v>
      </c>
      <c r="AU266">
        <v>2019</v>
      </c>
      <c r="AV266">
        <v>10</v>
      </c>
      <c r="AW266" t="s">
        <v>74</v>
      </c>
      <c r="AX266" t="s">
        <v>74</v>
      </c>
      <c r="AY266" t="s">
        <v>74</v>
      </c>
      <c r="AZ266" t="s">
        <v>74</v>
      </c>
      <c r="BA266" t="s">
        <v>74</v>
      </c>
      <c r="BB266" t="s">
        <v>74</v>
      </c>
      <c r="BC266" t="s">
        <v>74</v>
      </c>
      <c r="BD266">
        <v>865</v>
      </c>
      <c r="BE266" t="s">
        <v>4802</v>
      </c>
      <c r="BF266" t="str">
        <f>HYPERLINK("http://dx.doi.org/10.3389/fpsyg.2019.00865","http://dx.doi.org/10.3389/fpsyg.2019.00865")</f>
        <v>http://dx.doi.org/10.3389/fpsyg.2019.00865</v>
      </c>
      <c r="BG266" t="s">
        <v>74</v>
      </c>
      <c r="BH266" t="s">
        <v>74</v>
      </c>
      <c r="BI266">
        <v>16</v>
      </c>
      <c r="BJ266" t="s">
        <v>3203</v>
      </c>
      <c r="BK266" t="s">
        <v>94</v>
      </c>
      <c r="BL266" t="s">
        <v>460</v>
      </c>
      <c r="BM266" t="s">
        <v>4803</v>
      </c>
      <c r="BN266">
        <v>31057470</v>
      </c>
      <c r="BO266" t="s">
        <v>3205</v>
      </c>
      <c r="BP266" t="s">
        <v>74</v>
      </c>
      <c r="BQ266" t="s">
        <v>74</v>
      </c>
      <c r="BR266" t="s">
        <v>97</v>
      </c>
      <c r="BS266" t="s">
        <v>4804</v>
      </c>
      <c r="BT266" t="str">
        <f>HYPERLINK("https%3A%2F%2Fwww.webofscience.com%2Fwos%2Fwoscc%2Ffull-record%2FWOS:000465124400001","View Full Record in Web of Science")</f>
        <v>View Full Record in Web of Science</v>
      </c>
    </row>
    <row r="267" spans="1:72" x14ac:dyDescent="0.25">
      <c r="A267" t="s">
        <v>72</v>
      </c>
      <c r="B267" t="s">
        <v>4805</v>
      </c>
      <c r="C267" t="s">
        <v>74</v>
      </c>
      <c r="D267" t="s">
        <v>74</v>
      </c>
      <c r="E267" t="s">
        <v>74</v>
      </c>
      <c r="F267" t="s">
        <v>4806</v>
      </c>
      <c r="G267" t="s">
        <v>74</v>
      </c>
      <c r="H267" t="s">
        <v>74</v>
      </c>
      <c r="I267" t="s">
        <v>4807</v>
      </c>
      <c r="J267" t="s">
        <v>1798</v>
      </c>
      <c r="K267" t="s">
        <v>74</v>
      </c>
      <c r="L267" t="s">
        <v>74</v>
      </c>
      <c r="M267" t="s">
        <v>77</v>
      </c>
      <c r="N267" t="s">
        <v>78</v>
      </c>
      <c r="O267" t="s">
        <v>74</v>
      </c>
      <c r="P267" t="s">
        <v>74</v>
      </c>
      <c r="Q267" t="s">
        <v>74</v>
      </c>
      <c r="R267" t="s">
        <v>74</v>
      </c>
      <c r="S267" t="s">
        <v>74</v>
      </c>
      <c r="T267" t="s">
        <v>4808</v>
      </c>
      <c r="U267" t="s">
        <v>4809</v>
      </c>
      <c r="V267" t="s">
        <v>4810</v>
      </c>
      <c r="W267" t="s">
        <v>4811</v>
      </c>
      <c r="X267" t="s">
        <v>4812</v>
      </c>
      <c r="Y267" t="s">
        <v>4813</v>
      </c>
      <c r="Z267" t="s">
        <v>4814</v>
      </c>
      <c r="AA267" t="s">
        <v>74</v>
      </c>
      <c r="AB267" t="s">
        <v>74</v>
      </c>
      <c r="AC267" t="s">
        <v>74</v>
      </c>
      <c r="AD267" t="s">
        <v>74</v>
      </c>
      <c r="AE267" t="s">
        <v>74</v>
      </c>
      <c r="AF267" t="s">
        <v>74</v>
      </c>
      <c r="AG267">
        <v>72</v>
      </c>
      <c r="AH267">
        <v>33</v>
      </c>
      <c r="AI267">
        <v>34</v>
      </c>
      <c r="AJ267">
        <v>18</v>
      </c>
      <c r="AK267">
        <v>146</v>
      </c>
      <c r="AL267" t="s">
        <v>1806</v>
      </c>
      <c r="AM267" t="s">
        <v>1046</v>
      </c>
      <c r="AN267" t="s">
        <v>1807</v>
      </c>
      <c r="AO267" t="s">
        <v>1808</v>
      </c>
      <c r="AP267" t="s">
        <v>1809</v>
      </c>
      <c r="AQ267" t="s">
        <v>74</v>
      </c>
      <c r="AR267" t="s">
        <v>1810</v>
      </c>
      <c r="AS267" t="s">
        <v>1811</v>
      </c>
      <c r="AT267" t="s">
        <v>4815</v>
      </c>
      <c r="AU267">
        <v>2018</v>
      </c>
      <c r="AV267">
        <v>57</v>
      </c>
      <c r="AW267">
        <v>5</v>
      </c>
      <c r="AX267" t="s">
        <v>74</v>
      </c>
      <c r="AY267" t="s">
        <v>74</v>
      </c>
      <c r="AZ267" t="s">
        <v>860</v>
      </c>
      <c r="BA267" t="s">
        <v>74</v>
      </c>
      <c r="BB267">
        <v>1317</v>
      </c>
      <c r="BC267">
        <v>1334</v>
      </c>
      <c r="BD267" t="s">
        <v>74</v>
      </c>
      <c r="BE267" t="s">
        <v>4816</v>
      </c>
      <c r="BF267" t="str">
        <f>HYPERLINK("http://dx.doi.org/10.1002/hrm.21922","http://dx.doi.org/10.1002/hrm.21922")</f>
        <v>http://dx.doi.org/10.1002/hrm.21922</v>
      </c>
      <c r="BG267" t="s">
        <v>74</v>
      </c>
      <c r="BH267" t="s">
        <v>74</v>
      </c>
      <c r="BI267">
        <v>18</v>
      </c>
      <c r="BJ267" t="s">
        <v>202</v>
      </c>
      <c r="BK267" t="s">
        <v>94</v>
      </c>
      <c r="BL267" t="s">
        <v>203</v>
      </c>
      <c r="BM267" t="s">
        <v>4817</v>
      </c>
      <c r="BN267" t="s">
        <v>74</v>
      </c>
      <c r="BO267" t="s">
        <v>74</v>
      </c>
      <c r="BP267" t="s">
        <v>74</v>
      </c>
      <c r="BQ267" t="s">
        <v>74</v>
      </c>
      <c r="BR267" t="s">
        <v>97</v>
      </c>
      <c r="BS267" t="s">
        <v>4818</v>
      </c>
      <c r="BT267" t="str">
        <f>HYPERLINK("https%3A%2F%2Fwww.webofscience.com%2Fwos%2Fwoscc%2Ffull-record%2FWOS:000444949300025","View Full Record in Web of Science")</f>
        <v>View Full Record in Web of Science</v>
      </c>
    </row>
    <row r="268" spans="1:72" x14ac:dyDescent="0.25">
      <c r="A268" t="s">
        <v>72</v>
      </c>
      <c r="B268" t="s">
        <v>4819</v>
      </c>
      <c r="C268" t="s">
        <v>74</v>
      </c>
      <c r="D268" t="s">
        <v>74</v>
      </c>
      <c r="E268" t="s">
        <v>74</v>
      </c>
      <c r="F268" t="s">
        <v>4820</v>
      </c>
      <c r="G268" t="s">
        <v>74</v>
      </c>
      <c r="H268" t="s">
        <v>74</v>
      </c>
      <c r="I268" t="s">
        <v>4821</v>
      </c>
      <c r="J268" t="s">
        <v>4325</v>
      </c>
      <c r="K268" t="s">
        <v>74</v>
      </c>
      <c r="L268" t="s">
        <v>74</v>
      </c>
      <c r="M268" t="s">
        <v>77</v>
      </c>
      <c r="N268" t="s">
        <v>78</v>
      </c>
      <c r="O268" t="s">
        <v>74</v>
      </c>
      <c r="P268" t="s">
        <v>74</v>
      </c>
      <c r="Q268" t="s">
        <v>74</v>
      </c>
      <c r="R268" t="s">
        <v>74</v>
      </c>
      <c r="S268" t="s">
        <v>74</v>
      </c>
      <c r="T268" t="s">
        <v>74</v>
      </c>
      <c r="U268" t="s">
        <v>4822</v>
      </c>
      <c r="V268" t="s">
        <v>4823</v>
      </c>
      <c r="W268" t="s">
        <v>4824</v>
      </c>
      <c r="X268" t="s">
        <v>4825</v>
      </c>
      <c r="Y268" t="s">
        <v>4826</v>
      </c>
      <c r="Z268" t="s">
        <v>4827</v>
      </c>
      <c r="AA268" t="s">
        <v>3809</v>
      </c>
      <c r="AB268" t="s">
        <v>4828</v>
      </c>
      <c r="AC268" t="s">
        <v>4829</v>
      </c>
      <c r="AD268" t="s">
        <v>4830</v>
      </c>
      <c r="AE268" t="s">
        <v>4831</v>
      </c>
      <c r="AF268" t="s">
        <v>74</v>
      </c>
      <c r="AG268">
        <v>68</v>
      </c>
      <c r="AH268">
        <v>33</v>
      </c>
      <c r="AI268">
        <v>33</v>
      </c>
      <c r="AJ268">
        <v>2</v>
      </c>
      <c r="AK268">
        <v>103</v>
      </c>
      <c r="AL268" t="s">
        <v>218</v>
      </c>
      <c r="AM268" t="s">
        <v>219</v>
      </c>
      <c r="AN268" t="s">
        <v>220</v>
      </c>
      <c r="AO268" t="s">
        <v>4332</v>
      </c>
      <c r="AP268" t="s">
        <v>4333</v>
      </c>
      <c r="AQ268" t="s">
        <v>74</v>
      </c>
      <c r="AR268" t="s">
        <v>4334</v>
      </c>
      <c r="AS268" t="s">
        <v>4335</v>
      </c>
      <c r="AT268" t="s">
        <v>375</v>
      </c>
      <c r="AU268">
        <v>2017</v>
      </c>
      <c r="AV268">
        <v>26</v>
      </c>
      <c r="AW268">
        <v>4</v>
      </c>
      <c r="AX268" t="s">
        <v>74</v>
      </c>
      <c r="AY268" t="s">
        <v>74</v>
      </c>
      <c r="AZ268" t="s">
        <v>74</v>
      </c>
      <c r="BA268" t="s">
        <v>74</v>
      </c>
      <c r="BB268">
        <v>407</v>
      </c>
      <c r="BC268">
        <v>417</v>
      </c>
      <c r="BD268" t="s">
        <v>74</v>
      </c>
      <c r="BE268" t="s">
        <v>4832</v>
      </c>
      <c r="BF268" t="str">
        <f>HYPERLINK("http://dx.doi.org/10.1111/caim.12236","http://dx.doi.org/10.1111/caim.12236")</f>
        <v>http://dx.doi.org/10.1111/caim.12236</v>
      </c>
      <c r="BG268" t="s">
        <v>74</v>
      </c>
      <c r="BH268" t="s">
        <v>74</v>
      </c>
      <c r="BI268">
        <v>11</v>
      </c>
      <c r="BJ268" t="s">
        <v>442</v>
      </c>
      <c r="BK268" t="s">
        <v>94</v>
      </c>
      <c r="BL268" t="s">
        <v>95</v>
      </c>
      <c r="BM268" t="s">
        <v>4833</v>
      </c>
      <c r="BN268" t="s">
        <v>74</v>
      </c>
      <c r="BO268" t="s">
        <v>74</v>
      </c>
      <c r="BP268" t="s">
        <v>74</v>
      </c>
      <c r="BQ268" t="s">
        <v>74</v>
      </c>
      <c r="BR268" t="s">
        <v>97</v>
      </c>
      <c r="BS268" t="s">
        <v>4834</v>
      </c>
      <c r="BT268" t="str">
        <f>HYPERLINK("https%3A%2F%2Fwww.webofscience.com%2Fwos%2Fwoscc%2Ffull-record%2FWOS:000416146800008","View Full Record in Web of Science")</f>
        <v>View Full Record in Web of Science</v>
      </c>
    </row>
    <row r="269" spans="1:72" x14ac:dyDescent="0.25">
      <c r="A269" t="s">
        <v>72</v>
      </c>
      <c r="B269" t="s">
        <v>4835</v>
      </c>
      <c r="C269" t="s">
        <v>74</v>
      </c>
      <c r="D269" t="s">
        <v>74</v>
      </c>
      <c r="E269" t="s">
        <v>74</v>
      </c>
      <c r="F269" t="s">
        <v>4836</v>
      </c>
      <c r="G269" t="s">
        <v>74</v>
      </c>
      <c r="H269" t="s">
        <v>74</v>
      </c>
      <c r="I269" t="s">
        <v>4837</v>
      </c>
      <c r="J269" t="s">
        <v>466</v>
      </c>
      <c r="K269" t="s">
        <v>74</v>
      </c>
      <c r="L269" t="s">
        <v>74</v>
      </c>
      <c r="M269" t="s">
        <v>77</v>
      </c>
      <c r="N269" t="s">
        <v>78</v>
      </c>
      <c r="O269" t="s">
        <v>74</v>
      </c>
      <c r="P269" t="s">
        <v>74</v>
      </c>
      <c r="Q269" t="s">
        <v>74</v>
      </c>
      <c r="R269" t="s">
        <v>74</v>
      </c>
      <c r="S269" t="s">
        <v>74</v>
      </c>
      <c r="T269" t="s">
        <v>4838</v>
      </c>
      <c r="U269" t="s">
        <v>4839</v>
      </c>
      <c r="V269" t="s">
        <v>4840</v>
      </c>
      <c r="W269" t="s">
        <v>4841</v>
      </c>
      <c r="X269" t="s">
        <v>4842</v>
      </c>
      <c r="Y269" t="s">
        <v>4348</v>
      </c>
      <c r="Z269" t="s">
        <v>4843</v>
      </c>
      <c r="AA269" t="s">
        <v>4844</v>
      </c>
      <c r="AB269" t="s">
        <v>4845</v>
      </c>
      <c r="AC269" t="s">
        <v>74</v>
      </c>
      <c r="AD269" t="s">
        <v>74</v>
      </c>
      <c r="AE269" t="s">
        <v>74</v>
      </c>
      <c r="AF269" t="s">
        <v>74</v>
      </c>
      <c r="AG269">
        <v>99</v>
      </c>
      <c r="AH269">
        <v>33</v>
      </c>
      <c r="AI269">
        <v>34</v>
      </c>
      <c r="AJ269">
        <v>8</v>
      </c>
      <c r="AK269">
        <v>93</v>
      </c>
      <c r="AL269" t="s">
        <v>218</v>
      </c>
      <c r="AM269" t="s">
        <v>219</v>
      </c>
      <c r="AN269" t="s">
        <v>220</v>
      </c>
      <c r="AO269" t="s">
        <v>476</v>
      </c>
      <c r="AP269" t="s">
        <v>477</v>
      </c>
      <c r="AQ269" t="s">
        <v>74</v>
      </c>
      <c r="AR269" t="s">
        <v>478</v>
      </c>
      <c r="AS269" t="s">
        <v>479</v>
      </c>
      <c r="AT269" t="s">
        <v>375</v>
      </c>
      <c r="AU269">
        <v>2014</v>
      </c>
      <c r="AV269">
        <v>48</v>
      </c>
      <c r="AW269">
        <v>4</v>
      </c>
      <c r="AX269" t="s">
        <v>74</v>
      </c>
      <c r="AY269" t="s">
        <v>74</v>
      </c>
      <c r="AZ269" t="s">
        <v>74</v>
      </c>
      <c r="BA269" t="s">
        <v>74</v>
      </c>
      <c r="BB269">
        <v>290</v>
      </c>
      <c r="BC269">
        <v>309</v>
      </c>
      <c r="BD269" t="s">
        <v>74</v>
      </c>
      <c r="BE269" t="s">
        <v>4846</v>
      </c>
      <c r="BF269" t="str">
        <f>HYPERLINK("http://dx.doi.org/10.1002/jocb.53","http://dx.doi.org/10.1002/jocb.53")</f>
        <v>http://dx.doi.org/10.1002/jocb.53</v>
      </c>
      <c r="BG269" t="s">
        <v>74</v>
      </c>
      <c r="BH269" t="s">
        <v>74</v>
      </c>
      <c r="BI269">
        <v>20</v>
      </c>
      <c r="BJ269" t="s">
        <v>481</v>
      </c>
      <c r="BK269" t="s">
        <v>94</v>
      </c>
      <c r="BL269" t="s">
        <v>460</v>
      </c>
      <c r="BM269" t="s">
        <v>4847</v>
      </c>
      <c r="BN269" t="s">
        <v>74</v>
      </c>
      <c r="BO269" t="s">
        <v>74</v>
      </c>
      <c r="BP269" t="s">
        <v>74</v>
      </c>
      <c r="BQ269" t="s">
        <v>74</v>
      </c>
      <c r="BR269" t="s">
        <v>97</v>
      </c>
      <c r="BS269" t="s">
        <v>4848</v>
      </c>
      <c r="BT269" t="str">
        <f>HYPERLINK("https%3A%2F%2Fwww.webofscience.com%2Fwos%2Fwoscc%2Ffull-record%2FWOS:000345512300004","View Full Record in Web of Science")</f>
        <v>View Full Record in Web of Science</v>
      </c>
    </row>
    <row r="270" spans="1:72" x14ac:dyDescent="0.25">
      <c r="A270" t="s">
        <v>72</v>
      </c>
      <c r="B270" t="s">
        <v>4849</v>
      </c>
      <c r="C270" t="s">
        <v>74</v>
      </c>
      <c r="D270" t="s">
        <v>74</v>
      </c>
      <c r="E270" t="s">
        <v>74</v>
      </c>
      <c r="F270" t="s">
        <v>4849</v>
      </c>
      <c r="G270" t="s">
        <v>74</v>
      </c>
      <c r="H270" t="s">
        <v>74</v>
      </c>
      <c r="I270" t="s">
        <v>4850</v>
      </c>
      <c r="J270" t="s">
        <v>4851</v>
      </c>
      <c r="K270" t="s">
        <v>74</v>
      </c>
      <c r="L270" t="s">
        <v>74</v>
      </c>
      <c r="M270" t="s">
        <v>77</v>
      </c>
      <c r="N270" t="s">
        <v>78</v>
      </c>
      <c r="O270" t="s">
        <v>74</v>
      </c>
      <c r="P270" t="s">
        <v>74</v>
      </c>
      <c r="Q270" t="s">
        <v>74</v>
      </c>
      <c r="R270" t="s">
        <v>74</v>
      </c>
      <c r="S270" t="s">
        <v>74</v>
      </c>
      <c r="T270" t="s">
        <v>74</v>
      </c>
      <c r="U270" t="s">
        <v>4852</v>
      </c>
      <c r="V270" t="s">
        <v>4853</v>
      </c>
      <c r="W270" t="s">
        <v>4854</v>
      </c>
      <c r="X270" t="s">
        <v>4855</v>
      </c>
      <c r="Y270" t="s">
        <v>4856</v>
      </c>
      <c r="Z270" t="s">
        <v>74</v>
      </c>
      <c r="AA270" t="s">
        <v>74</v>
      </c>
      <c r="AB270" t="s">
        <v>74</v>
      </c>
      <c r="AC270" t="s">
        <v>74</v>
      </c>
      <c r="AD270" t="s">
        <v>74</v>
      </c>
      <c r="AE270" t="s">
        <v>74</v>
      </c>
      <c r="AF270" t="s">
        <v>74</v>
      </c>
      <c r="AG270">
        <v>81</v>
      </c>
      <c r="AH270">
        <v>33</v>
      </c>
      <c r="AI270">
        <v>33</v>
      </c>
      <c r="AJ270">
        <v>0</v>
      </c>
      <c r="AK270">
        <v>16</v>
      </c>
      <c r="AL270" t="s">
        <v>159</v>
      </c>
      <c r="AM270" t="s">
        <v>160</v>
      </c>
      <c r="AN270" t="s">
        <v>4857</v>
      </c>
      <c r="AO270" t="s">
        <v>4858</v>
      </c>
      <c r="AP270" t="s">
        <v>74</v>
      </c>
      <c r="AQ270" t="s">
        <v>74</v>
      </c>
      <c r="AR270" t="s">
        <v>4851</v>
      </c>
      <c r="AS270" t="s">
        <v>4859</v>
      </c>
      <c r="AT270" t="s">
        <v>74</v>
      </c>
      <c r="AU270">
        <v>1999</v>
      </c>
      <c r="AV270">
        <v>52</v>
      </c>
      <c r="AW270">
        <v>3</v>
      </c>
      <c r="AX270" t="s">
        <v>74</v>
      </c>
      <c r="AY270" t="s">
        <v>74</v>
      </c>
      <c r="AZ270" t="s">
        <v>74</v>
      </c>
      <c r="BA270" t="s">
        <v>74</v>
      </c>
      <c r="BB270">
        <v>415</v>
      </c>
      <c r="BC270">
        <v>439</v>
      </c>
      <c r="BD270" t="s">
        <v>74</v>
      </c>
      <c r="BE270" t="s">
        <v>4860</v>
      </c>
      <c r="BF270" t="str">
        <f>HYPERLINK("http://dx.doi.org/10.1111/j.1467-6435.1999.tb00225.x","http://dx.doi.org/10.1111/j.1467-6435.1999.tb00225.x")</f>
        <v>http://dx.doi.org/10.1111/j.1467-6435.1999.tb00225.x</v>
      </c>
      <c r="BG270" t="s">
        <v>74</v>
      </c>
      <c r="BH270" t="s">
        <v>74</v>
      </c>
      <c r="BI270">
        <v>25</v>
      </c>
      <c r="BJ270" t="s">
        <v>2599</v>
      </c>
      <c r="BK270" t="s">
        <v>94</v>
      </c>
      <c r="BL270" t="s">
        <v>95</v>
      </c>
      <c r="BM270" t="s">
        <v>4861</v>
      </c>
      <c r="BN270" t="s">
        <v>74</v>
      </c>
      <c r="BO270" t="s">
        <v>74</v>
      </c>
      <c r="BP270" t="s">
        <v>74</v>
      </c>
      <c r="BQ270" t="s">
        <v>74</v>
      </c>
      <c r="BR270" t="s">
        <v>97</v>
      </c>
      <c r="BS270" t="s">
        <v>4862</v>
      </c>
      <c r="BT270" t="str">
        <f>HYPERLINK("https%3A%2F%2Fwww.webofscience.com%2Fwos%2Fwoscc%2Ffull-record%2FWOS:000082086800007","View Full Record in Web of Science")</f>
        <v>View Full Record in Web of Science</v>
      </c>
    </row>
    <row r="271" spans="1:72" x14ac:dyDescent="0.25">
      <c r="A271" t="s">
        <v>72</v>
      </c>
      <c r="B271" t="s">
        <v>4863</v>
      </c>
      <c r="C271" t="s">
        <v>74</v>
      </c>
      <c r="D271" t="s">
        <v>74</v>
      </c>
      <c r="E271" t="s">
        <v>74</v>
      </c>
      <c r="F271" t="s">
        <v>4864</v>
      </c>
      <c r="G271" t="s">
        <v>74</v>
      </c>
      <c r="H271" t="s">
        <v>74</v>
      </c>
      <c r="I271" t="s">
        <v>4865</v>
      </c>
      <c r="J271" t="s">
        <v>3931</v>
      </c>
      <c r="K271" t="s">
        <v>74</v>
      </c>
      <c r="L271" t="s">
        <v>74</v>
      </c>
      <c r="M271" t="s">
        <v>77</v>
      </c>
      <c r="N271" t="s">
        <v>78</v>
      </c>
      <c r="O271" t="s">
        <v>74</v>
      </c>
      <c r="P271" t="s">
        <v>74</v>
      </c>
      <c r="Q271" t="s">
        <v>74</v>
      </c>
      <c r="R271" t="s">
        <v>74</v>
      </c>
      <c r="S271" t="s">
        <v>74</v>
      </c>
      <c r="T271" t="s">
        <v>4866</v>
      </c>
      <c r="U271" t="s">
        <v>4867</v>
      </c>
      <c r="V271" t="s">
        <v>4868</v>
      </c>
      <c r="W271" t="s">
        <v>4869</v>
      </c>
      <c r="X271" t="s">
        <v>4870</v>
      </c>
      <c r="Y271" t="s">
        <v>4871</v>
      </c>
      <c r="Z271" t="s">
        <v>4872</v>
      </c>
      <c r="AA271" t="s">
        <v>4873</v>
      </c>
      <c r="AB271" t="s">
        <v>4874</v>
      </c>
      <c r="AC271" t="s">
        <v>74</v>
      </c>
      <c r="AD271" t="s">
        <v>74</v>
      </c>
      <c r="AE271" t="s">
        <v>74</v>
      </c>
      <c r="AF271" t="s">
        <v>74</v>
      </c>
      <c r="AG271">
        <v>72</v>
      </c>
      <c r="AH271">
        <v>32</v>
      </c>
      <c r="AI271">
        <v>32</v>
      </c>
      <c r="AJ271">
        <v>8</v>
      </c>
      <c r="AK271">
        <v>73</v>
      </c>
      <c r="AL271" t="s">
        <v>665</v>
      </c>
      <c r="AM271" t="s">
        <v>666</v>
      </c>
      <c r="AN271" t="s">
        <v>667</v>
      </c>
      <c r="AO271" t="s">
        <v>3939</v>
      </c>
      <c r="AP271" t="s">
        <v>3940</v>
      </c>
      <c r="AQ271" t="s">
        <v>74</v>
      </c>
      <c r="AR271" t="s">
        <v>3941</v>
      </c>
      <c r="AS271" t="s">
        <v>3942</v>
      </c>
      <c r="AT271" t="s">
        <v>3578</v>
      </c>
      <c r="AU271">
        <v>2020</v>
      </c>
      <c r="AV271">
        <v>41</v>
      </c>
      <c r="AW271">
        <v>6</v>
      </c>
      <c r="AX271" t="s">
        <v>74</v>
      </c>
      <c r="AY271" t="s">
        <v>74</v>
      </c>
      <c r="AZ271" t="s">
        <v>74</v>
      </c>
      <c r="BA271" t="s">
        <v>74</v>
      </c>
      <c r="BB271">
        <v>813</v>
      </c>
      <c r="BC271">
        <v>827</v>
      </c>
      <c r="BD271" t="s">
        <v>74</v>
      </c>
      <c r="BE271" t="s">
        <v>4875</v>
      </c>
      <c r="BF271" t="str">
        <f>HYPERLINK("http://dx.doi.org/10.1108/LODJ-11-2019-0474","http://dx.doi.org/10.1108/LODJ-11-2019-0474")</f>
        <v>http://dx.doi.org/10.1108/LODJ-11-2019-0474</v>
      </c>
      <c r="BG271" t="s">
        <v>74</v>
      </c>
      <c r="BH271" t="s">
        <v>4876</v>
      </c>
      <c r="BI271">
        <v>15</v>
      </c>
      <c r="BJ271" t="s">
        <v>442</v>
      </c>
      <c r="BK271" t="s">
        <v>94</v>
      </c>
      <c r="BL271" t="s">
        <v>95</v>
      </c>
      <c r="BM271" t="s">
        <v>4877</v>
      </c>
      <c r="BN271" t="s">
        <v>74</v>
      </c>
      <c r="BO271" t="s">
        <v>74</v>
      </c>
      <c r="BP271" t="s">
        <v>74</v>
      </c>
      <c r="BQ271" t="s">
        <v>74</v>
      </c>
      <c r="BR271" t="s">
        <v>97</v>
      </c>
      <c r="BS271" t="s">
        <v>4878</v>
      </c>
      <c r="BT271" t="str">
        <f>HYPERLINK("https%3A%2F%2Fwww.webofscience.com%2Fwos%2Fwoscc%2Ffull-record%2FWOS:000547275100001","View Full Record in Web of Science")</f>
        <v>View Full Record in Web of Science</v>
      </c>
    </row>
    <row r="272" spans="1:72" x14ac:dyDescent="0.25">
      <c r="A272" t="s">
        <v>72</v>
      </c>
      <c r="B272" t="s">
        <v>4879</v>
      </c>
      <c r="C272" t="s">
        <v>74</v>
      </c>
      <c r="D272" t="s">
        <v>74</v>
      </c>
      <c r="E272" t="s">
        <v>74</v>
      </c>
      <c r="F272" t="s">
        <v>4880</v>
      </c>
      <c r="G272" t="s">
        <v>74</v>
      </c>
      <c r="H272" t="s">
        <v>74</v>
      </c>
      <c r="I272" t="s">
        <v>4881</v>
      </c>
      <c r="J272" t="s">
        <v>3820</v>
      </c>
      <c r="K272" t="s">
        <v>74</v>
      </c>
      <c r="L272" t="s">
        <v>74</v>
      </c>
      <c r="M272" t="s">
        <v>77</v>
      </c>
      <c r="N272" t="s">
        <v>78</v>
      </c>
      <c r="O272" t="s">
        <v>74</v>
      </c>
      <c r="P272" t="s">
        <v>74</v>
      </c>
      <c r="Q272" t="s">
        <v>74</v>
      </c>
      <c r="R272" t="s">
        <v>74</v>
      </c>
      <c r="S272" t="s">
        <v>74</v>
      </c>
      <c r="T272" t="s">
        <v>4882</v>
      </c>
      <c r="U272" t="s">
        <v>4883</v>
      </c>
      <c r="V272" t="s">
        <v>4884</v>
      </c>
      <c r="W272" t="s">
        <v>4885</v>
      </c>
      <c r="X272" t="s">
        <v>4886</v>
      </c>
      <c r="Y272" t="s">
        <v>4887</v>
      </c>
      <c r="Z272" t="s">
        <v>4888</v>
      </c>
      <c r="AA272" t="s">
        <v>74</v>
      </c>
      <c r="AB272" t="s">
        <v>4889</v>
      </c>
      <c r="AC272" t="s">
        <v>4890</v>
      </c>
      <c r="AD272" t="s">
        <v>4891</v>
      </c>
      <c r="AE272" t="s">
        <v>4892</v>
      </c>
      <c r="AF272" t="s">
        <v>74</v>
      </c>
      <c r="AG272">
        <v>59</v>
      </c>
      <c r="AH272">
        <v>32</v>
      </c>
      <c r="AI272">
        <v>32</v>
      </c>
      <c r="AJ272">
        <v>5</v>
      </c>
      <c r="AK272">
        <v>54</v>
      </c>
      <c r="AL272" t="s">
        <v>766</v>
      </c>
      <c r="AM272" t="s">
        <v>330</v>
      </c>
      <c r="AN272" t="s">
        <v>1452</v>
      </c>
      <c r="AO272" t="s">
        <v>3827</v>
      </c>
      <c r="AP272" t="s">
        <v>3828</v>
      </c>
      <c r="AQ272" t="s">
        <v>74</v>
      </c>
      <c r="AR272" t="s">
        <v>3829</v>
      </c>
      <c r="AS272" t="s">
        <v>3830</v>
      </c>
      <c r="AT272" t="s">
        <v>91</v>
      </c>
      <c r="AU272">
        <v>2020</v>
      </c>
      <c r="AV272">
        <v>45</v>
      </c>
      <c r="AW272">
        <v>3</v>
      </c>
      <c r="AX272" t="s">
        <v>74</v>
      </c>
      <c r="AY272" t="s">
        <v>74</v>
      </c>
      <c r="AZ272" t="s">
        <v>74</v>
      </c>
      <c r="BA272" t="s">
        <v>74</v>
      </c>
      <c r="BB272">
        <v>820</v>
      </c>
      <c r="BC272">
        <v>843</v>
      </c>
      <c r="BD272" t="s">
        <v>74</v>
      </c>
      <c r="BE272" t="s">
        <v>4893</v>
      </c>
      <c r="BF272" t="str">
        <f>HYPERLINK("http://dx.doi.org/10.1007/s10961-018-9701-5","http://dx.doi.org/10.1007/s10961-018-9701-5")</f>
        <v>http://dx.doi.org/10.1007/s10961-018-9701-5</v>
      </c>
      <c r="BG272" t="s">
        <v>74</v>
      </c>
      <c r="BH272" t="s">
        <v>74</v>
      </c>
      <c r="BI272">
        <v>24</v>
      </c>
      <c r="BJ272" t="s">
        <v>3832</v>
      </c>
      <c r="BK272" t="s">
        <v>94</v>
      </c>
      <c r="BL272" t="s">
        <v>3833</v>
      </c>
      <c r="BM272" t="s">
        <v>4894</v>
      </c>
      <c r="BN272" t="s">
        <v>74</v>
      </c>
      <c r="BO272" t="s">
        <v>74</v>
      </c>
      <c r="BP272" t="s">
        <v>74</v>
      </c>
      <c r="BQ272" t="s">
        <v>74</v>
      </c>
      <c r="BR272" t="s">
        <v>97</v>
      </c>
      <c r="BS272" t="s">
        <v>4895</v>
      </c>
      <c r="BT272" t="str">
        <f>HYPERLINK("https%3A%2F%2Fwww.webofscience.com%2Fwos%2Fwoscc%2Ffull-record%2FWOS:000531803500009","View Full Record in Web of Science")</f>
        <v>View Full Record in Web of Science</v>
      </c>
    </row>
    <row r="273" spans="1:72" x14ac:dyDescent="0.25">
      <c r="A273" t="s">
        <v>72</v>
      </c>
      <c r="B273" t="s">
        <v>4896</v>
      </c>
      <c r="C273" t="s">
        <v>74</v>
      </c>
      <c r="D273" t="s">
        <v>74</v>
      </c>
      <c r="E273" t="s">
        <v>74</v>
      </c>
      <c r="F273" t="s">
        <v>4897</v>
      </c>
      <c r="G273" t="s">
        <v>74</v>
      </c>
      <c r="H273" t="s">
        <v>74</v>
      </c>
      <c r="I273" t="s">
        <v>4898</v>
      </c>
      <c r="J273" t="s">
        <v>3931</v>
      </c>
      <c r="K273" t="s">
        <v>74</v>
      </c>
      <c r="L273" t="s">
        <v>74</v>
      </c>
      <c r="M273" t="s">
        <v>77</v>
      </c>
      <c r="N273" t="s">
        <v>78</v>
      </c>
      <c r="O273" t="s">
        <v>74</v>
      </c>
      <c r="P273" t="s">
        <v>74</v>
      </c>
      <c r="Q273" t="s">
        <v>74</v>
      </c>
      <c r="R273" t="s">
        <v>74</v>
      </c>
      <c r="S273" t="s">
        <v>74</v>
      </c>
      <c r="T273" t="s">
        <v>4899</v>
      </c>
      <c r="U273" t="s">
        <v>4900</v>
      </c>
      <c r="V273" t="s">
        <v>4901</v>
      </c>
      <c r="W273" t="s">
        <v>4902</v>
      </c>
      <c r="X273" t="s">
        <v>4903</v>
      </c>
      <c r="Y273" t="s">
        <v>4904</v>
      </c>
      <c r="Z273" t="s">
        <v>4905</v>
      </c>
      <c r="AA273" t="s">
        <v>4906</v>
      </c>
      <c r="AB273" t="s">
        <v>4907</v>
      </c>
      <c r="AC273" t="s">
        <v>74</v>
      </c>
      <c r="AD273" t="s">
        <v>74</v>
      </c>
      <c r="AE273" t="s">
        <v>74</v>
      </c>
      <c r="AF273" t="s">
        <v>74</v>
      </c>
      <c r="AG273">
        <v>104</v>
      </c>
      <c r="AH273">
        <v>32</v>
      </c>
      <c r="AI273">
        <v>32</v>
      </c>
      <c r="AJ273">
        <v>3</v>
      </c>
      <c r="AK273">
        <v>43</v>
      </c>
      <c r="AL273" t="s">
        <v>665</v>
      </c>
      <c r="AM273" t="s">
        <v>666</v>
      </c>
      <c r="AN273" t="s">
        <v>667</v>
      </c>
      <c r="AO273" t="s">
        <v>3939</v>
      </c>
      <c r="AP273" t="s">
        <v>3940</v>
      </c>
      <c r="AQ273" t="s">
        <v>74</v>
      </c>
      <c r="AR273" t="s">
        <v>3941</v>
      </c>
      <c r="AS273" t="s">
        <v>3942</v>
      </c>
      <c r="AT273" t="s">
        <v>4908</v>
      </c>
      <c r="AU273">
        <v>2019</v>
      </c>
      <c r="AV273">
        <v>40</v>
      </c>
      <c r="AW273">
        <v>4</v>
      </c>
      <c r="AX273" t="s">
        <v>74</v>
      </c>
      <c r="AY273" t="s">
        <v>74</v>
      </c>
      <c r="AZ273" t="s">
        <v>74</v>
      </c>
      <c r="BA273" t="s">
        <v>74</v>
      </c>
      <c r="BB273">
        <v>402</v>
      </c>
      <c r="BC273">
        <v>420</v>
      </c>
      <c r="BD273" t="s">
        <v>74</v>
      </c>
      <c r="BE273" t="s">
        <v>4909</v>
      </c>
      <c r="BF273" t="str">
        <f>HYPERLINK("http://dx.doi.org/10.1108/LODJ-10-2018-0358","http://dx.doi.org/10.1108/LODJ-10-2018-0358")</f>
        <v>http://dx.doi.org/10.1108/LODJ-10-2018-0358</v>
      </c>
      <c r="BG273" t="s">
        <v>74</v>
      </c>
      <c r="BH273" t="s">
        <v>74</v>
      </c>
      <c r="BI273">
        <v>19</v>
      </c>
      <c r="BJ273" t="s">
        <v>442</v>
      </c>
      <c r="BK273" t="s">
        <v>94</v>
      </c>
      <c r="BL273" t="s">
        <v>95</v>
      </c>
      <c r="BM273" t="s">
        <v>4910</v>
      </c>
      <c r="BN273" t="s">
        <v>74</v>
      </c>
      <c r="BO273" t="s">
        <v>74</v>
      </c>
      <c r="BP273" t="s">
        <v>74</v>
      </c>
      <c r="BQ273" t="s">
        <v>74</v>
      </c>
      <c r="BR273" t="s">
        <v>97</v>
      </c>
      <c r="BS273" t="s">
        <v>4911</v>
      </c>
      <c r="BT273" t="str">
        <f>HYPERLINK("https%3A%2F%2Fwww.webofscience.com%2Fwos%2Fwoscc%2Ffull-record%2FWOS:000479261600001","View Full Record in Web of Science")</f>
        <v>View Full Record in Web of Science</v>
      </c>
    </row>
    <row r="274" spans="1:72" x14ac:dyDescent="0.25">
      <c r="A274" t="s">
        <v>72</v>
      </c>
      <c r="B274" t="s">
        <v>4912</v>
      </c>
      <c r="C274" t="s">
        <v>74</v>
      </c>
      <c r="D274" t="s">
        <v>74</v>
      </c>
      <c r="E274" t="s">
        <v>74</v>
      </c>
      <c r="F274" t="s">
        <v>4913</v>
      </c>
      <c r="G274" t="s">
        <v>74</v>
      </c>
      <c r="H274" t="s">
        <v>74</v>
      </c>
      <c r="I274" t="s">
        <v>4914</v>
      </c>
      <c r="J274" t="s">
        <v>4915</v>
      </c>
      <c r="K274" t="s">
        <v>74</v>
      </c>
      <c r="L274" t="s">
        <v>74</v>
      </c>
      <c r="M274" t="s">
        <v>77</v>
      </c>
      <c r="N274" t="s">
        <v>78</v>
      </c>
      <c r="O274" t="s">
        <v>74</v>
      </c>
      <c r="P274" t="s">
        <v>74</v>
      </c>
      <c r="Q274" t="s">
        <v>74</v>
      </c>
      <c r="R274" t="s">
        <v>74</v>
      </c>
      <c r="S274" t="s">
        <v>74</v>
      </c>
      <c r="T274" t="s">
        <v>4916</v>
      </c>
      <c r="U274" t="s">
        <v>4917</v>
      </c>
      <c r="V274" t="s">
        <v>4918</v>
      </c>
      <c r="W274" t="s">
        <v>4919</v>
      </c>
      <c r="X274" t="s">
        <v>4920</v>
      </c>
      <c r="Y274" t="s">
        <v>4921</v>
      </c>
      <c r="Z274" t="s">
        <v>4922</v>
      </c>
      <c r="AA274" t="s">
        <v>4923</v>
      </c>
      <c r="AB274" t="s">
        <v>4924</v>
      </c>
      <c r="AC274" t="s">
        <v>74</v>
      </c>
      <c r="AD274" t="s">
        <v>74</v>
      </c>
      <c r="AE274" t="s">
        <v>74</v>
      </c>
      <c r="AF274" t="s">
        <v>74</v>
      </c>
      <c r="AG274">
        <v>87</v>
      </c>
      <c r="AH274">
        <v>32</v>
      </c>
      <c r="AI274">
        <v>32</v>
      </c>
      <c r="AJ274">
        <v>3</v>
      </c>
      <c r="AK274">
        <v>45</v>
      </c>
      <c r="AL274" t="s">
        <v>766</v>
      </c>
      <c r="AM274" t="s">
        <v>330</v>
      </c>
      <c r="AN274" t="s">
        <v>767</v>
      </c>
      <c r="AO274" t="s">
        <v>4925</v>
      </c>
      <c r="AP274" t="s">
        <v>4926</v>
      </c>
      <c r="AQ274" t="s">
        <v>74</v>
      </c>
      <c r="AR274" t="s">
        <v>4927</v>
      </c>
      <c r="AS274" t="s">
        <v>4928</v>
      </c>
      <c r="AT274" t="s">
        <v>892</v>
      </c>
      <c r="AU274">
        <v>2018</v>
      </c>
      <c r="AV274">
        <v>28</v>
      </c>
      <c r="AW274">
        <v>1</v>
      </c>
      <c r="AX274" t="s">
        <v>74</v>
      </c>
      <c r="AY274" t="s">
        <v>74</v>
      </c>
      <c r="AZ274" t="s">
        <v>74</v>
      </c>
      <c r="BA274" t="s">
        <v>74</v>
      </c>
      <c r="BB274">
        <v>153</v>
      </c>
      <c r="BC274">
        <v>179</v>
      </c>
      <c r="BD274" t="s">
        <v>74</v>
      </c>
      <c r="BE274" t="s">
        <v>4929</v>
      </c>
      <c r="BF274" t="str">
        <f>HYPERLINK("http://dx.doi.org/10.1007/s00191-017-0542-4","http://dx.doi.org/10.1007/s00191-017-0542-4")</f>
        <v>http://dx.doi.org/10.1007/s00191-017-0542-4</v>
      </c>
      <c r="BG274" t="s">
        <v>74</v>
      </c>
      <c r="BH274" t="s">
        <v>74</v>
      </c>
      <c r="BI274">
        <v>27</v>
      </c>
      <c r="BJ274" t="s">
        <v>2599</v>
      </c>
      <c r="BK274" t="s">
        <v>94</v>
      </c>
      <c r="BL274" t="s">
        <v>95</v>
      </c>
      <c r="BM274" t="s">
        <v>4930</v>
      </c>
      <c r="BN274" t="s">
        <v>74</v>
      </c>
      <c r="BO274" t="s">
        <v>111</v>
      </c>
      <c r="BP274" t="s">
        <v>74</v>
      </c>
      <c r="BQ274" t="s">
        <v>74</v>
      </c>
      <c r="BR274" t="s">
        <v>97</v>
      </c>
      <c r="BS274" t="s">
        <v>4931</v>
      </c>
      <c r="BT274" t="str">
        <f>HYPERLINK("https%3A%2F%2Fwww.webofscience.com%2Fwos%2Fwoscc%2Ffull-record%2FWOS:000423122300007","View Full Record in Web of Science")</f>
        <v>View Full Record in Web of Science</v>
      </c>
    </row>
    <row r="275" spans="1:72" x14ac:dyDescent="0.25">
      <c r="A275" t="s">
        <v>72</v>
      </c>
      <c r="B275" t="s">
        <v>4932</v>
      </c>
      <c r="C275" t="s">
        <v>74</v>
      </c>
      <c r="D275" t="s">
        <v>74</v>
      </c>
      <c r="E275" t="s">
        <v>74</v>
      </c>
      <c r="F275" t="s">
        <v>4933</v>
      </c>
      <c r="G275" t="s">
        <v>74</v>
      </c>
      <c r="H275" t="s">
        <v>74</v>
      </c>
      <c r="I275" t="s">
        <v>4934</v>
      </c>
      <c r="J275" t="s">
        <v>4935</v>
      </c>
      <c r="K275" t="s">
        <v>74</v>
      </c>
      <c r="L275" t="s">
        <v>74</v>
      </c>
      <c r="M275" t="s">
        <v>77</v>
      </c>
      <c r="N275" t="s">
        <v>78</v>
      </c>
      <c r="O275" t="s">
        <v>74</v>
      </c>
      <c r="P275" t="s">
        <v>74</v>
      </c>
      <c r="Q275" t="s">
        <v>74</v>
      </c>
      <c r="R275" t="s">
        <v>74</v>
      </c>
      <c r="S275" t="s">
        <v>74</v>
      </c>
      <c r="T275" t="s">
        <v>4936</v>
      </c>
      <c r="U275" t="s">
        <v>4937</v>
      </c>
      <c r="V275" t="s">
        <v>4938</v>
      </c>
      <c r="W275" t="s">
        <v>4939</v>
      </c>
      <c r="X275" t="s">
        <v>4940</v>
      </c>
      <c r="Y275" t="s">
        <v>4941</v>
      </c>
      <c r="Z275" t="s">
        <v>4942</v>
      </c>
      <c r="AA275" t="s">
        <v>74</v>
      </c>
      <c r="AB275" t="s">
        <v>4943</v>
      </c>
      <c r="AC275" t="s">
        <v>4944</v>
      </c>
      <c r="AD275" t="s">
        <v>4945</v>
      </c>
      <c r="AE275" t="s">
        <v>4946</v>
      </c>
      <c r="AF275" t="s">
        <v>74</v>
      </c>
      <c r="AG275">
        <v>77</v>
      </c>
      <c r="AH275">
        <v>32</v>
      </c>
      <c r="AI275">
        <v>35</v>
      </c>
      <c r="AJ275">
        <v>13</v>
      </c>
      <c r="AK275">
        <v>153</v>
      </c>
      <c r="AL275" t="s">
        <v>350</v>
      </c>
      <c r="AM275" t="s">
        <v>351</v>
      </c>
      <c r="AN275" t="s">
        <v>352</v>
      </c>
      <c r="AO275" t="s">
        <v>4947</v>
      </c>
      <c r="AP275" t="s">
        <v>4948</v>
      </c>
      <c r="AQ275" t="s">
        <v>74</v>
      </c>
      <c r="AR275" t="s">
        <v>4949</v>
      </c>
      <c r="AS275" t="s">
        <v>4950</v>
      </c>
      <c r="AT275" t="s">
        <v>375</v>
      </c>
      <c r="AU275">
        <v>2016</v>
      </c>
      <c r="AV275">
        <v>15</v>
      </c>
      <c r="AW275">
        <v>4</v>
      </c>
      <c r="AX275" t="s">
        <v>74</v>
      </c>
      <c r="AY275" t="s">
        <v>74</v>
      </c>
      <c r="AZ275" t="s">
        <v>74</v>
      </c>
      <c r="BA275" t="s">
        <v>74</v>
      </c>
      <c r="BB275">
        <v>429</v>
      </c>
      <c r="BC275">
        <v>458</v>
      </c>
      <c r="BD275" t="s">
        <v>74</v>
      </c>
      <c r="BE275" t="s">
        <v>4951</v>
      </c>
      <c r="BF275" t="str">
        <f>HYPERLINK("http://dx.doi.org/10.1177/1534484316673713","http://dx.doi.org/10.1177/1534484316673713")</f>
        <v>http://dx.doi.org/10.1177/1534484316673713</v>
      </c>
      <c r="BG275" t="s">
        <v>74</v>
      </c>
      <c r="BH275" t="s">
        <v>74</v>
      </c>
      <c r="BI275">
        <v>30</v>
      </c>
      <c r="BJ275" t="s">
        <v>442</v>
      </c>
      <c r="BK275" t="s">
        <v>94</v>
      </c>
      <c r="BL275" t="s">
        <v>95</v>
      </c>
      <c r="BM275" t="s">
        <v>4952</v>
      </c>
      <c r="BN275" t="s">
        <v>74</v>
      </c>
      <c r="BO275" t="s">
        <v>718</v>
      </c>
      <c r="BP275" t="s">
        <v>74</v>
      </c>
      <c r="BQ275" t="s">
        <v>74</v>
      </c>
      <c r="BR275" t="s">
        <v>97</v>
      </c>
      <c r="BS275" t="s">
        <v>4953</v>
      </c>
      <c r="BT275" t="str">
        <f>HYPERLINK("https%3A%2F%2Fwww.webofscience.com%2Fwos%2Fwoscc%2Ffull-record%2FWOS:000388857400003","View Full Record in Web of Science")</f>
        <v>View Full Record in Web of Science</v>
      </c>
    </row>
    <row r="276" spans="1:72" x14ac:dyDescent="0.25">
      <c r="A276" t="s">
        <v>72</v>
      </c>
      <c r="B276" t="s">
        <v>4954</v>
      </c>
      <c r="C276" t="s">
        <v>74</v>
      </c>
      <c r="D276" t="s">
        <v>74</v>
      </c>
      <c r="E276" t="s">
        <v>74</v>
      </c>
      <c r="F276" t="s">
        <v>4955</v>
      </c>
      <c r="G276" t="s">
        <v>74</v>
      </c>
      <c r="H276" t="s">
        <v>74</v>
      </c>
      <c r="I276" t="s">
        <v>4956</v>
      </c>
      <c r="J276" t="s">
        <v>1600</v>
      </c>
      <c r="K276" t="s">
        <v>74</v>
      </c>
      <c r="L276" t="s">
        <v>74</v>
      </c>
      <c r="M276" t="s">
        <v>77</v>
      </c>
      <c r="N276" t="s">
        <v>78</v>
      </c>
      <c r="O276" t="s">
        <v>74</v>
      </c>
      <c r="P276" t="s">
        <v>74</v>
      </c>
      <c r="Q276" t="s">
        <v>74</v>
      </c>
      <c r="R276" t="s">
        <v>74</v>
      </c>
      <c r="S276" t="s">
        <v>74</v>
      </c>
      <c r="T276" t="s">
        <v>4957</v>
      </c>
      <c r="U276" t="s">
        <v>4958</v>
      </c>
      <c r="V276" t="s">
        <v>4959</v>
      </c>
      <c r="W276" t="s">
        <v>4960</v>
      </c>
      <c r="X276" t="s">
        <v>4961</v>
      </c>
      <c r="Y276" t="s">
        <v>4962</v>
      </c>
      <c r="Z276" t="s">
        <v>4963</v>
      </c>
      <c r="AA276" t="s">
        <v>4964</v>
      </c>
      <c r="AB276" t="s">
        <v>74</v>
      </c>
      <c r="AC276" t="s">
        <v>74</v>
      </c>
      <c r="AD276" t="s">
        <v>74</v>
      </c>
      <c r="AE276" t="s">
        <v>74</v>
      </c>
      <c r="AF276" t="s">
        <v>74</v>
      </c>
      <c r="AG276">
        <v>88</v>
      </c>
      <c r="AH276">
        <v>32</v>
      </c>
      <c r="AI276">
        <v>33</v>
      </c>
      <c r="AJ276">
        <v>3</v>
      </c>
      <c r="AK276">
        <v>111</v>
      </c>
      <c r="AL276" t="s">
        <v>1099</v>
      </c>
      <c r="AM276" t="s">
        <v>305</v>
      </c>
      <c r="AN276" t="s">
        <v>1100</v>
      </c>
      <c r="AO276" t="s">
        <v>1610</v>
      </c>
      <c r="AP276" t="s">
        <v>1611</v>
      </c>
      <c r="AQ276" t="s">
        <v>74</v>
      </c>
      <c r="AR276" t="s">
        <v>1612</v>
      </c>
      <c r="AS276" t="s">
        <v>1613</v>
      </c>
      <c r="AT276" t="s">
        <v>4965</v>
      </c>
      <c r="AU276">
        <v>2014</v>
      </c>
      <c r="AV276">
        <v>25</v>
      </c>
      <c r="AW276">
        <v>7</v>
      </c>
      <c r="AX276" t="s">
        <v>74</v>
      </c>
      <c r="AY276" t="s">
        <v>74</v>
      </c>
      <c r="AZ276" t="s">
        <v>74</v>
      </c>
      <c r="BA276" t="s">
        <v>74</v>
      </c>
      <c r="BB276">
        <v>951</v>
      </c>
      <c r="BC276">
        <v>978</v>
      </c>
      <c r="BD276" t="s">
        <v>74</v>
      </c>
      <c r="BE276" t="s">
        <v>4966</v>
      </c>
      <c r="BF276" t="str">
        <f>HYPERLINK("http://dx.doi.org/10.1080/09585192.2013.809012","http://dx.doi.org/10.1080/09585192.2013.809012")</f>
        <v>http://dx.doi.org/10.1080/09585192.2013.809012</v>
      </c>
      <c r="BG276" t="s">
        <v>74</v>
      </c>
      <c r="BH276" t="s">
        <v>74</v>
      </c>
      <c r="BI276">
        <v>28</v>
      </c>
      <c r="BJ276" t="s">
        <v>442</v>
      </c>
      <c r="BK276" t="s">
        <v>94</v>
      </c>
      <c r="BL276" t="s">
        <v>95</v>
      </c>
      <c r="BM276" t="s">
        <v>4967</v>
      </c>
      <c r="BN276" t="s">
        <v>74</v>
      </c>
      <c r="BO276" t="s">
        <v>111</v>
      </c>
      <c r="BP276" t="s">
        <v>74</v>
      </c>
      <c r="BQ276" t="s">
        <v>74</v>
      </c>
      <c r="BR276" t="s">
        <v>97</v>
      </c>
      <c r="BS276" t="s">
        <v>4968</v>
      </c>
      <c r="BT276" t="str">
        <f>HYPERLINK("https%3A%2F%2Fwww.webofscience.com%2Fwos%2Fwoscc%2Ffull-record%2FWOS:000329688000002","View Full Record in Web of Science")</f>
        <v>View Full Record in Web of Science</v>
      </c>
    </row>
    <row r="277" spans="1:72" x14ac:dyDescent="0.25">
      <c r="A277" t="s">
        <v>72</v>
      </c>
      <c r="B277" t="s">
        <v>4969</v>
      </c>
      <c r="C277" t="s">
        <v>74</v>
      </c>
      <c r="D277" t="s">
        <v>74</v>
      </c>
      <c r="E277" t="s">
        <v>74</v>
      </c>
      <c r="F277" t="s">
        <v>4970</v>
      </c>
      <c r="G277" t="s">
        <v>74</v>
      </c>
      <c r="H277" t="s">
        <v>74</v>
      </c>
      <c r="I277" t="s">
        <v>4971</v>
      </c>
      <c r="J277" t="s">
        <v>657</v>
      </c>
      <c r="K277" t="s">
        <v>74</v>
      </c>
      <c r="L277" t="s">
        <v>74</v>
      </c>
      <c r="M277" t="s">
        <v>77</v>
      </c>
      <c r="N277" t="s">
        <v>78</v>
      </c>
      <c r="O277" t="s">
        <v>74</v>
      </c>
      <c r="P277" t="s">
        <v>74</v>
      </c>
      <c r="Q277" t="s">
        <v>74</v>
      </c>
      <c r="R277" t="s">
        <v>74</v>
      </c>
      <c r="S277" t="s">
        <v>74</v>
      </c>
      <c r="T277" t="s">
        <v>4972</v>
      </c>
      <c r="U277" t="s">
        <v>4973</v>
      </c>
      <c r="V277" t="s">
        <v>4974</v>
      </c>
      <c r="W277" t="s">
        <v>4975</v>
      </c>
      <c r="X277" t="s">
        <v>4976</v>
      </c>
      <c r="Y277" t="s">
        <v>4977</v>
      </c>
      <c r="Z277" t="s">
        <v>4978</v>
      </c>
      <c r="AA277" t="s">
        <v>4979</v>
      </c>
      <c r="AB277" t="s">
        <v>4980</v>
      </c>
      <c r="AC277" t="s">
        <v>74</v>
      </c>
      <c r="AD277" t="s">
        <v>74</v>
      </c>
      <c r="AE277" t="s">
        <v>74</v>
      </c>
      <c r="AF277" t="s">
        <v>74</v>
      </c>
      <c r="AG277">
        <v>66</v>
      </c>
      <c r="AH277">
        <v>32</v>
      </c>
      <c r="AI277">
        <v>33</v>
      </c>
      <c r="AJ277">
        <v>2</v>
      </c>
      <c r="AK277">
        <v>93</v>
      </c>
      <c r="AL277" t="s">
        <v>665</v>
      </c>
      <c r="AM277" t="s">
        <v>666</v>
      </c>
      <c r="AN277" t="s">
        <v>667</v>
      </c>
      <c r="AO277" t="s">
        <v>668</v>
      </c>
      <c r="AP277" t="s">
        <v>669</v>
      </c>
      <c r="AQ277" t="s">
        <v>74</v>
      </c>
      <c r="AR277" t="s">
        <v>670</v>
      </c>
      <c r="AS277" t="s">
        <v>671</v>
      </c>
      <c r="AT277" t="s">
        <v>74</v>
      </c>
      <c r="AU277">
        <v>2011</v>
      </c>
      <c r="AV277">
        <v>32</v>
      </c>
      <c r="AW277">
        <v>1</v>
      </c>
      <c r="AX277" t="s">
        <v>74</v>
      </c>
      <c r="AY277" t="s">
        <v>74</v>
      </c>
      <c r="AZ277" t="s">
        <v>74</v>
      </c>
      <c r="BA277" t="s">
        <v>74</v>
      </c>
      <c r="BB277">
        <v>81</v>
      </c>
      <c r="BC277">
        <v>98</v>
      </c>
      <c r="BD277" t="s">
        <v>74</v>
      </c>
      <c r="BE277" t="s">
        <v>4981</v>
      </c>
      <c r="BF277" t="str">
        <f>HYPERLINK("http://dx.doi.org/10.1108/01437721111121242","http://dx.doi.org/10.1108/01437721111121242")</f>
        <v>http://dx.doi.org/10.1108/01437721111121242</v>
      </c>
      <c r="BG277" t="s">
        <v>74</v>
      </c>
      <c r="BH277" t="s">
        <v>74</v>
      </c>
      <c r="BI277">
        <v>18</v>
      </c>
      <c r="BJ277" t="s">
        <v>673</v>
      </c>
      <c r="BK277" t="s">
        <v>94</v>
      </c>
      <c r="BL277" t="s">
        <v>95</v>
      </c>
      <c r="BM277" t="s">
        <v>4982</v>
      </c>
      <c r="BN277" t="s">
        <v>74</v>
      </c>
      <c r="BO277" t="s">
        <v>74</v>
      </c>
      <c r="BP277" t="s">
        <v>74</v>
      </c>
      <c r="BQ277" t="s">
        <v>74</v>
      </c>
      <c r="BR277" t="s">
        <v>97</v>
      </c>
      <c r="BS277" t="s">
        <v>4983</v>
      </c>
      <c r="BT277" t="str">
        <f>HYPERLINK("https%3A%2F%2Fwww.webofscience.com%2Fwos%2Fwoscc%2Ffull-record%2FWOS:000291904100007","View Full Record in Web of Science")</f>
        <v>View Full Record in Web of Science</v>
      </c>
    </row>
    <row r="278" spans="1:72" x14ac:dyDescent="0.25">
      <c r="A278" t="s">
        <v>72</v>
      </c>
      <c r="B278" t="s">
        <v>11744</v>
      </c>
      <c r="C278" t="s">
        <v>74</v>
      </c>
      <c r="D278" t="s">
        <v>74</v>
      </c>
      <c r="E278" t="s">
        <v>74</v>
      </c>
      <c r="F278" t="s">
        <v>11745</v>
      </c>
      <c r="G278" t="s">
        <v>74</v>
      </c>
      <c r="H278" t="s">
        <v>74</v>
      </c>
      <c r="I278" t="s">
        <v>11746</v>
      </c>
      <c r="J278" t="s">
        <v>11747</v>
      </c>
      <c r="K278" t="s">
        <v>74</v>
      </c>
      <c r="L278" t="s">
        <v>74</v>
      </c>
      <c r="M278" t="s">
        <v>77</v>
      </c>
      <c r="N278" t="s">
        <v>78</v>
      </c>
      <c r="O278" t="s">
        <v>74</v>
      </c>
      <c r="P278" t="s">
        <v>74</v>
      </c>
      <c r="Q278" t="s">
        <v>74</v>
      </c>
      <c r="R278" t="s">
        <v>74</v>
      </c>
      <c r="S278" t="s">
        <v>74</v>
      </c>
      <c r="T278" t="s">
        <v>11748</v>
      </c>
      <c r="U278" t="s">
        <v>11749</v>
      </c>
      <c r="V278" t="s">
        <v>11750</v>
      </c>
      <c r="W278" t="s">
        <v>11751</v>
      </c>
      <c r="X278" t="s">
        <v>11752</v>
      </c>
      <c r="Y278" t="s">
        <v>11753</v>
      </c>
      <c r="Z278" t="s">
        <v>2086</v>
      </c>
      <c r="AA278" t="s">
        <v>11754</v>
      </c>
      <c r="AB278" t="s">
        <v>11755</v>
      </c>
      <c r="AC278" t="s">
        <v>74</v>
      </c>
      <c r="AD278" t="s">
        <v>74</v>
      </c>
      <c r="AE278" t="s">
        <v>74</v>
      </c>
      <c r="AF278" t="s">
        <v>74</v>
      </c>
      <c r="AG278">
        <v>78</v>
      </c>
      <c r="AH278">
        <v>8</v>
      </c>
      <c r="AI278">
        <v>8</v>
      </c>
      <c r="AJ278">
        <v>10</v>
      </c>
      <c r="AK278">
        <v>42</v>
      </c>
      <c r="AL278" t="s">
        <v>2351</v>
      </c>
      <c r="AM278" t="s">
        <v>541</v>
      </c>
      <c r="AN278" t="s">
        <v>2352</v>
      </c>
      <c r="AO278" t="s">
        <v>11756</v>
      </c>
      <c r="AP278" t="s">
        <v>11757</v>
      </c>
      <c r="AQ278" t="s">
        <v>74</v>
      </c>
      <c r="AR278" t="s">
        <v>11758</v>
      </c>
      <c r="AS278" t="s">
        <v>11759</v>
      </c>
      <c r="AT278" t="s">
        <v>496</v>
      </c>
      <c r="AU278">
        <v>2019</v>
      </c>
      <c r="AV278">
        <v>25</v>
      </c>
      <c r="AW278">
        <v>6</v>
      </c>
      <c r="AX278" t="s">
        <v>74</v>
      </c>
      <c r="AY278" t="s">
        <v>74</v>
      </c>
      <c r="AZ278" t="s">
        <v>74</v>
      </c>
      <c r="BA278" t="s">
        <v>74</v>
      </c>
      <c r="BB278">
        <v>904</v>
      </c>
      <c r="BC278">
        <v>922</v>
      </c>
      <c r="BD278" t="s">
        <v>74</v>
      </c>
      <c r="BE278" t="s">
        <v>11760</v>
      </c>
      <c r="BF278" t="str">
        <f>HYPERLINK("http://dx.doi.org/10.1177/1354816618811551","http://dx.doi.org/10.1177/1354816618811551")</f>
        <v>http://dx.doi.org/10.1177/1354816618811551</v>
      </c>
      <c r="BG278" t="s">
        <v>74</v>
      </c>
      <c r="BH278" t="s">
        <v>74</v>
      </c>
      <c r="BI278">
        <v>19</v>
      </c>
      <c r="BJ278" t="s">
        <v>11761</v>
      </c>
      <c r="BK278" t="s">
        <v>94</v>
      </c>
      <c r="BL278" t="s">
        <v>2359</v>
      </c>
      <c r="BM278" t="s">
        <v>11762</v>
      </c>
      <c r="BN278" t="s">
        <v>74</v>
      </c>
      <c r="BO278" t="s">
        <v>74</v>
      </c>
      <c r="BP278" t="s">
        <v>74</v>
      </c>
      <c r="BQ278" t="s">
        <v>74</v>
      </c>
      <c r="BR278" t="s">
        <v>97</v>
      </c>
      <c r="BS278" t="s">
        <v>11763</v>
      </c>
      <c r="BT278" t="str">
        <f>HYPERLINK("https%3A%2F%2Fwww.webofscience.com%2Fwos%2Fwoscc%2Ffull-record%2FWOS:000482444000004","View Full Record in Web of Science")</f>
        <v>View Full Record in Web of Science</v>
      </c>
    </row>
    <row r="279" spans="1:72" x14ac:dyDescent="0.25">
      <c r="A279" t="s">
        <v>72</v>
      </c>
      <c r="B279" t="s">
        <v>5003</v>
      </c>
      <c r="C279" t="s">
        <v>74</v>
      </c>
      <c r="D279" t="s">
        <v>74</v>
      </c>
      <c r="E279" t="s">
        <v>74</v>
      </c>
      <c r="F279" t="s">
        <v>5004</v>
      </c>
      <c r="G279" t="s">
        <v>74</v>
      </c>
      <c r="H279" t="s">
        <v>74</v>
      </c>
      <c r="I279" t="s">
        <v>5005</v>
      </c>
      <c r="J279" t="s">
        <v>3184</v>
      </c>
      <c r="K279" t="s">
        <v>74</v>
      </c>
      <c r="L279" t="s">
        <v>74</v>
      </c>
      <c r="M279" t="s">
        <v>77</v>
      </c>
      <c r="N279" t="s">
        <v>78</v>
      </c>
      <c r="O279" t="s">
        <v>74</v>
      </c>
      <c r="P279" t="s">
        <v>74</v>
      </c>
      <c r="Q279" t="s">
        <v>74</v>
      </c>
      <c r="R279" t="s">
        <v>74</v>
      </c>
      <c r="S279" t="s">
        <v>74</v>
      </c>
      <c r="T279" t="s">
        <v>5006</v>
      </c>
      <c r="U279" t="s">
        <v>5007</v>
      </c>
      <c r="V279" t="s">
        <v>5008</v>
      </c>
      <c r="W279" t="s">
        <v>5009</v>
      </c>
      <c r="X279" t="s">
        <v>5010</v>
      </c>
      <c r="Y279" t="s">
        <v>5011</v>
      </c>
      <c r="Z279" t="s">
        <v>5012</v>
      </c>
      <c r="AA279" t="s">
        <v>5013</v>
      </c>
      <c r="AB279" t="s">
        <v>5014</v>
      </c>
      <c r="AC279" t="s">
        <v>5015</v>
      </c>
      <c r="AD279" t="s">
        <v>5016</v>
      </c>
      <c r="AE279" t="s">
        <v>5017</v>
      </c>
      <c r="AF279" t="s">
        <v>74</v>
      </c>
      <c r="AG279">
        <v>78</v>
      </c>
      <c r="AH279">
        <v>31</v>
      </c>
      <c r="AI279">
        <v>31</v>
      </c>
      <c r="AJ279">
        <v>28</v>
      </c>
      <c r="AK279">
        <v>94</v>
      </c>
      <c r="AL279" t="s">
        <v>3195</v>
      </c>
      <c r="AM279" t="s">
        <v>3196</v>
      </c>
      <c r="AN279" t="s">
        <v>3197</v>
      </c>
      <c r="AO279" t="s">
        <v>3198</v>
      </c>
      <c r="AP279" t="s">
        <v>74</v>
      </c>
      <c r="AQ279" t="s">
        <v>74</v>
      </c>
      <c r="AR279" t="s">
        <v>3199</v>
      </c>
      <c r="AS279" t="s">
        <v>3200</v>
      </c>
      <c r="AT279" t="s">
        <v>5018</v>
      </c>
      <c r="AU279">
        <v>2019</v>
      </c>
      <c r="AV279">
        <v>10</v>
      </c>
      <c r="AW279" t="s">
        <v>74</v>
      </c>
      <c r="AX279" t="s">
        <v>74</v>
      </c>
      <c r="AY279" t="s">
        <v>74</v>
      </c>
      <c r="AZ279" t="s">
        <v>74</v>
      </c>
      <c r="BA279" t="s">
        <v>74</v>
      </c>
      <c r="BB279" t="s">
        <v>74</v>
      </c>
      <c r="BC279" t="s">
        <v>74</v>
      </c>
      <c r="BD279">
        <v>1581</v>
      </c>
      <c r="BE279" t="s">
        <v>5019</v>
      </c>
      <c r="BF279" t="str">
        <f>HYPERLINK("http://dx.doi.org/10.3389/fpsyg.2019.01581","http://dx.doi.org/10.3389/fpsyg.2019.01581")</f>
        <v>http://dx.doi.org/10.3389/fpsyg.2019.01581</v>
      </c>
      <c r="BG279" t="s">
        <v>74</v>
      </c>
      <c r="BH279" t="s">
        <v>74</v>
      </c>
      <c r="BI279">
        <v>12</v>
      </c>
      <c r="BJ279" t="s">
        <v>3203</v>
      </c>
      <c r="BK279" t="s">
        <v>94</v>
      </c>
      <c r="BL279" t="s">
        <v>460</v>
      </c>
      <c r="BM279" t="s">
        <v>5020</v>
      </c>
      <c r="BN279">
        <v>31338055</v>
      </c>
      <c r="BO279" t="s">
        <v>4398</v>
      </c>
      <c r="BP279" t="s">
        <v>74</v>
      </c>
      <c r="BQ279" t="s">
        <v>74</v>
      </c>
      <c r="BR279" t="s">
        <v>97</v>
      </c>
      <c r="BS279" t="s">
        <v>5021</v>
      </c>
      <c r="BT279" t="str">
        <f>HYPERLINK("https%3A%2F%2Fwww.webofscience.com%2Fwos%2Fwoscc%2Ffull-record%2FWOS:000474489000001","View Full Record in Web of Science")</f>
        <v>View Full Record in Web of Science</v>
      </c>
    </row>
    <row r="280" spans="1:72" x14ac:dyDescent="0.25">
      <c r="A280" t="s">
        <v>72</v>
      </c>
      <c r="B280" t="s">
        <v>5022</v>
      </c>
      <c r="C280" t="s">
        <v>74</v>
      </c>
      <c r="D280" t="s">
        <v>74</v>
      </c>
      <c r="E280" t="s">
        <v>74</v>
      </c>
      <c r="F280" t="s">
        <v>5023</v>
      </c>
      <c r="G280" t="s">
        <v>74</v>
      </c>
      <c r="H280" t="s">
        <v>74</v>
      </c>
      <c r="I280" t="s">
        <v>5024</v>
      </c>
      <c r="J280" t="s">
        <v>1798</v>
      </c>
      <c r="K280" t="s">
        <v>74</v>
      </c>
      <c r="L280" t="s">
        <v>74</v>
      </c>
      <c r="M280" t="s">
        <v>77</v>
      </c>
      <c r="N280" t="s">
        <v>78</v>
      </c>
      <c r="O280" t="s">
        <v>74</v>
      </c>
      <c r="P280" t="s">
        <v>74</v>
      </c>
      <c r="Q280" t="s">
        <v>74</v>
      </c>
      <c r="R280" t="s">
        <v>74</v>
      </c>
      <c r="S280" t="s">
        <v>74</v>
      </c>
      <c r="T280" t="s">
        <v>5025</v>
      </c>
      <c r="U280" t="s">
        <v>5026</v>
      </c>
      <c r="V280" t="s">
        <v>5027</v>
      </c>
      <c r="W280" t="s">
        <v>5028</v>
      </c>
      <c r="X280" t="s">
        <v>5029</v>
      </c>
      <c r="Y280" t="s">
        <v>5030</v>
      </c>
      <c r="Z280" t="s">
        <v>5031</v>
      </c>
      <c r="AA280" t="s">
        <v>74</v>
      </c>
      <c r="AB280" t="s">
        <v>5032</v>
      </c>
      <c r="AC280" t="s">
        <v>74</v>
      </c>
      <c r="AD280" t="s">
        <v>74</v>
      </c>
      <c r="AE280" t="s">
        <v>74</v>
      </c>
      <c r="AF280" t="s">
        <v>74</v>
      </c>
      <c r="AG280">
        <v>76</v>
      </c>
      <c r="AH280">
        <v>31</v>
      </c>
      <c r="AI280">
        <v>32</v>
      </c>
      <c r="AJ280">
        <v>11</v>
      </c>
      <c r="AK280">
        <v>119</v>
      </c>
      <c r="AL280" t="s">
        <v>1806</v>
      </c>
      <c r="AM280" t="s">
        <v>1046</v>
      </c>
      <c r="AN280" t="s">
        <v>1807</v>
      </c>
      <c r="AO280" t="s">
        <v>1808</v>
      </c>
      <c r="AP280" t="s">
        <v>1809</v>
      </c>
      <c r="AQ280" t="s">
        <v>74</v>
      </c>
      <c r="AR280" t="s">
        <v>1810</v>
      </c>
      <c r="AS280" t="s">
        <v>1811</v>
      </c>
      <c r="AT280" t="s">
        <v>5033</v>
      </c>
      <c r="AU280">
        <v>2018</v>
      </c>
      <c r="AV280">
        <v>57</v>
      </c>
      <c r="AW280">
        <v>6</v>
      </c>
      <c r="AX280" t="s">
        <v>74</v>
      </c>
      <c r="AY280" t="s">
        <v>74</v>
      </c>
      <c r="AZ280" t="s">
        <v>74</v>
      </c>
      <c r="BA280" t="s">
        <v>74</v>
      </c>
      <c r="BB280">
        <v>1455</v>
      </c>
      <c r="BC280">
        <v>1468</v>
      </c>
      <c r="BD280" t="s">
        <v>74</v>
      </c>
      <c r="BE280" t="s">
        <v>5034</v>
      </c>
      <c r="BF280" t="str">
        <f>HYPERLINK("http://dx.doi.org/10.1002/hrm.21918","http://dx.doi.org/10.1002/hrm.21918")</f>
        <v>http://dx.doi.org/10.1002/hrm.21918</v>
      </c>
      <c r="BG280" t="s">
        <v>74</v>
      </c>
      <c r="BH280" t="s">
        <v>74</v>
      </c>
      <c r="BI280">
        <v>14</v>
      </c>
      <c r="BJ280" t="s">
        <v>202</v>
      </c>
      <c r="BK280" t="s">
        <v>94</v>
      </c>
      <c r="BL280" t="s">
        <v>203</v>
      </c>
      <c r="BM280" t="s">
        <v>5035</v>
      </c>
      <c r="BN280" t="s">
        <v>74</v>
      </c>
      <c r="BO280" t="s">
        <v>5036</v>
      </c>
      <c r="BP280" t="s">
        <v>74</v>
      </c>
      <c r="BQ280" t="s">
        <v>74</v>
      </c>
      <c r="BR280" t="s">
        <v>97</v>
      </c>
      <c r="BS280" t="s">
        <v>5037</v>
      </c>
      <c r="BT280" t="str">
        <f>HYPERLINK("https%3A%2F%2Fwww.webofscience.com%2Fwos%2Fwoscc%2Ffull-record%2FWOS:000449695600009","View Full Record in Web of Science")</f>
        <v>View Full Record in Web of Science</v>
      </c>
    </row>
    <row r="281" spans="1:72" x14ac:dyDescent="0.25">
      <c r="A281" t="s">
        <v>72</v>
      </c>
      <c r="B281" t="s">
        <v>5038</v>
      </c>
      <c r="C281" t="s">
        <v>74</v>
      </c>
      <c r="D281" t="s">
        <v>74</v>
      </c>
      <c r="E281" t="s">
        <v>74</v>
      </c>
      <c r="F281" t="s">
        <v>5039</v>
      </c>
      <c r="G281" t="s">
        <v>74</v>
      </c>
      <c r="H281" t="s">
        <v>74</v>
      </c>
      <c r="I281" t="s">
        <v>5040</v>
      </c>
      <c r="J281" t="s">
        <v>779</v>
      </c>
      <c r="K281" t="s">
        <v>74</v>
      </c>
      <c r="L281" t="s">
        <v>74</v>
      </c>
      <c r="M281" t="s">
        <v>77</v>
      </c>
      <c r="N281" t="s">
        <v>78</v>
      </c>
      <c r="O281" t="s">
        <v>74</v>
      </c>
      <c r="P281" t="s">
        <v>74</v>
      </c>
      <c r="Q281" t="s">
        <v>74</v>
      </c>
      <c r="R281" t="s">
        <v>74</v>
      </c>
      <c r="S281" t="s">
        <v>74</v>
      </c>
      <c r="T281" t="s">
        <v>74</v>
      </c>
      <c r="U281" t="s">
        <v>5041</v>
      </c>
      <c r="V281" t="s">
        <v>5042</v>
      </c>
      <c r="W281" t="s">
        <v>5043</v>
      </c>
      <c r="X281" t="s">
        <v>5044</v>
      </c>
      <c r="Y281" t="s">
        <v>5045</v>
      </c>
      <c r="Z281" t="s">
        <v>5046</v>
      </c>
      <c r="AA281" t="s">
        <v>5047</v>
      </c>
      <c r="AB281" t="s">
        <v>5048</v>
      </c>
      <c r="AC281" t="s">
        <v>74</v>
      </c>
      <c r="AD281" t="s">
        <v>74</v>
      </c>
      <c r="AE281" t="s">
        <v>74</v>
      </c>
      <c r="AF281" t="s">
        <v>74</v>
      </c>
      <c r="AG281">
        <v>140</v>
      </c>
      <c r="AH281">
        <v>31</v>
      </c>
      <c r="AI281">
        <v>32</v>
      </c>
      <c r="AJ281">
        <v>9</v>
      </c>
      <c r="AK281">
        <v>69</v>
      </c>
      <c r="AL281" t="s">
        <v>218</v>
      </c>
      <c r="AM281" t="s">
        <v>219</v>
      </c>
      <c r="AN281" t="s">
        <v>220</v>
      </c>
      <c r="AO281" t="s">
        <v>789</v>
      </c>
      <c r="AP281" t="s">
        <v>1320</v>
      </c>
      <c r="AQ281" t="s">
        <v>74</v>
      </c>
      <c r="AR281" t="s">
        <v>790</v>
      </c>
      <c r="AS281" t="s">
        <v>791</v>
      </c>
      <c r="AT281" t="s">
        <v>792</v>
      </c>
      <c r="AU281">
        <v>2018</v>
      </c>
      <c r="AV281">
        <v>35</v>
      </c>
      <c r="AW281">
        <v>4</v>
      </c>
      <c r="AX281" t="s">
        <v>74</v>
      </c>
      <c r="AY281" t="s">
        <v>74</v>
      </c>
      <c r="AZ281" t="s">
        <v>74</v>
      </c>
      <c r="BA281" t="s">
        <v>74</v>
      </c>
      <c r="BB281">
        <v>518</v>
      </c>
      <c r="BC281">
        <v>542</v>
      </c>
      <c r="BD281" t="s">
        <v>74</v>
      </c>
      <c r="BE281" t="s">
        <v>5049</v>
      </c>
      <c r="BF281" t="str">
        <f>HYPERLINK("http://dx.doi.org/10.1111/jpim.12426","http://dx.doi.org/10.1111/jpim.12426")</f>
        <v>http://dx.doi.org/10.1111/jpim.12426</v>
      </c>
      <c r="BG281" t="s">
        <v>74</v>
      </c>
      <c r="BH281" t="s">
        <v>74</v>
      </c>
      <c r="BI281">
        <v>25</v>
      </c>
      <c r="BJ281" t="s">
        <v>794</v>
      </c>
      <c r="BK281" t="s">
        <v>147</v>
      </c>
      <c r="BL281" t="s">
        <v>795</v>
      </c>
      <c r="BM281" t="s">
        <v>5050</v>
      </c>
      <c r="BN281" t="s">
        <v>74</v>
      </c>
      <c r="BO281" t="s">
        <v>74</v>
      </c>
      <c r="BP281" t="s">
        <v>74</v>
      </c>
      <c r="BQ281" t="s">
        <v>74</v>
      </c>
      <c r="BR281" t="s">
        <v>97</v>
      </c>
      <c r="BS281" t="s">
        <v>5051</v>
      </c>
      <c r="BT281" t="str">
        <f>HYPERLINK("https%3A%2F%2Fwww.webofscience.com%2Fwos%2Fwoscc%2Ffull-record%2FWOS:000434136200003","View Full Record in Web of Science")</f>
        <v>View Full Record in Web of Science</v>
      </c>
    </row>
    <row r="282" spans="1:72" x14ac:dyDescent="0.25">
      <c r="A282" t="s">
        <v>72</v>
      </c>
      <c r="B282" t="s">
        <v>5052</v>
      </c>
      <c r="C282" t="s">
        <v>74</v>
      </c>
      <c r="D282" t="s">
        <v>74</v>
      </c>
      <c r="E282" t="s">
        <v>74</v>
      </c>
      <c r="F282" t="s">
        <v>5053</v>
      </c>
      <c r="G282" t="s">
        <v>74</v>
      </c>
      <c r="H282" t="s">
        <v>74</v>
      </c>
      <c r="I282" t="s">
        <v>5054</v>
      </c>
      <c r="J282" t="s">
        <v>2463</v>
      </c>
      <c r="K282" t="s">
        <v>74</v>
      </c>
      <c r="L282" t="s">
        <v>74</v>
      </c>
      <c r="M282" t="s">
        <v>77</v>
      </c>
      <c r="N282" t="s">
        <v>78</v>
      </c>
      <c r="O282" t="s">
        <v>74</v>
      </c>
      <c r="P282" t="s">
        <v>74</v>
      </c>
      <c r="Q282" t="s">
        <v>74</v>
      </c>
      <c r="R282" t="s">
        <v>74</v>
      </c>
      <c r="S282" t="s">
        <v>74</v>
      </c>
      <c r="T282" t="s">
        <v>5055</v>
      </c>
      <c r="U282" t="s">
        <v>5056</v>
      </c>
      <c r="V282" t="s">
        <v>5057</v>
      </c>
      <c r="W282" t="s">
        <v>5058</v>
      </c>
      <c r="X282" t="s">
        <v>5059</v>
      </c>
      <c r="Y282" t="s">
        <v>5060</v>
      </c>
      <c r="Z282" t="s">
        <v>5061</v>
      </c>
      <c r="AA282" t="s">
        <v>5062</v>
      </c>
      <c r="AB282" t="s">
        <v>5063</v>
      </c>
      <c r="AC282" t="s">
        <v>5064</v>
      </c>
      <c r="AD282" t="s">
        <v>5065</v>
      </c>
      <c r="AE282" t="s">
        <v>5066</v>
      </c>
      <c r="AF282" t="s">
        <v>74</v>
      </c>
      <c r="AG282">
        <v>99</v>
      </c>
      <c r="AH282">
        <v>31</v>
      </c>
      <c r="AI282">
        <v>31</v>
      </c>
      <c r="AJ282">
        <v>10</v>
      </c>
      <c r="AK282">
        <v>82</v>
      </c>
      <c r="AL282" t="s">
        <v>2473</v>
      </c>
      <c r="AM282" t="s">
        <v>2102</v>
      </c>
      <c r="AN282" t="s">
        <v>2474</v>
      </c>
      <c r="AO282" t="s">
        <v>74</v>
      </c>
      <c r="AP282" t="s">
        <v>2475</v>
      </c>
      <c r="AQ282" t="s">
        <v>74</v>
      </c>
      <c r="AR282" t="s">
        <v>2476</v>
      </c>
      <c r="AS282" t="s">
        <v>2477</v>
      </c>
      <c r="AT282" t="s">
        <v>165</v>
      </c>
      <c r="AU282">
        <v>2018</v>
      </c>
      <c r="AV282">
        <v>10</v>
      </c>
      <c r="AW282">
        <v>5</v>
      </c>
      <c r="AX282" t="s">
        <v>74</v>
      </c>
      <c r="AY282" t="s">
        <v>74</v>
      </c>
      <c r="AZ282" t="s">
        <v>74</v>
      </c>
      <c r="BA282" t="s">
        <v>74</v>
      </c>
      <c r="BB282" t="s">
        <v>74</v>
      </c>
      <c r="BC282" t="s">
        <v>74</v>
      </c>
      <c r="BD282">
        <v>1506</v>
      </c>
      <c r="BE282" t="s">
        <v>5067</v>
      </c>
      <c r="BF282" t="str">
        <f>HYPERLINK("http://dx.doi.org/10.3390/su10051506","http://dx.doi.org/10.3390/su10051506")</f>
        <v>http://dx.doi.org/10.3390/su10051506</v>
      </c>
      <c r="BG282" t="s">
        <v>74</v>
      </c>
      <c r="BH282" t="s">
        <v>74</v>
      </c>
      <c r="BI282">
        <v>19</v>
      </c>
      <c r="BJ282" t="s">
        <v>2479</v>
      </c>
      <c r="BK282" t="s">
        <v>147</v>
      </c>
      <c r="BL282" t="s">
        <v>2480</v>
      </c>
      <c r="BM282" t="s">
        <v>5068</v>
      </c>
      <c r="BN282" t="s">
        <v>74</v>
      </c>
      <c r="BO282" t="s">
        <v>2694</v>
      </c>
      <c r="BP282" t="s">
        <v>74</v>
      </c>
      <c r="BQ282" t="s">
        <v>74</v>
      </c>
      <c r="BR282" t="s">
        <v>97</v>
      </c>
      <c r="BS282" t="s">
        <v>5069</v>
      </c>
      <c r="BT282" t="str">
        <f>HYPERLINK("https%3A%2F%2Fwww.webofscience.com%2Fwos%2Fwoscc%2Ffull-record%2FWOS:000435587100202","View Full Record in Web of Science")</f>
        <v>View Full Record in Web of Science</v>
      </c>
    </row>
    <row r="283" spans="1:72" x14ac:dyDescent="0.25">
      <c r="A283" t="s">
        <v>72</v>
      </c>
      <c r="B283" t="s">
        <v>5070</v>
      </c>
      <c r="C283" t="s">
        <v>74</v>
      </c>
      <c r="D283" t="s">
        <v>74</v>
      </c>
      <c r="E283" t="s">
        <v>74</v>
      </c>
      <c r="F283" t="s">
        <v>5071</v>
      </c>
      <c r="G283" t="s">
        <v>74</v>
      </c>
      <c r="H283" t="s">
        <v>74</v>
      </c>
      <c r="I283" t="s">
        <v>5072</v>
      </c>
      <c r="J283" t="s">
        <v>1290</v>
      </c>
      <c r="K283" t="s">
        <v>74</v>
      </c>
      <c r="L283" t="s">
        <v>74</v>
      </c>
      <c r="M283" t="s">
        <v>77</v>
      </c>
      <c r="N283" t="s">
        <v>78</v>
      </c>
      <c r="O283" t="s">
        <v>74</v>
      </c>
      <c r="P283" t="s">
        <v>74</v>
      </c>
      <c r="Q283" t="s">
        <v>74</v>
      </c>
      <c r="R283" t="s">
        <v>74</v>
      </c>
      <c r="S283" t="s">
        <v>74</v>
      </c>
      <c r="T283" t="s">
        <v>5073</v>
      </c>
      <c r="U283" t="s">
        <v>5074</v>
      </c>
      <c r="V283" t="s">
        <v>5075</v>
      </c>
      <c r="W283" t="s">
        <v>5076</v>
      </c>
      <c r="X283" t="s">
        <v>5077</v>
      </c>
      <c r="Y283" t="s">
        <v>5078</v>
      </c>
      <c r="Z283" t="s">
        <v>5079</v>
      </c>
      <c r="AA283" t="s">
        <v>5080</v>
      </c>
      <c r="AB283" t="s">
        <v>5081</v>
      </c>
      <c r="AC283" t="s">
        <v>74</v>
      </c>
      <c r="AD283" t="s">
        <v>74</v>
      </c>
      <c r="AE283" t="s">
        <v>74</v>
      </c>
      <c r="AF283" t="s">
        <v>74</v>
      </c>
      <c r="AG283">
        <v>102</v>
      </c>
      <c r="AH283">
        <v>31</v>
      </c>
      <c r="AI283">
        <v>31</v>
      </c>
      <c r="AJ283">
        <v>1</v>
      </c>
      <c r="AK283">
        <v>49</v>
      </c>
      <c r="AL283" t="s">
        <v>665</v>
      </c>
      <c r="AM283" t="s">
        <v>666</v>
      </c>
      <c r="AN283" t="s">
        <v>667</v>
      </c>
      <c r="AO283" t="s">
        <v>1300</v>
      </c>
      <c r="AP283" t="s">
        <v>1301</v>
      </c>
      <c r="AQ283" t="s">
        <v>74</v>
      </c>
      <c r="AR283" t="s">
        <v>1302</v>
      </c>
      <c r="AS283" t="s">
        <v>1303</v>
      </c>
      <c r="AT283" t="s">
        <v>74</v>
      </c>
      <c r="AU283">
        <v>2018</v>
      </c>
      <c r="AV283">
        <v>30</v>
      </c>
      <c r="AW283">
        <v>1</v>
      </c>
      <c r="AX283" t="s">
        <v>74</v>
      </c>
      <c r="AY283" t="s">
        <v>74</v>
      </c>
      <c r="AZ283" t="s">
        <v>74</v>
      </c>
      <c r="BA283" t="s">
        <v>74</v>
      </c>
      <c r="BB283">
        <v>178</v>
      </c>
      <c r="BC283">
        <v>196</v>
      </c>
      <c r="BD283" t="s">
        <v>74</v>
      </c>
      <c r="BE283" t="s">
        <v>5082</v>
      </c>
      <c r="BF283" t="str">
        <f>HYPERLINK("http://dx.doi.org/10.1108/IJCHM-07-2016-0372","http://dx.doi.org/10.1108/IJCHM-07-2016-0372")</f>
        <v>http://dx.doi.org/10.1108/IJCHM-07-2016-0372</v>
      </c>
      <c r="BG283" t="s">
        <v>74</v>
      </c>
      <c r="BH283" t="s">
        <v>74</v>
      </c>
      <c r="BI283">
        <v>19</v>
      </c>
      <c r="BJ283" t="s">
        <v>1305</v>
      </c>
      <c r="BK283" t="s">
        <v>94</v>
      </c>
      <c r="BL283" t="s">
        <v>1306</v>
      </c>
      <c r="BM283" t="s">
        <v>5083</v>
      </c>
      <c r="BN283" t="s">
        <v>74</v>
      </c>
      <c r="BO283" t="s">
        <v>74</v>
      </c>
      <c r="BP283" t="s">
        <v>74</v>
      </c>
      <c r="BQ283" t="s">
        <v>74</v>
      </c>
      <c r="BR283" t="s">
        <v>97</v>
      </c>
      <c r="BS283" t="s">
        <v>5084</v>
      </c>
      <c r="BT283" t="str">
        <f>HYPERLINK("https%3A%2F%2Fwww.webofscience.com%2Fwos%2Fwoscc%2Ffull-record%2FWOS:000424495000008","View Full Record in Web of Science")</f>
        <v>View Full Record in Web of Science</v>
      </c>
    </row>
    <row r="284" spans="1:72" x14ac:dyDescent="0.25">
      <c r="A284" t="s">
        <v>72</v>
      </c>
      <c r="B284" t="s">
        <v>5085</v>
      </c>
      <c r="C284" t="s">
        <v>74</v>
      </c>
      <c r="D284" t="s">
        <v>74</v>
      </c>
      <c r="E284" t="s">
        <v>74</v>
      </c>
      <c r="F284" t="s">
        <v>5086</v>
      </c>
      <c r="G284" t="s">
        <v>74</v>
      </c>
      <c r="H284" t="s">
        <v>74</v>
      </c>
      <c r="I284" t="s">
        <v>5087</v>
      </c>
      <c r="J284" t="s">
        <v>1916</v>
      </c>
      <c r="K284" t="s">
        <v>74</v>
      </c>
      <c r="L284" t="s">
        <v>74</v>
      </c>
      <c r="M284" t="s">
        <v>77</v>
      </c>
      <c r="N284" t="s">
        <v>78</v>
      </c>
      <c r="O284" t="s">
        <v>74</v>
      </c>
      <c r="P284" t="s">
        <v>74</v>
      </c>
      <c r="Q284" t="s">
        <v>74</v>
      </c>
      <c r="R284" t="s">
        <v>74</v>
      </c>
      <c r="S284" t="s">
        <v>74</v>
      </c>
      <c r="T284" t="s">
        <v>5088</v>
      </c>
      <c r="U284" t="s">
        <v>5089</v>
      </c>
      <c r="V284" t="s">
        <v>5090</v>
      </c>
      <c r="W284" t="s">
        <v>5091</v>
      </c>
      <c r="X284" t="s">
        <v>1876</v>
      </c>
      <c r="Y284" t="s">
        <v>5092</v>
      </c>
      <c r="Z284" t="s">
        <v>5093</v>
      </c>
      <c r="AA284" t="s">
        <v>5094</v>
      </c>
      <c r="AB284" t="s">
        <v>5095</v>
      </c>
      <c r="AC284" t="s">
        <v>74</v>
      </c>
      <c r="AD284" t="s">
        <v>74</v>
      </c>
      <c r="AE284" t="s">
        <v>74</v>
      </c>
      <c r="AF284" t="s">
        <v>74</v>
      </c>
      <c r="AG284">
        <v>59</v>
      </c>
      <c r="AH284">
        <v>31</v>
      </c>
      <c r="AI284">
        <v>32</v>
      </c>
      <c r="AJ284">
        <v>1</v>
      </c>
      <c r="AK284">
        <v>34</v>
      </c>
      <c r="AL284" t="s">
        <v>665</v>
      </c>
      <c r="AM284" t="s">
        <v>666</v>
      </c>
      <c r="AN284" t="s">
        <v>667</v>
      </c>
      <c r="AO284" t="s">
        <v>1926</v>
      </c>
      <c r="AP284" t="s">
        <v>1927</v>
      </c>
      <c r="AQ284" t="s">
        <v>74</v>
      </c>
      <c r="AR284" t="s">
        <v>1928</v>
      </c>
      <c r="AS284" t="s">
        <v>1929</v>
      </c>
      <c r="AT284" t="s">
        <v>74</v>
      </c>
      <c r="AU284">
        <v>2014</v>
      </c>
      <c r="AV284">
        <v>52</v>
      </c>
      <c r="AW284">
        <v>2</v>
      </c>
      <c r="AX284" t="s">
        <v>74</v>
      </c>
      <c r="AY284" t="s">
        <v>74</v>
      </c>
      <c r="AZ284" t="s">
        <v>74</v>
      </c>
      <c r="BA284" t="s">
        <v>74</v>
      </c>
      <c r="BB284">
        <v>410</v>
      </c>
      <c r="BC284">
        <v>424</v>
      </c>
      <c r="BD284" t="s">
        <v>74</v>
      </c>
      <c r="BE284" t="s">
        <v>5096</v>
      </c>
      <c r="BF284" t="str">
        <f>HYPERLINK("http://dx.doi.org/10.1108/MD-07-2012-0533","http://dx.doi.org/10.1108/MD-07-2012-0533")</f>
        <v>http://dx.doi.org/10.1108/MD-07-2012-0533</v>
      </c>
      <c r="BG284" t="s">
        <v>74</v>
      </c>
      <c r="BH284" t="s">
        <v>74</v>
      </c>
      <c r="BI284">
        <v>15</v>
      </c>
      <c r="BJ284" t="s">
        <v>93</v>
      </c>
      <c r="BK284" t="s">
        <v>94</v>
      </c>
      <c r="BL284" t="s">
        <v>95</v>
      </c>
      <c r="BM284" t="s">
        <v>5097</v>
      </c>
      <c r="BN284" t="s">
        <v>74</v>
      </c>
      <c r="BO284" t="s">
        <v>74</v>
      </c>
      <c r="BP284" t="s">
        <v>74</v>
      </c>
      <c r="BQ284" t="s">
        <v>74</v>
      </c>
      <c r="BR284" t="s">
        <v>97</v>
      </c>
      <c r="BS284" t="s">
        <v>5098</v>
      </c>
      <c r="BT284" t="str">
        <f>HYPERLINK("https%3A%2F%2Fwww.webofscience.com%2Fwos%2Fwoscc%2Ffull-record%2FWOS:000334565600012","View Full Record in Web of Science")</f>
        <v>View Full Record in Web of Science</v>
      </c>
    </row>
    <row r="285" spans="1:72" x14ac:dyDescent="0.25">
      <c r="A285" t="s">
        <v>72</v>
      </c>
      <c r="B285" t="s">
        <v>5099</v>
      </c>
      <c r="C285" t="s">
        <v>74</v>
      </c>
      <c r="D285" t="s">
        <v>74</v>
      </c>
      <c r="E285" t="s">
        <v>74</v>
      </c>
      <c r="F285" t="s">
        <v>5100</v>
      </c>
      <c r="G285" t="s">
        <v>74</v>
      </c>
      <c r="H285" t="s">
        <v>74</v>
      </c>
      <c r="I285" t="s">
        <v>5101</v>
      </c>
      <c r="J285" t="s">
        <v>5102</v>
      </c>
      <c r="K285" t="s">
        <v>74</v>
      </c>
      <c r="L285" t="s">
        <v>74</v>
      </c>
      <c r="M285" t="s">
        <v>77</v>
      </c>
      <c r="N285" t="s">
        <v>78</v>
      </c>
      <c r="O285" t="s">
        <v>74</v>
      </c>
      <c r="P285" t="s">
        <v>74</v>
      </c>
      <c r="Q285" t="s">
        <v>74</v>
      </c>
      <c r="R285" t="s">
        <v>74</v>
      </c>
      <c r="S285" t="s">
        <v>74</v>
      </c>
      <c r="T285" t="s">
        <v>74</v>
      </c>
      <c r="U285" t="s">
        <v>5103</v>
      </c>
      <c r="V285" t="s">
        <v>5104</v>
      </c>
      <c r="W285" t="s">
        <v>5105</v>
      </c>
      <c r="X285" t="s">
        <v>5106</v>
      </c>
      <c r="Y285" t="s">
        <v>5107</v>
      </c>
      <c r="Z285" t="s">
        <v>5108</v>
      </c>
      <c r="AA285" t="s">
        <v>74</v>
      </c>
      <c r="AB285" t="s">
        <v>74</v>
      </c>
      <c r="AC285" t="s">
        <v>74</v>
      </c>
      <c r="AD285" t="s">
        <v>74</v>
      </c>
      <c r="AE285" t="s">
        <v>74</v>
      </c>
      <c r="AF285" t="s">
        <v>74</v>
      </c>
      <c r="AG285">
        <v>17</v>
      </c>
      <c r="AH285">
        <v>31</v>
      </c>
      <c r="AI285">
        <v>33</v>
      </c>
      <c r="AJ285">
        <v>0</v>
      </c>
      <c r="AK285">
        <v>16</v>
      </c>
      <c r="AL285" t="s">
        <v>329</v>
      </c>
      <c r="AM285" t="s">
        <v>330</v>
      </c>
      <c r="AN285" t="s">
        <v>331</v>
      </c>
      <c r="AO285" t="s">
        <v>5109</v>
      </c>
      <c r="AP285" t="s">
        <v>5110</v>
      </c>
      <c r="AQ285" t="s">
        <v>74</v>
      </c>
      <c r="AR285" t="s">
        <v>5111</v>
      </c>
      <c r="AS285" t="s">
        <v>5112</v>
      </c>
      <c r="AT285" t="s">
        <v>5113</v>
      </c>
      <c r="AU285">
        <v>2011</v>
      </c>
      <c r="AV285">
        <v>21</v>
      </c>
      <c r="AW285">
        <v>4</v>
      </c>
      <c r="AX285" t="s">
        <v>74</v>
      </c>
      <c r="AY285" t="s">
        <v>74</v>
      </c>
      <c r="AZ285" t="s">
        <v>74</v>
      </c>
      <c r="BA285" t="s">
        <v>74</v>
      </c>
      <c r="BB285">
        <v>272</v>
      </c>
      <c r="BC285">
        <v>276</v>
      </c>
      <c r="BD285" t="s">
        <v>74</v>
      </c>
      <c r="BE285" t="s">
        <v>5114</v>
      </c>
      <c r="BF285" t="str">
        <f>HYPERLINK("http://dx.doi.org/10.1016/j.whi.2011.03.006","http://dx.doi.org/10.1016/j.whi.2011.03.006")</f>
        <v>http://dx.doi.org/10.1016/j.whi.2011.03.006</v>
      </c>
      <c r="BG285" t="s">
        <v>74</v>
      </c>
      <c r="BH285" t="s">
        <v>74</v>
      </c>
      <c r="BI285">
        <v>5</v>
      </c>
      <c r="BJ285" t="s">
        <v>5115</v>
      </c>
      <c r="BK285" t="s">
        <v>94</v>
      </c>
      <c r="BL285" t="s">
        <v>5115</v>
      </c>
      <c r="BM285" t="s">
        <v>5116</v>
      </c>
      <c r="BN285">
        <v>21602055</v>
      </c>
      <c r="BO285" t="s">
        <v>74</v>
      </c>
      <c r="BP285" t="s">
        <v>74</v>
      </c>
      <c r="BQ285" t="s">
        <v>74</v>
      </c>
      <c r="BR285" t="s">
        <v>97</v>
      </c>
      <c r="BS285" t="s">
        <v>5117</v>
      </c>
      <c r="BT285" t="str">
        <f>HYPERLINK("https%3A%2F%2Fwww.webofscience.com%2Fwos%2Fwoscc%2Ffull-record%2FWOS:000292785000004","View Full Record in Web of Science")</f>
        <v>View Full Record in Web of Science</v>
      </c>
    </row>
    <row r="286" spans="1:72" x14ac:dyDescent="0.25">
      <c r="A286" t="s">
        <v>72</v>
      </c>
      <c r="B286" t="s">
        <v>3401</v>
      </c>
      <c r="C286" t="s">
        <v>74</v>
      </c>
      <c r="D286" t="s">
        <v>74</v>
      </c>
      <c r="E286" t="s">
        <v>74</v>
      </c>
      <c r="F286" t="s">
        <v>3401</v>
      </c>
      <c r="G286" t="s">
        <v>74</v>
      </c>
      <c r="H286" t="s">
        <v>74</v>
      </c>
      <c r="I286" t="s">
        <v>5118</v>
      </c>
      <c r="J286" t="s">
        <v>5119</v>
      </c>
      <c r="K286" t="s">
        <v>74</v>
      </c>
      <c r="L286" t="s">
        <v>74</v>
      </c>
      <c r="M286" t="s">
        <v>77</v>
      </c>
      <c r="N286" t="s">
        <v>78</v>
      </c>
      <c r="O286" t="s">
        <v>74</v>
      </c>
      <c r="P286" t="s">
        <v>74</v>
      </c>
      <c r="Q286" t="s">
        <v>74</v>
      </c>
      <c r="R286" t="s">
        <v>74</v>
      </c>
      <c r="S286" t="s">
        <v>74</v>
      </c>
      <c r="T286" t="s">
        <v>5120</v>
      </c>
      <c r="U286" t="s">
        <v>5121</v>
      </c>
      <c r="V286" t="s">
        <v>5122</v>
      </c>
      <c r="W286" t="s">
        <v>3406</v>
      </c>
      <c r="X286" t="s">
        <v>3407</v>
      </c>
      <c r="Y286" t="s">
        <v>5123</v>
      </c>
      <c r="Z286" t="s">
        <v>3409</v>
      </c>
      <c r="AA286" t="s">
        <v>3410</v>
      </c>
      <c r="AB286" t="s">
        <v>3411</v>
      </c>
      <c r="AC286" t="s">
        <v>74</v>
      </c>
      <c r="AD286" t="s">
        <v>74</v>
      </c>
      <c r="AE286" t="s">
        <v>74</v>
      </c>
      <c r="AF286" t="s">
        <v>74</v>
      </c>
      <c r="AG286">
        <v>32</v>
      </c>
      <c r="AH286">
        <v>31</v>
      </c>
      <c r="AI286">
        <v>32</v>
      </c>
      <c r="AJ286">
        <v>0</v>
      </c>
      <c r="AK286">
        <v>19</v>
      </c>
      <c r="AL286" t="s">
        <v>218</v>
      </c>
      <c r="AM286" t="s">
        <v>219</v>
      </c>
      <c r="AN286" t="s">
        <v>220</v>
      </c>
      <c r="AO286" t="s">
        <v>5124</v>
      </c>
      <c r="AP286" t="s">
        <v>5125</v>
      </c>
      <c r="AQ286" t="s">
        <v>74</v>
      </c>
      <c r="AR286" t="s">
        <v>5126</v>
      </c>
      <c r="AS286" t="s">
        <v>5127</v>
      </c>
      <c r="AT286" t="s">
        <v>74</v>
      </c>
      <c r="AU286">
        <v>2003</v>
      </c>
      <c r="AV286">
        <v>94</v>
      </c>
      <c r="AW286">
        <v>3</v>
      </c>
      <c r="AX286" t="s">
        <v>74</v>
      </c>
      <c r="AY286" t="s">
        <v>74</v>
      </c>
      <c r="AZ286" t="s">
        <v>74</v>
      </c>
      <c r="BA286" t="s">
        <v>74</v>
      </c>
      <c r="BB286">
        <v>376</v>
      </c>
      <c r="BC286">
        <v>389</v>
      </c>
      <c r="BD286" t="s">
        <v>74</v>
      </c>
      <c r="BE286" t="s">
        <v>5128</v>
      </c>
      <c r="BF286" t="str">
        <f>HYPERLINK("http://dx.doi.org/10.1111/1467-9663.00264","http://dx.doi.org/10.1111/1467-9663.00264")</f>
        <v>http://dx.doi.org/10.1111/1467-9663.00264</v>
      </c>
      <c r="BG286" t="s">
        <v>74</v>
      </c>
      <c r="BH286" t="s">
        <v>74</v>
      </c>
      <c r="BI286">
        <v>14</v>
      </c>
      <c r="BJ286" t="s">
        <v>5129</v>
      </c>
      <c r="BK286" t="s">
        <v>94</v>
      </c>
      <c r="BL286" t="s">
        <v>5130</v>
      </c>
      <c r="BM286" t="s">
        <v>5131</v>
      </c>
      <c r="BN286" t="s">
        <v>74</v>
      </c>
      <c r="BO286" t="s">
        <v>74</v>
      </c>
      <c r="BP286" t="s">
        <v>74</v>
      </c>
      <c r="BQ286" t="s">
        <v>74</v>
      </c>
      <c r="BR286" t="s">
        <v>97</v>
      </c>
      <c r="BS286" t="s">
        <v>5132</v>
      </c>
      <c r="BT286" t="str">
        <f>HYPERLINK("https%3A%2F%2Fwww.webofscience.com%2Fwos%2Fwoscc%2Ffull-record%2FWOS:000185203000008","View Full Record in Web of Science")</f>
        <v>View Full Record in Web of Science</v>
      </c>
    </row>
    <row r="287" spans="1:72" x14ac:dyDescent="0.25">
      <c r="A287" t="s">
        <v>72</v>
      </c>
      <c r="B287" t="s">
        <v>5133</v>
      </c>
      <c r="C287" t="s">
        <v>74</v>
      </c>
      <c r="D287" t="s">
        <v>74</v>
      </c>
      <c r="E287" t="s">
        <v>74</v>
      </c>
      <c r="F287" t="s">
        <v>5133</v>
      </c>
      <c r="G287" t="s">
        <v>74</v>
      </c>
      <c r="H287" t="s">
        <v>74</v>
      </c>
      <c r="I287" t="s">
        <v>5134</v>
      </c>
      <c r="J287" t="s">
        <v>5135</v>
      </c>
      <c r="K287" t="s">
        <v>74</v>
      </c>
      <c r="L287" t="s">
        <v>74</v>
      </c>
      <c r="M287" t="s">
        <v>77</v>
      </c>
      <c r="N287" t="s">
        <v>78</v>
      </c>
      <c r="O287" t="s">
        <v>74</v>
      </c>
      <c r="P287" t="s">
        <v>74</v>
      </c>
      <c r="Q287" t="s">
        <v>74</v>
      </c>
      <c r="R287" t="s">
        <v>74</v>
      </c>
      <c r="S287" t="s">
        <v>74</v>
      </c>
      <c r="T287" t="s">
        <v>74</v>
      </c>
      <c r="U287" t="s">
        <v>5136</v>
      </c>
      <c r="V287" t="s">
        <v>5137</v>
      </c>
      <c r="W287" t="s">
        <v>74</v>
      </c>
      <c r="X287" t="s">
        <v>74</v>
      </c>
      <c r="Y287" t="s">
        <v>5138</v>
      </c>
      <c r="Z287" t="s">
        <v>74</v>
      </c>
      <c r="AA287" t="s">
        <v>5139</v>
      </c>
      <c r="AB287" t="s">
        <v>5140</v>
      </c>
      <c r="AC287" t="s">
        <v>74</v>
      </c>
      <c r="AD287" t="s">
        <v>74</v>
      </c>
      <c r="AE287" t="s">
        <v>74</v>
      </c>
      <c r="AF287" t="s">
        <v>74</v>
      </c>
      <c r="AG287">
        <v>40</v>
      </c>
      <c r="AH287">
        <v>31</v>
      </c>
      <c r="AI287">
        <v>33</v>
      </c>
      <c r="AJ287">
        <v>0</v>
      </c>
      <c r="AK287">
        <v>4</v>
      </c>
      <c r="AL287" t="s">
        <v>1099</v>
      </c>
      <c r="AM287" t="s">
        <v>305</v>
      </c>
      <c r="AN287" t="s">
        <v>1100</v>
      </c>
      <c r="AO287" t="s">
        <v>5141</v>
      </c>
      <c r="AP287" t="s">
        <v>5142</v>
      </c>
      <c r="AQ287" t="s">
        <v>74</v>
      </c>
      <c r="AR287" t="s">
        <v>5143</v>
      </c>
      <c r="AS287" t="s">
        <v>5144</v>
      </c>
      <c r="AT287" t="s">
        <v>792</v>
      </c>
      <c r="AU287">
        <v>1994</v>
      </c>
      <c r="AV287">
        <v>48</v>
      </c>
      <c r="AW287">
        <v>2</v>
      </c>
      <c r="AX287" t="s">
        <v>74</v>
      </c>
      <c r="AY287" t="s">
        <v>74</v>
      </c>
      <c r="AZ287" t="s">
        <v>74</v>
      </c>
      <c r="BA287" t="s">
        <v>74</v>
      </c>
      <c r="BB287">
        <v>193</v>
      </c>
      <c r="BC287">
        <v>222</v>
      </c>
      <c r="BD287" t="s">
        <v>74</v>
      </c>
      <c r="BE287" t="s">
        <v>5145</v>
      </c>
      <c r="BF287" t="str">
        <f>HYPERLINK("http://dx.doi.org/10.1080/0032472031000147766","http://dx.doi.org/10.1080/0032472031000147766")</f>
        <v>http://dx.doi.org/10.1080/0032472031000147766</v>
      </c>
      <c r="BG287" t="s">
        <v>74</v>
      </c>
      <c r="BH287" t="s">
        <v>74</v>
      </c>
      <c r="BI287">
        <v>30</v>
      </c>
      <c r="BJ287" t="s">
        <v>5146</v>
      </c>
      <c r="BK287" t="s">
        <v>94</v>
      </c>
      <c r="BL287" t="s">
        <v>5146</v>
      </c>
      <c r="BM287" t="s">
        <v>5147</v>
      </c>
      <c r="BN287" t="s">
        <v>74</v>
      </c>
      <c r="BO287" t="s">
        <v>74</v>
      </c>
      <c r="BP287" t="s">
        <v>74</v>
      </c>
      <c r="BQ287" t="s">
        <v>74</v>
      </c>
      <c r="BR287" t="s">
        <v>97</v>
      </c>
      <c r="BS287" t="s">
        <v>5148</v>
      </c>
      <c r="BT287" t="str">
        <f>HYPERLINK("https%3A%2F%2Fwww.webofscience.com%2Fwos%2Fwoscc%2Ffull-record%2FWOS:A1994NX24700001","View Full Record in Web of Science")</f>
        <v>View Full Record in Web of Science</v>
      </c>
    </row>
    <row r="288" spans="1:72" x14ac:dyDescent="0.25">
      <c r="A288" t="s">
        <v>72</v>
      </c>
      <c r="B288" t="s">
        <v>5149</v>
      </c>
      <c r="C288" t="s">
        <v>74</v>
      </c>
      <c r="D288" t="s">
        <v>74</v>
      </c>
      <c r="E288" t="s">
        <v>74</v>
      </c>
      <c r="F288" t="s">
        <v>5150</v>
      </c>
      <c r="G288" t="s">
        <v>74</v>
      </c>
      <c r="H288" t="s">
        <v>74</v>
      </c>
      <c r="I288" t="s">
        <v>5151</v>
      </c>
      <c r="J288" t="s">
        <v>3005</v>
      </c>
      <c r="K288" t="s">
        <v>74</v>
      </c>
      <c r="L288" t="s">
        <v>74</v>
      </c>
      <c r="M288" t="s">
        <v>77</v>
      </c>
      <c r="N288" t="s">
        <v>78</v>
      </c>
      <c r="O288" t="s">
        <v>74</v>
      </c>
      <c r="P288" t="s">
        <v>74</v>
      </c>
      <c r="Q288" t="s">
        <v>74</v>
      </c>
      <c r="R288" t="s">
        <v>74</v>
      </c>
      <c r="S288" t="s">
        <v>74</v>
      </c>
      <c r="T288" t="s">
        <v>5152</v>
      </c>
      <c r="U288" t="s">
        <v>5153</v>
      </c>
      <c r="V288" t="s">
        <v>5154</v>
      </c>
      <c r="W288" t="s">
        <v>5155</v>
      </c>
      <c r="X288" t="s">
        <v>5156</v>
      </c>
      <c r="Y288" t="s">
        <v>5157</v>
      </c>
      <c r="Z288" t="s">
        <v>5158</v>
      </c>
      <c r="AA288" t="s">
        <v>5159</v>
      </c>
      <c r="AB288" t="s">
        <v>5160</v>
      </c>
      <c r="AC288" t="s">
        <v>74</v>
      </c>
      <c r="AD288" t="s">
        <v>74</v>
      </c>
      <c r="AE288" t="s">
        <v>74</v>
      </c>
      <c r="AF288" t="s">
        <v>74</v>
      </c>
      <c r="AG288">
        <v>85</v>
      </c>
      <c r="AH288">
        <v>30</v>
      </c>
      <c r="AI288">
        <v>32</v>
      </c>
      <c r="AJ288">
        <v>54</v>
      </c>
      <c r="AK288">
        <v>80</v>
      </c>
      <c r="AL288" t="s">
        <v>3014</v>
      </c>
      <c r="AM288" t="s">
        <v>139</v>
      </c>
      <c r="AN288" t="s">
        <v>3015</v>
      </c>
      <c r="AO288" t="s">
        <v>3016</v>
      </c>
      <c r="AP288" t="s">
        <v>3017</v>
      </c>
      <c r="AQ288" t="s">
        <v>74</v>
      </c>
      <c r="AR288" t="s">
        <v>3018</v>
      </c>
      <c r="AS288" t="s">
        <v>3019</v>
      </c>
      <c r="AT288" t="s">
        <v>5161</v>
      </c>
      <c r="AU288">
        <v>2022</v>
      </c>
      <c r="AV288">
        <v>60</v>
      </c>
      <c r="AW288">
        <v>4</v>
      </c>
      <c r="AX288" t="s">
        <v>74</v>
      </c>
      <c r="AY288" t="s">
        <v>74</v>
      </c>
      <c r="AZ288" t="s">
        <v>74</v>
      </c>
      <c r="BA288" t="s">
        <v>74</v>
      </c>
      <c r="BB288">
        <v>805</v>
      </c>
      <c r="BC288">
        <v>827</v>
      </c>
      <c r="BD288" t="s">
        <v>74</v>
      </c>
      <c r="BE288" t="s">
        <v>5162</v>
      </c>
      <c r="BF288" t="str">
        <f>HYPERLINK("http://dx.doi.org/10.1080/00472778.2020.1737094","http://dx.doi.org/10.1080/00472778.2020.1737094")</f>
        <v>http://dx.doi.org/10.1080/00472778.2020.1737094</v>
      </c>
      <c r="BG288" t="s">
        <v>74</v>
      </c>
      <c r="BH288" t="s">
        <v>74</v>
      </c>
      <c r="BI288">
        <v>23</v>
      </c>
      <c r="BJ288" t="s">
        <v>442</v>
      </c>
      <c r="BK288" t="s">
        <v>94</v>
      </c>
      <c r="BL288" t="s">
        <v>95</v>
      </c>
      <c r="BM288" t="s">
        <v>5163</v>
      </c>
      <c r="BN288" t="s">
        <v>74</v>
      </c>
      <c r="BO288" t="s">
        <v>74</v>
      </c>
      <c r="BP288" t="s">
        <v>150</v>
      </c>
      <c r="BQ288" t="s">
        <v>151</v>
      </c>
      <c r="BR288" t="s">
        <v>97</v>
      </c>
      <c r="BS288" t="s">
        <v>5164</v>
      </c>
      <c r="BT288" t="str">
        <f>HYPERLINK("https%3A%2F%2Fwww.webofscience.com%2Fwos%2Fwoscc%2Ffull-record%2FWOS:000811338200003","View Full Record in Web of Science")</f>
        <v>View Full Record in Web of Science</v>
      </c>
    </row>
    <row r="289" spans="1:72" x14ac:dyDescent="0.25">
      <c r="A289" t="s">
        <v>72</v>
      </c>
      <c r="B289" t="s">
        <v>5165</v>
      </c>
      <c r="C289" t="s">
        <v>74</v>
      </c>
      <c r="D289" t="s">
        <v>74</v>
      </c>
      <c r="E289" t="s">
        <v>74</v>
      </c>
      <c r="F289" t="s">
        <v>5166</v>
      </c>
      <c r="G289" t="s">
        <v>74</v>
      </c>
      <c r="H289" t="s">
        <v>74</v>
      </c>
      <c r="I289" t="s">
        <v>5167</v>
      </c>
      <c r="J289" t="s">
        <v>616</v>
      </c>
      <c r="K289" t="s">
        <v>74</v>
      </c>
      <c r="L289" t="s">
        <v>74</v>
      </c>
      <c r="M289" t="s">
        <v>77</v>
      </c>
      <c r="N289" t="s">
        <v>78</v>
      </c>
      <c r="O289" t="s">
        <v>74</v>
      </c>
      <c r="P289" t="s">
        <v>74</v>
      </c>
      <c r="Q289" t="s">
        <v>74</v>
      </c>
      <c r="R289" t="s">
        <v>74</v>
      </c>
      <c r="S289" t="s">
        <v>74</v>
      </c>
      <c r="T289" t="s">
        <v>5168</v>
      </c>
      <c r="U289" t="s">
        <v>5169</v>
      </c>
      <c r="V289" t="s">
        <v>5170</v>
      </c>
      <c r="W289" t="s">
        <v>5171</v>
      </c>
      <c r="X289" t="s">
        <v>5172</v>
      </c>
      <c r="Y289" t="s">
        <v>5173</v>
      </c>
      <c r="Z289" t="s">
        <v>5174</v>
      </c>
      <c r="AA289" t="s">
        <v>5175</v>
      </c>
      <c r="AB289" t="s">
        <v>5176</v>
      </c>
      <c r="AC289" t="s">
        <v>74</v>
      </c>
      <c r="AD289" t="s">
        <v>74</v>
      </c>
      <c r="AE289" t="s">
        <v>74</v>
      </c>
      <c r="AF289" t="s">
        <v>74</v>
      </c>
      <c r="AG289">
        <v>131</v>
      </c>
      <c r="AH289">
        <v>30</v>
      </c>
      <c r="AI289">
        <v>30</v>
      </c>
      <c r="AJ289">
        <v>7</v>
      </c>
      <c r="AK289">
        <v>58</v>
      </c>
      <c r="AL289" t="s">
        <v>602</v>
      </c>
      <c r="AM289" t="s">
        <v>160</v>
      </c>
      <c r="AN289" t="s">
        <v>603</v>
      </c>
      <c r="AO289" t="s">
        <v>625</v>
      </c>
      <c r="AP289" t="s">
        <v>626</v>
      </c>
      <c r="AQ289" t="s">
        <v>74</v>
      </c>
      <c r="AR289" t="s">
        <v>627</v>
      </c>
      <c r="AS289" t="s">
        <v>628</v>
      </c>
      <c r="AT289" t="s">
        <v>496</v>
      </c>
      <c r="AU289">
        <v>2020</v>
      </c>
      <c r="AV289">
        <v>90</v>
      </c>
      <c r="AW289" t="s">
        <v>74</v>
      </c>
      <c r="AX289" t="s">
        <v>74</v>
      </c>
      <c r="AY289" t="s">
        <v>74</v>
      </c>
      <c r="AZ289" t="s">
        <v>74</v>
      </c>
      <c r="BA289" t="s">
        <v>74</v>
      </c>
      <c r="BB289" t="s">
        <v>74</v>
      </c>
      <c r="BC289" t="s">
        <v>74</v>
      </c>
      <c r="BD289">
        <v>102600</v>
      </c>
      <c r="BE289" t="s">
        <v>5177</v>
      </c>
      <c r="BF289" t="str">
        <f>HYPERLINK("http://dx.doi.org/10.1016/j.ijhm.2020.102600","http://dx.doi.org/10.1016/j.ijhm.2020.102600")</f>
        <v>http://dx.doi.org/10.1016/j.ijhm.2020.102600</v>
      </c>
      <c r="BG289" t="s">
        <v>74</v>
      </c>
      <c r="BH289" t="s">
        <v>74</v>
      </c>
      <c r="BI289">
        <v>13</v>
      </c>
      <c r="BJ289" t="s">
        <v>630</v>
      </c>
      <c r="BK289" t="s">
        <v>94</v>
      </c>
      <c r="BL289" t="s">
        <v>631</v>
      </c>
      <c r="BM289" t="s">
        <v>5178</v>
      </c>
      <c r="BN289">
        <v>32834349</v>
      </c>
      <c r="BO289" t="s">
        <v>718</v>
      </c>
      <c r="BP289" t="s">
        <v>74</v>
      </c>
      <c r="BQ289" t="s">
        <v>74</v>
      </c>
      <c r="BR289" t="s">
        <v>97</v>
      </c>
      <c r="BS289" t="s">
        <v>5179</v>
      </c>
      <c r="BT289" t="str">
        <f>HYPERLINK("https%3A%2F%2Fwww.webofscience.com%2Fwos%2Fwoscc%2Ffull-record%2FWOS:000573058700005","View Full Record in Web of Science")</f>
        <v>View Full Record in Web of Science</v>
      </c>
    </row>
    <row r="290" spans="1:72" x14ac:dyDescent="0.25">
      <c r="A290" t="s">
        <v>72</v>
      </c>
      <c r="B290" t="s">
        <v>5180</v>
      </c>
      <c r="C290" t="s">
        <v>74</v>
      </c>
      <c r="D290" t="s">
        <v>74</v>
      </c>
      <c r="E290" t="s">
        <v>74</v>
      </c>
      <c r="F290" t="s">
        <v>5181</v>
      </c>
      <c r="G290" t="s">
        <v>74</v>
      </c>
      <c r="H290" t="s">
        <v>74</v>
      </c>
      <c r="I290" t="s">
        <v>5182</v>
      </c>
      <c r="J290" t="s">
        <v>466</v>
      </c>
      <c r="K290" t="s">
        <v>74</v>
      </c>
      <c r="L290" t="s">
        <v>74</v>
      </c>
      <c r="M290" t="s">
        <v>77</v>
      </c>
      <c r="N290" t="s">
        <v>78</v>
      </c>
      <c r="O290" t="s">
        <v>74</v>
      </c>
      <c r="P290" t="s">
        <v>74</v>
      </c>
      <c r="Q290" t="s">
        <v>74</v>
      </c>
      <c r="R290" t="s">
        <v>74</v>
      </c>
      <c r="S290" t="s">
        <v>74</v>
      </c>
      <c r="T290" t="s">
        <v>5183</v>
      </c>
      <c r="U290" t="s">
        <v>5184</v>
      </c>
      <c r="V290" t="s">
        <v>5185</v>
      </c>
      <c r="W290" t="s">
        <v>5186</v>
      </c>
      <c r="X290" t="s">
        <v>4797</v>
      </c>
      <c r="Y290" t="s">
        <v>5187</v>
      </c>
      <c r="Z290" t="s">
        <v>4799</v>
      </c>
      <c r="AA290" t="s">
        <v>5188</v>
      </c>
      <c r="AB290" t="s">
        <v>5189</v>
      </c>
      <c r="AC290" t="s">
        <v>5190</v>
      </c>
      <c r="AD290" t="s">
        <v>5191</v>
      </c>
      <c r="AE290" t="s">
        <v>5192</v>
      </c>
      <c r="AF290" t="s">
        <v>74</v>
      </c>
      <c r="AG290">
        <v>96</v>
      </c>
      <c r="AH290">
        <v>30</v>
      </c>
      <c r="AI290">
        <v>30</v>
      </c>
      <c r="AJ290">
        <v>6</v>
      </c>
      <c r="AK290">
        <v>48</v>
      </c>
      <c r="AL290" t="s">
        <v>218</v>
      </c>
      <c r="AM290" t="s">
        <v>219</v>
      </c>
      <c r="AN290" t="s">
        <v>220</v>
      </c>
      <c r="AO290" t="s">
        <v>476</v>
      </c>
      <c r="AP290" t="s">
        <v>477</v>
      </c>
      <c r="AQ290" t="s">
        <v>74</v>
      </c>
      <c r="AR290" t="s">
        <v>478</v>
      </c>
      <c r="AS290" t="s">
        <v>479</v>
      </c>
      <c r="AT290" t="s">
        <v>91</v>
      </c>
      <c r="AU290">
        <v>2020</v>
      </c>
      <c r="AV290">
        <v>54</v>
      </c>
      <c r="AW290">
        <v>2</v>
      </c>
      <c r="AX290" t="s">
        <v>74</v>
      </c>
      <c r="AY290" t="s">
        <v>74</v>
      </c>
      <c r="AZ290" t="s">
        <v>74</v>
      </c>
      <c r="BA290" t="s">
        <v>74</v>
      </c>
      <c r="BB290">
        <v>267</v>
      </c>
      <c r="BC290">
        <v>278</v>
      </c>
      <c r="BD290" t="s">
        <v>74</v>
      </c>
      <c r="BE290" t="s">
        <v>5193</v>
      </c>
      <c r="BF290" t="str">
        <f>HYPERLINK("http://dx.doi.org/10.1002/jocb.364","http://dx.doi.org/10.1002/jocb.364")</f>
        <v>http://dx.doi.org/10.1002/jocb.364</v>
      </c>
      <c r="BG290" t="s">
        <v>74</v>
      </c>
      <c r="BH290" t="s">
        <v>74</v>
      </c>
      <c r="BI290">
        <v>12</v>
      </c>
      <c r="BJ290" t="s">
        <v>481</v>
      </c>
      <c r="BK290" t="s">
        <v>94</v>
      </c>
      <c r="BL290" t="s">
        <v>460</v>
      </c>
      <c r="BM290" t="s">
        <v>5194</v>
      </c>
      <c r="BN290" t="s">
        <v>74</v>
      </c>
      <c r="BO290" t="s">
        <v>74</v>
      </c>
      <c r="BP290" t="s">
        <v>74</v>
      </c>
      <c r="BQ290" t="s">
        <v>74</v>
      </c>
      <c r="BR290" t="s">
        <v>97</v>
      </c>
      <c r="BS290" t="s">
        <v>5195</v>
      </c>
      <c r="BT290" t="str">
        <f>HYPERLINK("https%3A%2F%2Fwww.webofscience.com%2Fwos%2Fwoscc%2Ffull-record%2FWOS:000540630200004","View Full Record in Web of Science")</f>
        <v>View Full Record in Web of Science</v>
      </c>
    </row>
    <row r="291" spans="1:72" x14ac:dyDescent="0.25">
      <c r="A291" t="s">
        <v>72</v>
      </c>
      <c r="B291" t="s">
        <v>5196</v>
      </c>
      <c r="C291" t="s">
        <v>74</v>
      </c>
      <c r="D291" t="s">
        <v>74</v>
      </c>
      <c r="E291" t="s">
        <v>74</v>
      </c>
      <c r="F291" t="s">
        <v>5197</v>
      </c>
      <c r="G291" t="s">
        <v>74</v>
      </c>
      <c r="H291" t="s">
        <v>74</v>
      </c>
      <c r="I291" t="s">
        <v>5198</v>
      </c>
      <c r="J291" t="s">
        <v>1290</v>
      </c>
      <c r="K291" t="s">
        <v>74</v>
      </c>
      <c r="L291" t="s">
        <v>74</v>
      </c>
      <c r="M291" t="s">
        <v>77</v>
      </c>
      <c r="N291" t="s">
        <v>78</v>
      </c>
      <c r="O291" t="s">
        <v>74</v>
      </c>
      <c r="P291" t="s">
        <v>74</v>
      </c>
      <c r="Q291" t="s">
        <v>74</v>
      </c>
      <c r="R291" t="s">
        <v>74</v>
      </c>
      <c r="S291" t="s">
        <v>74</v>
      </c>
      <c r="T291" t="s">
        <v>5199</v>
      </c>
      <c r="U291" t="s">
        <v>5200</v>
      </c>
      <c r="V291" t="s">
        <v>5201</v>
      </c>
      <c r="W291" t="s">
        <v>5202</v>
      </c>
      <c r="X291" t="s">
        <v>5203</v>
      </c>
      <c r="Y291" t="s">
        <v>5204</v>
      </c>
      <c r="Z291" t="s">
        <v>5205</v>
      </c>
      <c r="AA291" t="s">
        <v>74</v>
      </c>
      <c r="AB291" t="s">
        <v>5206</v>
      </c>
      <c r="AC291" t="s">
        <v>74</v>
      </c>
      <c r="AD291" t="s">
        <v>74</v>
      </c>
      <c r="AE291" t="s">
        <v>74</v>
      </c>
      <c r="AF291" t="s">
        <v>74</v>
      </c>
      <c r="AG291">
        <v>83</v>
      </c>
      <c r="AH291">
        <v>30</v>
      </c>
      <c r="AI291">
        <v>30</v>
      </c>
      <c r="AJ291">
        <v>4</v>
      </c>
      <c r="AK291">
        <v>34</v>
      </c>
      <c r="AL291" t="s">
        <v>665</v>
      </c>
      <c r="AM291" t="s">
        <v>666</v>
      </c>
      <c r="AN291" t="s">
        <v>667</v>
      </c>
      <c r="AO291" t="s">
        <v>1300</v>
      </c>
      <c r="AP291" t="s">
        <v>1301</v>
      </c>
      <c r="AQ291" t="s">
        <v>74</v>
      </c>
      <c r="AR291" t="s">
        <v>1302</v>
      </c>
      <c r="AS291" t="s">
        <v>1303</v>
      </c>
      <c r="AT291" t="s">
        <v>5207</v>
      </c>
      <c r="AU291">
        <v>2020</v>
      </c>
      <c r="AV291">
        <v>32</v>
      </c>
      <c r="AW291">
        <v>3</v>
      </c>
      <c r="AX291" t="s">
        <v>74</v>
      </c>
      <c r="AY291" t="s">
        <v>74</v>
      </c>
      <c r="AZ291" t="s">
        <v>74</v>
      </c>
      <c r="BA291" t="s">
        <v>74</v>
      </c>
      <c r="BB291">
        <v>1109</v>
      </c>
      <c r="BC291">
        <v>1129</v>
      </c>
      <c r="BD291" t="s">
        <v>74</v>
      </c>
      <c r="BE291" t="s">
        <v>5208</v>
      </c>
      <c r="BF291" t="str">
        <f>HYPERLINK("http://dx.doi.org/10.1108/IJCHM-06-2019-0510","http://dx.doi.org/10.1108/IJCHM-06-2019-0510")</f>
        <v>http://dx.doi.org/10.1108/IJCHM-06-2019-0510</v>
      </c>
      <c r="BG291" t="s">
        <v>74</v>
      </c>
      <c r="BH291" t="s">
        <v>2840</v>
      </c>
      <c r="BI291">
        <v>21</v>
      </c>
      <c r="BJ291" t="s">
        <v>1305</v>
      </c>
      <c r="BK291" t="s">
        <v>94</v>
      </c>
      <c r="BL291" t="s">
        <v>1306</v>
      </c>
      <c r="BM291" t="s">
        <v>5209</v>
      </c>
      <c r="BN291" t="s">
        <v>74</v>
      </c>
      <c r="BO291" t="s">
        <v>74</v>
      </c>
      <c r="BP291" t="s">
        <v>74</v>
      </c>
      <c r="BQ291" t="s">
        <v>74</v>
      </c>
      <c r="BR291" t="s">
        <v>97</v>
      </c>
      <c r="BS291" t="s">
        <v>5210</v>
      </c>
      <c r="BT291" t="str">
        <f>HYPERLINK("https%3A%2F%2Fwww.webofscience.com%2Fwos%2Fwoscc%2Ffull-record%2FWOS:000524919200001","View Full Record in Web of Science")</f>
        <v>View Full Record in Web of Science</v>
      </c>
    </row>
    <row r="292" spans="1:72" x14ac:dyDescent="0.25">
      <c r="A292" t="s">
        <v>72</v>
      </c>
      <c r="B292" t="s">
        <v>5211</v>
      </c>
      <c r="C292" t="s">
        <v>74</v>
      </c>
      <c r="D292" t="s">
        <v>74</v>
      </c>
      <c r="E292" t="s">
        <v>74</v>
      </c>
      <c r="F292" t="s">
        <v>5212</v>
      </c>
      <c r="G292" t="s">
        <v>74</v>
      </c>
      <c r="H292" t="s">
        <v>74</v>
      </c>
      <c r="I292" t="s">
        <v>5213</v>
      </c>
      <c r="J292" t="s">
        <v>5214</v>
      </c>
      <c r="K292" t="s">
        <v>74</v>
      </c>
      <c r="L292" t="s">
        <v>74</v>
      </c>
      <c r="M292" t="s">
        <v>77</v>
      </c>
      <c r="N292" t="s">
        <v>78</v>
      </c>
      <c r="O292" t="s">
        <v>74</v>
      </c>
      <c r="P292" t="s">
        <v>74</v>
      </c>
      <c r="Q292" t="s">
        <v>74</v>
      </c>
      <c r="R292" t="s">
        <v>74</v>
      </c>
      <c r="S292" t="s">
        <v>74</v>
      </c>
      <c r="T292" t="s">
        <v>5215</v>
      </c>
      <c r="U292" t="s">
        <v>5216</v>
      </c>
      <c r="V292" t="s">
        <v>5217</v>
      </c>
      <c r="W292" t="s">
        <v>5218</v>
      </c>
      <c r="X292" t="s">
        <v>5219</v>
      </c>
      <c r="Y292" t="s">
        <v>5220</v>
      </c>
      <c r="Z292" t="s">
        <v>5221</v>
      </c>
      <c r="AA292" t="s">
        <v>74</v>
      </c>
      <c r="AB292" t="s">
        <v>74</v>
      </c>
      <c r="AC292" t="s">
        <v>5222</v>
      </c>
      <c r="AD292" t="s">
        <v>5223</v>
      </c>
      <c r="AE292" t="s">
        <v>5224</v>
      </c>
      <c r="AF292" t="s">
        <v>74</v>
      </c>
      <c r="AG292">
        <v>45</v>
      </c>
      <c r="AH292">
        <v>30</v>
      </c>
      <c r="AI292">
        <v>30</v>
      </c>
      <c r="AJ292">
        <v>17</v>
      </c>
      <c r="AK292">
        <v>100</v>
      </c>
      <c r="AL292" t="s">
        <v>218</v>
      </c>
      <c r="AM292" t="s">
        <v>219</v>
      </c>
      <c r="AN292" t="s">
        <v>220</v>
      </c>
      <c r="AO292" t="s">
        <v>5225</v>
      </c>
      <c r="AP292" t="s">
        <v>5226</v>
      </c>
      <c r="AQ292" t="s">
        <v>74</v>
      </c>
      <c r="AR292" t="s">
        <v>5227</v>
      </c>
      <c r="AS292" t="s">
        <v>5228</v>
      </c>
      <c r="AT292" t="s">
        <v>122</v>
      </c>
      <c r="AU292">
        <v>2019</v>
      </c>
      <c r="AV292">
        <v>60</v>
      </c>
      <c r="AW292">
        <v>2</v>
      </c>
      <c r="AX292" t="s">
        <v>74</v>
      </c>
      <c r="AY292" t="s">
        <v>74</v>
      </c>
      <c r="AZ292" t="s">
        <v>74</v>
      </c>
      <c r="BA292" t="s">
        <v>74</v>
      </c>
      <c r="BB292">
        <v>152</v>
      </c>
      <c r="BC292">
        <v>159</v>
      </c>
      <c r="BD292" t="s">
        <v>74</v>
      </c>
      <c r="BE292" t="s">
        <v>5229</v>
      </c>
      <c r="BF292" t="str">
        <f>HYPERLINK("http://dx.doi.org/10.1111/sjop.12510","http://dx.doi.org/10.1111/sjop.12510")</f>
        <v>http://dx.doi.org/10.1111/sjop.12510</v>
      </c>
      <c r="BG292" t="s">
        <v>74</v>
      </c>
      <c r="BH292" t="s">
        <v>74</v>
      </c>
      <c r="BI292">
        <v>8</v>
      </c>
      <c r="BJ292" t="s">
        <v>3203</v>
      </c>
      <c r="BK292" t="s">
        <v>94</v>
      </c>
      <c r="BL292" t="s">
        <v>460</v>
      </c>
      <c r="BM292" t="s">
        <v>5230</v>
      </c>
      <c r="BN292">
        <v>30589938</v>
      </c>
      <c r="BO292" t="s">
        <v>378</v>
      </c>
      <c r="BP292" t="s">
        <v>74</v>
      </c>
      <c r="BQ292" t="s">
        <v>74</v>
      </c>
      <c r="BR292" t="s">
        <v>97</v>
      </c>
      <c r="BS292" t="s">
        <v>5231</v>
      </c>
      <c r="BT292" t="str">
        <f>HYPERLINK("https%3A%2F%2Fwww.webofscience.com%2Fwos%2Fwoscc%2Ffull-record%2FWOS:000460705900008","View Full Record in Web of Science")</f>
        <v>View Full Record in Web of Science</v>
      </c>
    </row>
    <row r="293" spans="1:72" x14ac:dyDescent="0.25">
      <c r="A293" t="s">
        <v>72</v>
      </c>
      <c r="B293" t="s">
        <v>5232</v>
      </c>
      <c r="C293" t="s">
        <v>74</v>
      </c>
      <c r="D293" t="s">
        <v>74</v>
      </c>
      <c r="E293" t="s">
        <v>74</v>
      </c>
      <c r="F293" t="s">
        <v>5233</v>
      </c>
      <c r="G293" t="s">
        <v>74</v>
      </c>
      <c r="H293" t="s">
        <v>74</v>
      </c>
      <c r="I293" t="s">
        <v>21807</v>
      </c>
      <c r="J293" t="s">
        <v>2059</v>
      </c>
      <c r="K293" t="s">
        <v>74</v>
      </c>
      <c r="L293" t="s">
        <v>74</v>
      </c>
      <c r="M293" t="s">
        <v>77</v>
      </c>
      <c r="N293" t="s">
        <v>78</v>
      </c>
      <c r="O293" t="s">
        <v>74</v>
      </c>
      <c r="P293" t="s">
        <v>74</v>
      </c>
      <c r="Q293" t="s">
        <v>74</v>
      </c>
      <c r="R293" t="s">
        <v>74</v>
      </c>
      <c r="S293" t="s">
        <v>74</v>
      </c>
      <c r="T293" t="s">
        <v>5234</v>
      </c>
      <c r="U293" t="s">
        <v>5235</v>
      </c>
      <c r="V293" t="s">
        <v>5236</v>
      </c>
      <c r="W293" t="s">
        <v>5237</v>
      </c>
      <c r="X293" t="s">
        <v>5238</v>
      </c>
      <c r="Y293" t="s">
        <v>5239</v>
      </c>
      <c r="Z293" t="s">
        <v>5240</v>
      </c>
      <c r="AA293" t="s">
        <v>3593</v>
      </c>
      <c r="AB293" t="s">
        <v>3594</v>
      </c>
      <c r="AC293" t="s">
        <v>5241</v>
      </c>
      <c r="AD293" t="s">
        <v>5241</v>
      </c>
      <c r="AE293" t="s">
        <v>5242</v>
      </c>
      <c r="AF293" t="s">
        <v>74</v>
      </c>
      <c r="AG293">
        <v>58</v>
      </c>
      <c r="AH293">
        <v>30</v>
      </c>
      <c r="AI293">
        <v>30</v>
      </c>
      <c r="AJ293">
        <v>2</v>
      </c>
      <c r="AK293">
        <v>59</v>
      </c>
      <c r="AL293" t="s">
        <v>2067</v>
      </c>
      <c r="AM293" t="s">
        <v>2068</v>
      </c>
      <c r="AN293" t="s">
        <v>2069</v>
      </c>
      <c r="AO293" t="s">
        <v>2070</v>
      </c>
      <c r="AP293" t="s">
        <v>2071</v>
      </c>
      <c r="AQ293" t="s">
        <v>74</v>
      </c>
      <c r="AR293" t="s">
        <v>2072</v>
      </c>
      <c r="AS293" t="s">
        <v>2073</v>
      </c>
      <c r="AT293" t="s">
        <v>256</v>
      </c>
      <c r="AU293">
        <v>2017</v>
      </c>
      <c r="AV293">
        <v>45</v>
      </c>
      <c r="AW293">
        <v>9</v>
      </c>
      <c r="AX293" t="s">
        <v>74</v>
      </c>
      <c r="AY293" t="s">
        <v>74</v>
      </c>
      <c r="AZ293" t="s">
        <v>74</v>
      </c>
      <c r="BA293" t="s">
        <v>74</v>
      </c>
      <c r="BB293">
        <v>1523</v>
      </c>
      <c r="BC293">
        <v>1536</v>
      </c>
      <c r="BD293" t="s">
        <v>74</v>
      </c>
      <c r="BE293" t="s">
        <v>5243</v>
      </c>
      <c r="BF293" t="str">
        <f>HYPERLINK("http://dx.doi.org/10.2224/sbp.6433","http://dx.doi.org/10.2224/sbp.6433")</f>
        <v>http://dx.doi.org/10.2224/sbp.6433</v>
      </c>
      <c r="BG293" t="s">
        <v>74</v>
      </c>
      <c r="BH293" t="s">
        <v>74</v>
      </c>
      <c r="BI293">
        <v>14</v>
      </c>
      <c r="BJ293" t="s">
        <v>459</v>
      </c>
      <c r="BK293" t="s">
        <v>94</v>
      </c>
      <c r="BL293" t="s">
        <v>460</v>
      </c>
      <c r="BM293" t="s">
        <v>5244</v>
      </c>
      <c r="BN293" t="s">
        <v>74</v>
      </c>
      <c r="BO293" t="s">
        <v>74</v>
      </c>
      <c r="BP293" t="s">
        <v>74</v>
      </c>
      <c r="BQ293" t="s">
        <v>74</v>
      </c>
      <c r="BR293" t="s">
        <v>97</v>
      </c>
      <c r="BS293" t="s">
        <v>5245</v>
      </c>
      <c r="BT293" t="str">
        <f>HYPERLINK("https%3A%2F%2Fwww.webofscience.com%2Fwos%2Fwoscc%2Ffull-record%2FWOS:000413829400010","View Full Record in Web of Science")</f>
        <v>View Full Record in Web of Science</v>
      </c>
    </row>
    <row r="294" spans="1:72" x14ac:dyDescent="0.25">
      <c r="A294" t="s">
        <v>72</v>
      </c>
      <c r="B294" t="s">
        <v>5246</v>
      </c>
      <c r="C294" t="s">
        <v>74</v>
      </c>
      <c r="D294" t="s">
        <v>74</v>
      </c>
      <c r="E294" t="s">
        <v>74</v>
      </c>
      <c r="F294" t="s">
        <v>5247</v>
      </c>
      <c r="G294" t="s">
        <v>74</v>
      </c>
      <c r="H294" t="s">
        <v>74</v>
      </c>
      <c r="I294" t="s">
        <v>5248</v>
      </c>
      <c r="J294" t="s">
        <v>758</v>
      </c>
      <c r="K294" t="s">
        <v>74</v>
      </c>
      <c r="L294" t="s">
        <v>74</v>
      </c>
      <c r="M294" t="s">
        <v>77</v>
      </c>
      <c r="N294" t="s">
        <v>78</v>
      </c>
      <c r="O294" t="s">
        <v>74</v>
      </c>
      <c r="P294" t="s">
        <v>74</v>
      </c>
      <c r="Q294" t="s">
        <v>74</v>
      </c>
      <c r="R294" t="s">
        <v>74</v>
      </c>
      <c r="S294" t="s">
        <v>74</v>
      </c>
      <c r="T294" t="s">
        <v>5249</v>
      </c>
      <c r="U294" t="s">
        <v>5250</v>
      </c>
      <c r="V294" t="s">
        <v>5251</v>
      </c>
      <c r="W294" t="s">
        <v>5252</v>
      </c>
      <c r="X294" t="s">
        <v>5253</v>
      </c>
      <c r="Y294" t="s">
        <v>5254</v>
      </c>
      <c r="Z294" t="s">
        <v>5255</v>
      </c>
      <c r="AA294" t="s">
        <v>74</v>
      </c>
      <c r="AB294" t="s">
        <v>74</v>
      </c>
      <c r="AC294" t="s">
        <v>74</v>
      </c>
      <c r="AD294" t="s">
        <v>74</v>
      </c>
      <c r="AE294" t="s">
        <v>74</v>
      </c>
      <c r="AF294" t="s">
        <v>74</v>
      </c>
      <c r="AG294">
        <v>72</v>
      </c>
      <c r="AH294">
        <v>30</v>
      </c>
      <c r="AI294">
        <v>30</v>
      </c>
      <c r="AJ294">
        <v>4</v>
      </c>
      <c r="AK294">
        <v>51</v>
      </c>
      <c r="AL294" t="s">
        <v>766</v>
      </c>
      <c r="AM294" t="s">
        <v>330</v>
      </c>
      <c r="AN294" t="s">
        <v>767</v>
      </c>
      <c r="AO294" t="s">
        <v>768</v>
      </c>
      <c r="AP294" t="s">
        <v>769</v>
      </c>
      <c r="AQ294" t="s">
        <v>74</v>
      </c>
      <c r="AR294" t="s">
        <v>770</v>
      </c>
      <c r="AS294" t="s">
        <v>771</v>
      </c>
      <c r="AT294" t="s">
        <v>392</v>
      </c>
      <c r="AU294">
        <v>2017</v>
      </c>
      <c r="AV294">
        <v>32</v>
      </c>
      <c r="AW294">
        <v>4</v>
      </c>
      <c r="AX294" t="s">
        <v>74</v>
      </c>
      <c r="AY294" t="s">
        <v>74</v>
      </c>
      <c r="AZ294" t="s">
        <v>74</v>
      </c>
      <c r="BA294" t="s">
        <v>74</v>
      </c>
      <c r="BB294">
        <v>479</v>
      </c>
      <c r="BC294">
        <v>493</v>
      </c>
      <c r="BD294" t="s">
        <v>74</v>
      </c>
      <c r="BE294" t="s">
        <v>5256</v>
      </c>
      <c r="BF294" t="str">
        <f>HYPERLINK("http://dx.doi.org/10.1007/s10869-016-9455-8","http://dx.doi.org/10.1007/s10869-016-9455-8")</f>
        <v>http://dx.doi.org/10.1007/s10869-016-9455-8</v>
      </c>
      <c r="BG294" t="s">
        <v>74</v>
      </c>
      <c r="BH294" t="s">
        <v>74</v>
      </c>
      <c r="BI294">
        <v>15</v>
      </c>
      <c r="BJ294" t="s">
        <v>773</v>
      </c>
      <c r="BK294" t="s">
        <v>94</v>
      </c>
      <c r="BL294" t="s">
        <v>227</v>
      </c>
      <c r="BM294" t="s">
        <v>5257</v>
      </c>
      <c r="BN294" t="s">
        <v>74</v>
      </c>
      <c r="BO294" t="s">
        <v>378</v>
      </c>
      <c r="BP294" t="s">
        <v>74</v>
      </c>
      <c r="BQ294" t="s">
        <v>74</v>
      </c>
      <c r="BR294" t="s">
        <v>97</v>
      </c>
      <c r="BS294" t="s">
        <v>5258</v>
      </c>
      <c r="BT294" t="str">
        <f>HYPERLINK("https%3A%2F%2Fwww.webofscience.com%2Fwos%2Fwoscc%2Ffull-record%2FWOS:000404234200008","View Full Record in Web of Science")</f>
        <v>View Full Record in Web of Science</v>
      </c>
    </row>
    <row r="295" spans="1:72" x14ac:dyDescent="0.25">
      <c r="A295" t="s">
        <v>72</v>
      </c>
      <c r="B295" t="s">
        <v>5259</v>
      </c>
      <c r="C295" t="s">
        <v>74</v>
      </c>
      <c r="D295" t="s">
        <v>74</v>
      </c>
      <c r="E295" t="s">
        <v>74</v>
      </c>
      <c r="F295" t="s">
        <v>5260</v>
      </c>
      <c r="G295" t="s">
        <v>74</v>
      </c>
      <c r="H295" t="s">
        <v>74</v>
      </c>
      <c r="I295" t="s">
        <v>5261</v>
      </c>
      <c r="J295" t="s">
        <v>5262</v>
      </c>
      <c r="K295" t="s">
        <v>74</v>
      </c>
      <c r="L295" t="s">
        <v>74</v>
      </c>
      <c r="M295" t="s">
        <v>77</v>
      </c>
      <c r="N295" t="s">
        <v>78</v>
      </c>
      <c r="O295" t="s">
        <v>74</v>
      </c>
      <c r="P295" t="s">
        <v>74</v>
      </c>
      <c r="Q295" t="s">
        <v>74</v>
      </c>
      <c r="R295" t="s">
        <v>74</v>
      </c>
      <c r="S295" t="s">
        <v>74</v>
      </c>
      <c r="T295" t="s">
        <v>5263</v>
      </c>
      <c r="U295" t="s">
        <v>5264</v>
      </c>
      <c r="V295" t="s">
        <v>5265</v>
      </c>
      <c r="W295" t="s">
        <v>5266</v>
      </c>
      <c r="X295" t="s">
        <v>5267</v>
      </c>
      <c r="Y295" t="s">
        <v>5268</v>
      </c>
      <c r="Z295" t="s">
        <v>5269</v>
      </c>
      <c r="AA295" t="s">
        <v>5270</v>
      </c>
      <c r="AB295" t="s">
        <v>5271</v>
      </c>
      <c r="AC295" t="s">
        <v>5272</v>
      </c>
      <c r="AD295" t="s">
        <v>575</v>
      </c>
      <c r="AE295" t="s">
        <v>5273</v>
      </c>
      <c r="AF295" t="s">
        <v>74</v>
      </c>
      <c r="AG295">
        <v>104</v>
      </c>
      <c r="AH295">
        <v>30</v>
      </c>
      <c r="AI295">
        <v>30</v>
      </c>
      <c r="AJ295">
        <v>10</v>
      </c>
      <c r="AK295">
        <v>122</v>
      </c>
      <c r="AL295" t="s">
        <v>665</v>
      </c>
      <c r="AM295" t="s">
        <v>666</v>
      </c>
      <c r="AN295" t="s">
        <v>667</v>
      </c>
      <c r="AO295" t="s">
        <v>5274</v>
      </c>
      <c r="AP295" t="s">
        <v>5275</v>
      </c>
      <c r="AQ295" t="s">
        <v>74</v>
      </c>
      <c r="AR295" t="s">
        <v>5276</v>
      </c>
      <c r="AS295" t="s">
        <v>5277</v>
      </c>
      <c r="AT295" t="s">
        <v>74</v>
      </c>
      <c r="AU295">
        <v>2016</v>
      </c>
      <c r="AV295">
        <v>29</v>
      </c>
      <c r="AW295">
        <v>6</v>
      </c>
      <c r="AX295" t="s">
        <v>74</v>
      </c>
      <c r="AY295" t="s">
        <v>74</v>
      </c>
      <c r="AZ295" t="s">
        <v>74</v>
      </c>
      <c r="BA295" t="s">
        <v>74</v>
      </c>
      <c r="BB295">
        <v>855</v>
      </c>
      <c r="BC295">
        <v>877</v>
      </c>
      <c r="BD295" t="s">
        <v>74</v>
      </c>
      <c r="BE295" t="s">
        <v>5278</v>
      </c>
      <c r="BF295" t="str">
        <f>HYPERLINK("http://dx.doi.org/10.1108/JOCM-01-2016-0005","http://dx.doi.org/10.1108/JOCM-01-2016-0005")</f>
        <v>http://dx.doi.org/10.1108/JOCM-01-2016-0005</v>
      </c>
      <c r="BG295" t="s">
        <v>74</v>
      </c>
      <c r="BH295" t="s">
        <v>74</v>
      </c>
      <c r="BI295">
        <v>23</v>
      </c>
      <c r="BJ295" t="s">
        <v>442</v>
      </c>
      <c r="BK295" t="s">
        <v>94</v>
      </c>
      <c r="BL295" t="s">
        <v>95</v>
      </c>
      <c r="BM295" t="s">
        <v>5279</v>
      </c>
      <c r="BN295" t="s">
        <v>74</v>
      </c>
      <c r="BO295" t="s">
        <v>74</v>
      </c>
      <c r="BP295" t="s">
        <v>74</v>
      </c>
      <c r="BQ295" t="s">
        <v>74</v>
      </c>
      <c r="BR295" t="s">
        <v>97</v>
      </c>
      <c r="BS295" t="s">
        <v>5280</v>
      </c>
      <c r="BT295" t="str">
        <f>HYPERLINK("https%3A%2F%2Fwww.webofscience.com%2Fwos%2Fwoscc%2Ffull-record%2FWOS:000387207700003","View Full Record in Web of Science")</f>
        <v>View Full Record in Web of Science</v>
      </c>
    </row>
    <row r="296" spans="1:72" x14ac:dyDescent="0.25">
      <c r="A296" t="s">
        <v>72</v>
      </c>
      <c r="B296" t="s">
        <v>5281</v>
      </c>
      <c r="C296" t="s">
        <v>74</v>
      </c>
      <c r="D296" t="s">
        <v>74</v>
      </c>
      <c r="E296" t="s">
        <v>74</v>
      </c>
      <c r="F296" t="s">
        <v>5282</v>
      </c>
      <c r="G296" t="s">
        <v>74</v>
      </c>
      <c r="H296" t="s">
        <v>74</v>
      </c>
      <c r="I296" t="s">
        <v>5283</v>
      </c>
      <c r="J296" t="s">
        <v>3931</v>
      </c>
      <c r="K296" t="s">
        <v>74</v>
      </c>
      <c r="L296" t="s">
        <v>74</v>
      </c>
      <c r="M296" t="s">
        <v>77</v>
      </c>
      <c r="N296" t="s">
        <v>78</v>
      </c>
      <c r="O296" t="s">
        <v>74</v>
      </c>
      <c r="P296" t="s">
        <v>74</v>
      </c>
      <c r="Q296" t="s">
        <v>74</v>
      </c>
      <c r="R296" t="s">
        <v>74</v>
      </c>
      <c r="S296" t="s">
        <v>74</v>
      </c>
      <c r="T296" t="s">
        <v>5284</v>
      </c>
      <c r="U296" t="s">
        <v>5285</v>
      </c>
      <c r="V296" t="s">
        <v>5286</v>
      </c>
      <c r="W296" t="s">
        <v>5287</v>
      </c>
      <c r="X296" t="s">
        <v>5288</v>
      </c>
      <c r="Y296" t="s">
        <v>5289</v>
      </c>
      <c r="Z296" t="s">
        <v>5290</v>
      </c>
      <c r="AA296" t="s">
        <v>2733</v>
      </c>
      <c r="AB296" t="s">
        <v>74</v>
      </c>
      <c r="AC296" t="s">
        <v>74</v>
      </c>
      <c r="AD296" t="s">
        <v>74</v>
      </c>
      <c r="AE296" t="s">
        <v>74</v>
      </c>
      <c r="AF296" t="s">
        <v>74</v>
      </c>
      <c r="AG296">
        <v>88</v>
      </c>
      <c r="AH296">
        <v>30</v>
      </c>
      <c r="AI296">
        <v>30</v>
      </c>
      <c r="AJ296">
        <v>1</v>
      </c>
      <c r="AK296">
        <v>132</v>
      </c>
      <c r="AL296" t="s">
        <v>665</v>
      </c>
      <c r="AM296" t="s">
        <v>666</v>
      </c>
      <c r="AN296" t="s">
        <v>667</v>
      </c>
      <c r="AO296" t="s">
        <v>3939</v>
      </c>
      <c r="AP296" t="s">
        <v>3940</v>
      </c>
      <c r="AQ296" t="s">
        <v>74</v>
      </c>
      <c r="AR296" t="s">
        <v>3941</v>
      </c>
      <c r="AS296" t="s">
        <v>3942</v>
      </c>
      <c r="AT296" t="s">
        <v>74</v>
      </c>
      <c r="AU296">
        <v>2015</v>
      </c>
      <c r="AV296">
        <v>36</v>
      </c>
      <c r="AW296">
        <v>5</v>
      </c>
      <c r="AX296" t="s">
        <v>74</v>
      </c>
      <c r="AY296" t="s">
        <v>74</v>
      </c>
      <c r="AZ296" t="s">
        <v>74</v>
      </c>
      <c r="BA296" t="s">
        <v>74</v>
      </c>
      <c r="BB296">
        <v>545</v>
      </c>
      <c r="BC296">
        <v>569</v>
      </c>
      <c r="BD296" t="s">
        <v>74</v>
      </c>
      <c r="BE296" t="s">
        <v>5291</v>
      </c>
      <c r="BF296" t="str">
        <f>HYPERLINK("http://dx.doi.org/10.1108/LODJ-10-2013-0131","http://dx.doi.org/10.1108/LODJ-10-2013-0131")</f>
        <v>http://dx.doi.org/10.1108/LODJ-10-2013-0131</v>
      </c>
      <c r="BG296" t="s">
        <v>74</v>
      </c>
      <c r="BH296" t="s">
        <v>74</v>
      </c>
      <c r="BI296">
        <v>25</v>
      </c>
      <c r="BJ296" t="s">
        <v>442</v>
      </c>
      <c r="BK296" t="s">
        <v>94</v>
      </c>
      <c r="BL296" t="s">
        <v>95</v>
      </c>
      <c r="BM296" t="s">
        <v>5292</v>
      </c>
      <c r="BN296" t="s">
        <v>74</v>
      </c>
      <c r="BO296" t="s">
        <v>74</v>
      </c>
      <c r="BP296" t="s">
        <v>74</v>
      </c>
      <c r="BQ296" t="s">
        <v>74</v>
      </c>
      <c r="BR296" t="s">
        <v>97</v>
      </c>
      <c r="BS296" t="s">
        <v>5293</v>
      </c>
      <c r="BT296" t="str">
        <f>HYPERLINK("https%3A%2F%2Fwww.webofscience.com%2Fwos%2Fwoscc%2Ffull-record%2FWOS:000357420600006","View Full Record in Web of Science")</f>
        <v>View Full Record in Web of Science</v>
      </c>
    </row>
    <row r="297" spans="1:72" x14ac:dyDescent="0.25">
      <c r="A297" t="s">
        <v>72</v>
      </c>
      <c r="B297" t="s">
        <v>5294</v>
      </c>
      <c r="C297" t="s">
        <v>74</v>
      </c>
      <c r="D297" t="s">
        <v>74</v>
      </c>
      <c r="E297" t="s">
        <v>74</v>
      </c>
      <c r="F297" t="s">
        <v>5295</v>
      </c>
      <c r="G297" t="s">
        <v>74</v>
      </c>
      <c r="H297" t="s">
        <v>74</v>
      </c>
      <c r="I297" t="s">
        <v>5296</v>
      </c>
      <c r="J297" t="s">
        <v>5297</v>
      </c>
      <c r="K297" t="s">
        <v>74</v>
      </c>
      <c r="L297" t="s">
        <v>74</v>
      </c>
      <c r="M297" t="s">
        <v>77</v>
      </c>
      <c r="N297" t="s">
        <v>78</v>
      </c>
      <c r="O297" t="s">
        <v>74</v>
      </c>
      <c r="P297" t="s">
        <v>74</v>
      </c>
      <c r="Q297" t="s">
        <v>74</v>
      </c>
      <c r="R297" t="s">
        <v>74</v>
      </c>
      <c r="S297" t="s">
        <v>74</v>
      </c>
      <c r="T297" t="s">
        <v>5298</v>
      </c>
      <c r="U297" t="s">
        <v>5299</v>
      </c>
      <c r="V297" t="s">
        <v>5300</v>
      </c>
      <c r="W297" t="s">
        <v>5301</v>
      </c>
      <c r="X297" t="s">
        <v>5302</v>
      </c>
      <c r="Y297" t="s">
        <v>5303</v>
      </c>
      <c r="Z297" t="s">
        <v>5304</v>
      </c>
      <c r="AA297" t="s">
        <v>5305</v>
      </c>
      <c r="AB297" t="s">
        <v>5306</v>
      </c>
      <c r="AC297" t="s">
        <v>74</v>
      </c>
      <c r="AD297" t="s">
        <v>74</v>
      </c>
      <c r="AE297" t="s">
        <v>74</v>
      </c>
      <c r="AF297" t="s">
        <v>74</v>
      </c>
      <c r="AG297">
        <v>91</v>
      </c>
      <c r="AH297">
        <v>30</v>
      </c>
      <c r="AI297">
        <v>30</v>
      </c>
      <c r="AJ297">
        <v>1</v>
      </c>
      <c r="AK297">
        <v>56</v>
      </c>
      <c r="AL297" t="s">
        <v>218</v>
      </c>
      <c r="AM297" t="s">
        <v>219</v>
      </c>
      <c r="AN297" t="s">
        <v>220</v>
      </c>
      <c r="AO297" t="s">
        <v>5307</v>
      </c>
      <c r="AP297" t="s">
        <v>5308</v>
      </c>
      <c r="AQ297" t="s">
        <v>74</v>
      </c>
      <c r="AR297" t="s">
        <v>5309</v>
      </c>
      <c r="AS297" t="s">
        <v>5310</v>
      </c>
      <c r="AT297" t="s">
        <v>792</v>
      </c>
      <c r="AU297">
        <v>2013</v>
      </c>
      <c r="AV297">
        <v>62</v>
      </c>
      <c r="AW297">
        <v>3</v>
      </c>
      <c r="AX297" t="s">
        <v>74</v>
      </c>
      <c r="AY297" t="s">
        <v>74</v>
      </c>
      <c r="AZ297" t="s">
        <v>74</v>
      </c>
      <c r="BA297" t="s">
        <v>74</v>
      </c>
      <c r="BB297">
        <v>429</v>
      </c>
      <c r="BC297">
        <v>442</v>
      </c>
      <c r="BD297" t="s">
        <v>74</v>
      </c>
      <c r="BE297" t="s">
        <v>5311</v>
      </c>
      <c r="BF297" t="str">
        <f>HYPERLINK("http://dx.doi.org/10.1111/fare.12014","http://dx.doi.org/10.1111/fare.12014")</f>
        <v>http://dx.doi.org/10.1111/fare.12014</v>
      </c>
      <c r="BG297" t="s">
        <v>74</v>
      </c>
      <c r="BH297" t="s">
        <v>74</v>
      </c>
      <c r="BI297">
        <v>14</v>
      </c>
      <c r="BJ297" t="s">
        <v>5312</v>
      </c>
      <c r="BK297" t="s">
        <v>94</v>
      </c>
      <c r="BL297" t="s">
        <v>5312</v>
      </c>
      <c r="BM297" t="s">
        <v>5313</v>
      </c>
      <c r="BN297" t="s">
        <v>74</v>
      </c>
      <c r="BO297" t="s">
        <v>74</v>
      </c>
      <c r="BP297" t="s">
        <v>74</v>
      </c>
      <c r="BQ297" t="s">
        <v>74</v>
      </c>
      <c r="BR297" t="s">
        <v>97</v>
      </c>
      <c r="BS297" t="s">
        <v>5314</v>
      </c>
      <c r="BT297" t="str">
        <f>HYPERLINK("https%3A%2F%2Fwww.webofscience.com%2Fwos%2Fwoscc%2Ffull-record%2FWOS:000319875200005","View Full Record in Web of Science")</f>
        <v>View Full Record in Web of Science</v>
      </c>
    </row>
    <row r="298" spans="1:72" x14ac:dyDescent="0.25">
      <c r="A298" t="s">
        <v>72</v>
      </c>
      <c r="B298" t="s">
        <v>5315</v>
      </c>
      <c r="C298" t="s">
        <v>74</v>
      </c>
      <c r="D298" t="s">
        <v>74</v>
      </c>
      <c r="E298" t="s">
        <v>74</v>
      </c>
      <c r="F298" t="s">
        <v>5316</v>
      </c>
      <c r="G298" t="s">
        <v>74</v>
      </c>
      <c r="H298" t="s">
        <v>74</v>
      </c>
      <c r="I298" t="s">
        <v>5317</v>
      </c>
      <c r="J298" t="s">
        <v>5318</v>
      </c>
      <c r="K298" t="s">
        <v>74</v>
      </c>
      <c r="L298" t="s">
        <v>74</v>
      </c>
      <c r="M298" t="s">
        <v>77</v>
      </c>
      <c r="N298" t="s">
        <v>78</v>
      </c>
      <c r="O298" t="s">
        <v>74</v>
      </c>
      <c r="P298" t="s">
        <v>74</v>
      </c>
      <c r="Q298" t="s">
        <v>74</v>
      </c>
      <c r="R298" t="s">
        <v>74</v>
      </c>
      <c r="S298" t="s">
        <v>74</v>
      </c>
      <c r="T298" t="s">
        <v>5319</v>
      </c>
      <c r="U298" t="s">
        <v>5320</v>
      </c>
      <c r="V298" t="s">
        <v>5321</v>
      </c>
      <c r="W298" t="s">
        <v>5322</v>
      </c>
      <c r="X298" t="s">
        <v>5323</v>
      </c>
      <c r="Y298" t="s">
        <v>5324</v>
      </c>
      <c r="Z298" t="s">
        <v>5325</v>
      </c>
      <c r="AA298" t="s">
        <v>5326</v>
      </c>
      <c r="AB298" t="s">
        <v>5327</v>
      </c>
      <c r="AC298" t="s">
        <v>5328</v>
      </c>
      <c r="AD298" t="s">
        <v>5329</v>
      </c>
      <c r="AE298" t="s">
        <v>5330</v>
      </c>
      <c r="AF298" t="s">
        <v>74</v>
      </c>
      <c r="AG298">
        <v>40</v>
      </c>
      <c r="AH298">
        <v>30</v>
      </c>
      <c r="AI298">
        <v>30</v>
      </c>
      <c r="AJ298">
        <v>0</v>
      </c>
      <c r="AK298">
        <v>69</v>
      </c>
      <c r="AL298" t="s">
        <v>602</v>
      </c>
      <c r="AM298" t="s">
        <v>160</v>
      </c>
      <c r="AN298" t="s">
        <v>603</v>
      </c>
      <c r="AO298" t="s">
        <v>5331</v>
      </c>
      <c r="AP298" t="s">
        <v>5332</v>
      </c>
      <c r="AQ298" t="s">
        <v>74</v>
      </c>
      <c r="AR298" t="s">
        <v>5333</v>
      </c>
      <c r="AS298" t="s">
        <v>5334</v>
      </c>
      <c r="AT298" t="s">
        <v>91</v>
      </c>
      <c r="AU298">
        <v>2013</v>
      </c>
      <c r="AV298">
        <v>30</v>
      </c>
      <c r="AW298" t="s">
        <v>74</v>
      </c>
      <c r="AX298" t="s">
        <v>74</v>
      </c>
      <c r="AY298" t="s">
        <v>74</v>
      </c>
      <c r="AZ298" t="s">
        <v>860</v>
      </c>
      <c r="BA298" t="s">
        <v>74</v>
      </c>
      <c r="BB298">
        <v>10</v>
      </c>
      <c r="BC298">
        <v>18</v>
      </c>
      <c r="BD298" t="s">
        <v>74</v>
      </c>
      <c r="BE298" t="s">
        <v>5335</v>
      </c>
      <c r="BF298" t="str">
        <f>HYPERLINK("http://dx.doi.org/10.1016/j.envsci.2012.07.010","http://dx.doi.org/10.1016/j.envsci.2012.07.010")</f>
        <v>http://dx.doi.org/10.1016/j.envsci.2012.07.010</v>
      </c>
      <c r="BG298" t="s">
        <v>74</v>
      </c>
      <c r="BH298" t="s">
        <v>74</v>
      </c>
      <c r="BI298">
        <v>9</v>
      </c>
      <c r="BJ298" t="s">
        <v>5336</v>
      </c>
      <c r="BK298" t="s">
        <v>147</v>
      </c>
      <c r="BL298" t="s">
        <v>5337</v>
      </c>
      <c r="BM298" t="s">
        <v>5338</v>
      </c>
      <c r="BN298" t="s">
        <v>74</v>
      </c>
      <c r="BO298" t="s">
        <v>378</v>
      </c>
      <c r="BP298" t="s">
        <v>74</v>
      </c>
      <c r="BQ298" t="s">
        <v>74</v>
      </c>
      <c r="BR298" t="s">
        <v>97</v>
      </c>
      <c r="BS298" t="s">
        <v>5339</v>
      </c>
      <c r="BT298" t="str">
        <f>HYPERLINK("https%3A%2F%2Fwww.webofscience.com%2Fwos%2Fwoscc%2Ffull-record%2FWOS:000319645700002","View Full Record in Web of Science")</f>
        <v>View Full Record in Web of Science</v>
      </c>
    </row>
    <row r="299" spans="1:72" x14ac:dyDescent="0.25">
      <c r="A299" t="s">
        <v>72</v>
      </c>
      <c r="B299" t="s">
        <v>5340</v>
      </c>
      <c r="C299" t="s">
        <v>74</v>
      </c>
      <c r="D299" t="s">
        <v>74</v>
      </c>
      <c r="E299" t="s">
        <v>74</v>
      </c>
      <c r="F299" t="s">
        <v>5340</v>
      </c>
      <c r="G299" t="s">
        <v>74</v>
      </c>
      <c r="H299" t="s">
        <v>74</v>
      </c>
      <c r="I299" t="s">
        <v>5341</v>
      </c>
      <c r="J299" t="s">
        <v>4915</v>
      </c>
      <c r="K299" t="s">
        <v>74</v>
      </c>
      <c r="L299" t="s">
        <v>74</v>
      </c>
      <c r="M299" t="s">
        <v>77</v>
      </c>
      <c r="N299" t="s">
        <v>319</v>
      </c>
      <c r="O299" t="s">
        <v>5342</v>
      </c>
      <c r="P299" t="s">
        <v>5343</v>
      </c>
      <c r="Q299" t="s">
        <v>5344</v>
      </c>
      <c r="R299" t="s">
        <v>5345</v>
      </c>
      <c r="S299" t="s">
        <v>74</v>
      </c>
      <c r="T299" t="s">
        <v>5346</v>
      </c>
      <c r="U299" t="s">
        <v>5347</v>
      </c>
      <c r="V299" t="s">
        <v>5348</v>
      </c>
      <c r="W299" t="s">
        <v>5349</v>
      </c>
      <c r="X299" t="s">
        <v>5350</v>
      </c>
      <c r="Y299" t="s">
        <v>5351</v>
      </c>
      <c r="Z299" t="s">
        <v>5352</v>
      </c>
      <c r="AA299" t="s">
        <v>5353</v>
      </c>
      <c r="AB299" t="s">
        <v>5354</v>
      </c>
      <c r="AC299" t="s">
        <v>74</v>
      </c>
      <c r="AD299" t="s">
        <v>74</v>
      </c>
      <c r="AE299" t="s">
        <v>74</v>
      </c>
      <c r="AF299" t="s">
        <v>74</v>
      </c>
      <c r="AG299">
        <v>30</v>
      </c>
      <c r="AH299">
        <v>30</v>
      </c>
      <c r="AI299">
        <v>30</v>
      </c>
      <c r="AJ299">
        <v>1</v>
      </c>
      <c r="AK299">
        <v>16</v>
      </c>
      <c r="AL299" t="s">
        <v>766</v>
      </c>
      <c r="AM299" t="s">
        <v>330</v>
      </c>
      <c r="AN299" t="s">
        <v>1452</v>
      </c>
      <c r="AO299" t="s">
        <v>4925</v>
      </c>
      <c r="AP299" t="s">
        <v>4926</v>
      </c>
      <c r="AQ299" t="s">
        <v>74</v>
      </c>
      <c r="AR299" t="s">
        <v>4927</v>
      </c>
      <c r="AS299" t="s">
        <v>4928</v>
      </c>
      <c r="AT299" t="s">
        <v>122</v>
      </c>
      <c r="AU299">
        <v>2005</v>
      </c>
      <c r="AV299">
        <v>15</v>
      </c>
      <c r="AW299">
        <v>2</v>
      </c>
      <c r="AX299" t="s">
        <v>74</v>
      </c>
      <c r="AY299" t="s">
        <v>74</v>
      </c>
      <c r="AZ299" t="s">
        <v>74</v>
      </c>
      <c r="BA299" t="s">
        <v>74</v>
      </c>
      <c r="BB299">
        <v>211</v>
      </c>
      <c r="BC299">
        <v>231</v>
      </c>
      <c r="BD299" t="s">
        <v>74</v>
      </c>
      <c r="BE299" t="s">
        <v>5355</v>
      </c>
      <c r="BF299" t="str">
        <f>HYPERLINK("http://dx.doi.org/10.1007/s00191-005-0244-1","http://dx.doi.org/10.1007/s00191-005-0244-1")</f>
        <v>http://dx.doi.org/10.1007/s00191-005-0244-1</v>
      </c>
      <c r="BG299" t="s">
        <v>74</v>
      </c>
      <c r="BH299" t="s">
        <v>74</v>
      </c>
      <c r="BI299">
        <v>21</v>
      </c>
      <c r="BJ299" t="s">
        <v>2599</v>
      </c>
      <c r="BK299" t="s">
        <v>338</v>
      </c>
      <c r="BL299" t="s">
        <v>95</v>
      </c>
      <c r="BM299" t="s">
        <v>5356</v>
      </c>
      <c r="BN299" t="s">
        <v>74</v>
      </c>
      <c r="BO299" t="s">
        <v>74</v>
      </c>
      <c r="BP299" t="s">
        <v>74</v>
      </c>
      <c r="BQ299" t="s">
        <v>74</v>
      </c>
      <c r="BR299" t="s">
        <v>97</v>
      </c>
      <c r="BS299" t="s">
        <v>5357</v>
      </c>
      <c r="BT299" t="str">
        <f>HYPERLINK("https%3A%2F%2Fwww.webofscience.com%2Fwos%2Fwoscc%2Ffull-record%2FWOS:000228640800005","View Full Record in Web of Science")</f>
        <v>View Full Record in Web of Science</v>
      </c>
    </row>
    <row r="300" spans="1:72" x14ac:dyDescent="0.25">
      <c r="A300" t="s">
        <v>72</v>
      </c>
      <c r="B300" t="s">
        <v>5358</v>
      </c>
      <c r="C300" t="s">
        <v>74</v>
      </c>
      <c r="D300" t="s">
        <v>74</v>
      </c>
      <c r="E300" t="s">
        <v>74</v>
      </c>
      <c r="F300" t="s">
        <v>5358</v>
      </c>
      <c r="G300" t="s">
        <v>74</v>
      </c>
      <c r="H300" t="s">
        <v>74</v>
      </c>
      <c r="I300" t="s">
        <v>5359</v>
      </c>
      <c r="J300" t="s">
        <v>5360</v>
      </c>
      <c r="K300" t="s">
        <v>74</v>
      </c>
      <c r="L300" t="s">
        <v>74</v>
      </c>
      <c r="M300" t="s">
        <v>77</v>
      </c>
      <c r="N300" t="s">
        <v>78</v>
      </c>
      <c r="O300" t="s">
        <v>74</v>
      </c>
      <c r="P300" t="s">
        <v>74</v>
      </c>
      <c r="Q300" t="s">
        <v>74</v>
      </c>
      <c r="R300" t="s">
        <v>74</v>
      </c>
      <c r="S300" t="s">
        <v>74</v>
      </c>
      <c r="T300" t="s">
        <v>74</v>
      </c>
      <c r="U300" t="s">
        <v>5361</v>
      </c>
      <c r="V300" t="s">
        <v>5362</v>
      </c>
      <c r="W300" t="s">
        <v>5363</v>
      </c>
      <c r="X300" t="s">
        <v>5364</v>
      </c>
      <c r="Y300" t="s">
        <v>5365</v>
      </c>
      <c r="Z300" t="s">
        <v>74</v>
      </c>
      <c r="AA300" t="s">
        <v>74</v>
      </c>
      <c r="AB300" t="s">
        <v>74</v>
      </c>
      <c r="AC300" t="s">
        <v>74</v>
      </c>
      <c r="AD300" t="s">
        <v>74</v>
      </c>
      <c r="AE300" t="s">
        <v>74</v>
      </c>
      <c r="AF300" t="s">
        <v>74</v>
      </c>
      <c r="AG300">
        <v>31</v>
      </c>
      <c r="AH300">
        <v>30</v>
      </c>
      <c r="AI300">
        <v>31</v>
      </c>
      <c r="AJ300">
        <v>0</v>
      </c>
      <c r="AK300">
        <v>3</v>
      </c>
      <c r="AL300" t="s">
        <v>5366</v>
      </c>
      <c r="AM300" t="s">
        <v>330</v>
      </c>
      <c r="AN300" t="s">
        <v>5367</v>
      </c>
      <c r="AO300" t="s">
        <v>5368</v>
      </c>
      <c r="AP300" t="s">
        <v>74</v>
      </c>
      <c r="AQ300" t="s">
        <v>74</v>
      </c>
      <c r="AR300" t="s">
        <v>5369</v>
      </c>
      <c r="AS300" t="s">
        <v>5370</v>
      </c>
      <c r="AT300" t="s">
        <v>496</v>
      </c>
      <c r="AU300">
        <v>1999</v>
      </c>
      <c r="AV300">
        <v>25</v>
      </c>
      <c r="AW300">
        <v>3</v>
      </c>
      <c r="AX300" t="s">
        <v>74</v>
      </c>
      <c r="AY300" t="s">
        <v>74</v>
      </c>
      <c r="AZ300" t="s">
        <v>74</v>
      </c>
      <c r="BA300" t="s">
        <v>74</v>
      </c>
      <c r="BB300">
        <v>112</v>
      </c>
      <c r="BC300" t="s">
        <v>2838</v>
      </c>
      <c r="BD300" t="s">
        <v>74</v>
      </c>
      <c r="BE300" t="s">
        <v>5371</v>
      </c>
      <c r="BF300" t="str">
        <f>HYPERLINK("http://dx.doi.org/10.2307/2991959","http://dx.doi.org/10.2307/2991959")</f>
        <v>http://dx.doi.org/10.2307/2991959</v>
      </c>
      <c r="BG300" t="s">
        <v>74</v>
      </c>
      <c r="BH300" t="s">
        <v>74</v>
      </c>
      <c r="BI300">
        <v>8</v>
      </c>
      <c r="BJ300" t="s">
        <v>5372</v>
      </c>
      <c r="BK300" t="s">
        <v>94</v>
      </c>
      <c r="BL300" t="s">
        <v>5373</v>
      </c>
      <c r="BM300" t="s">
        <v>5374</v>
      </c>
      <c r="BN300" t="s">
        <v>74</v>
      </c>
      <c r="BO300" t="s">
        <v>74</v>
      </c>
      <c r="BP300" t="s">
        <v>74</v>
      </c>
      <c r="BQ300" t="s">
        <v>74</v>
      </c>
      <c r="BR300" t="s">
        <v>97</v>
      </c>
      <c r="BS300" t="s">
        <v>5375</v>
      </c>
      <c r="BT300" t="str">
        <f>HYPERLINK("https%3A%2F%2Fwww.webofscience.com%2Fwos%2Fwoscc%2Ffull-record%2FWOS:000082432300001","View Full Record in Web of Science")</f>
        <v>View Full Record in Web of Science</v>
      </c>
    </row>
    <row r="301" spans="1:72" x14ac:dyDescent="0.25">
      <c r="A301" t="s">
        <v>72</v>
      </c>
      <c r="B301" t="s">
        <v>5376</v>
      </c>
      <c r="C301" t="s">
        <v>74</v>
      </c>
      <c r="D301" t="s">
        <v>74</v>
      </c>
      <c r="E301" t="s">
        <v>74</v>
      </c>
      <c r="F301" t="s">
        <v>5377</v>
      </c>
      <c r="G301" t="s">
        <v>74</v>
      </c>
      <c r="H301" t="s">
        <v>74</v>
      </c>
      <c r="I301" t="s">
        <v>5378</v>
      </c>
      <c r="J301" t="s">
        <v>2463</v>
      </c>
      <c r="K301" t="s">
        <v>74</v>
      </c>
      <c r="L301" t="s">
        <v>74</v>
      </c>
      <c r="M301" t="s">
        <v>77</v>
      </c>
      <c r="N301" t="s">
        <v>78</v>
      </c>
      <c r="O301" t="s">
        <v>74</v>
      </c>
      <c r="P301" t="s">
        <v>74</v>
      </c>
      <c r="Q301" t="s">
        <v>74</v>
      </c>
      <c r="R301" t="s">
        <v>74</v>
      </c>
      <c r="S301" t="s">
        <v>74</v>
      </c>
      <c r="T301" t="s">
        <v>5379</v>
      </c>
      <c r="U301" t="s">
        <v>5380</v>
      </c>
      <c r="V301" t="s">
        <v>5381</v>
      </c>
      <c r="W301" t="s">
        <v>5382</v>
      </c>
      <c r="X301" t="s">
        <v>5383</v>
      </c>
      <c r="Y301" t="s">
        <v>5384</v>
      </c>
      <c r="Z301" t="s">
        <v>5385</v>
      </c>
      <c r="AA301" t="s">
        <v>5386</v>
      </c>
      <c r="AB301" t="s">
        <v>5387</v>
      </c>
      <c r="AC301" t="s">
        <v>74</v>
      </c>
      <c r="AD301" t="s">
        <v>74</v>
      </c>
      <c r="AE301" t="s">
        <v>74</v>
      </c>
      <c r="AF301" t="s">
        <v>74</v>
      </c>
      <c r="AG301">
        <v>102</v>
      </c>
      <c r="AH301">
        <v>29</v>
      </c>
      <c r="AI301">
        <v>30</v>
      </c>
      <c r="AJ301">
        <v>9</v>
      </c>
      <c r="AK301">
        <v>40</v>
      </c>
      <c r="AL301" t="s">
        <v>2473</v>
      </c>
      <c r="AM301" t="s">
        <v>2102</v>
      </c>
      <c r="AN301" t="s">
        <v>2474</v>
      </c>
      <c r="AO301" t="s">
        <v>74</v>
      </c>
      <c r="AP301" t="s">
        <v>2475</v>
      </c>
      <c r="AQ301" t="s">
        <v>74</v>
      </c>
      <c r="AR301" t="s">
        <v>2476</v>
      </c>
      <c r="AS301" t="s">
        <v>2477</v>
      </c>
      <c r="AT301" t="s">
        <v>122</v>
      </c>
      <c r="AU301">
        <v>2020</v>
      </c>
      <c r="AV301">
        <v>12</v>
      </c>
      <c r="AW301">
        <v>8</v>
      </c>
      <c r="AX301" t="s">
        <v>74</v>
      </c>
      <c r="AY301" t="s">
        <v>74</v>
      </c>
      <c r="AZ301" t="s">
        <v>74</v>
      </c>
      <c r="BA301" t="s">
        <v>74</v>
      </c>
      <c r="BB301" t="s">
        <v>74</v>
      </c>
      <c r="BC301" t="s">
        <v>74</v>
      </c>
      <c r="BD301">
        <v>3295</v>
      </c>
      <c r="BE301" t="s">
        <v>5388</v>
      </c>
      <c r="BF301" t="str">
        <f>HYPERLINK("http://dx.doi.org/10.3390/su12083295","http://dx.doi.org/10.3390/su12083295")</f>
        <v>http://dx.doi.org/10.3390/su12083295</v>
      </c>
      <c r="BG301" t="s">
        <v>74</v>
      </c>
      <c r="BH301" t="s">
        <v>74</v>
      </c>
      <c r="BI301">
        <v>18</v>
      </c>
      <c r="BJ301" t="s">
        <v>2479</v>
      </c>
      <c r="BK301" t="s">
        <v>147</v>
      </c>
      <c r="BL301" t="s">
        <v>2480</v>
      </c>
      <c r="BM301" t="s">
        <v>5389</v>
      </c>
      <c r="BN301" t="s">
        <v>74</v>
      </c>
      <c r="BO301" t="s">
        <v>3205</v>
      </c>
      <c r="BP301" t="s">
        <v>74</v>
      </c>
      <c r="BQ301" t="s">
        <v>74</v>
      </c>
      <c r="BR301" t="s">
        <v>97</v>
      </c>
      <c r="BS301" t="s">
        <v>5390</v>
      </c>
      <c r="BT301" t="str">
        <f>HYPERLINK("https%3A%2F%2Fwww.webofscience.com%2Fwos%2Fwoscc%2Ffull-record%2FWOS:000535598700228","View Full Record in Web of Science")</f>
        <v>View Full Record in Web of Science</v>
      </c>
    </row>
    <row r="302" spans="1:72" x14ac:dyDescent="0.25">
      <c r="A302" t="s">
        <v>72</v>
      </c>
      <c r="B302" t="s">
        <v>5391</v>
      </c>
      <c r="C302" t="s">
        <v>74</v>
      </c>
      <c r="D302" t="s">
        <v>74</v>
      </c>
      <c r="E302" t="s">
        <v>74</v>
      </c>
      <c r="F302" t="s">
        <v>5392</v>
      </c>
      <c r="G302" t="s">
        <v>74</v>
      </c>
      <c r="H302" t="s">
        <v>74</v>
      </c>
      <c r="I302" t="s">
        <v>5393</v>
      </c>
      <c r="J302" t="s">
        <v>5394</v>
      </c>
      <c r="K302" t="s">
        <v>74</v>
      </c>
      <c r="L302" t="s">
        <v>74</v>
      </c>
      <c r="M302" t="s">
        <v>77</v>
      </c>
      <c r="N302" t="s">
        <v>78</v>
      </c>
      <c r="O302" t="s">
        <v>74</v>
      </c>
      <c r="P302" t="s">
        <v>74</v>
      </c>
      <c r="Q302" t="s">
        <v>74</v>
      </c>
      <c r="R302" t="s">
        <v>74</v>
      </c>
      <c r="S302" t="s">
        <v>74</v>
      </c>
      <c r="T302" t="s">
        <v>5395</v>
      </c>
      <c r="U302" t="s">
        <v>5396</v>
      </c>
      <c r="V302" t="s">
        <v>5397</v>
      </c>
      <c r="W302" t="s">
        <v>5398</v>
      </c>
      <c r="X302" t="s">
        <v>5399</v>
      </c>
      <c r="Y302" t="s">
        <v>5400</v>
      </c>
      <c r="Z302" t="s">
        <v>5401</v>
      </c>
      <c r="AA302" t="s">
        <v>5402</v>
      </c>
      <c r="AB302" t="s">
        <v>74</v>
      </c>
      <c r="AC302" t="s">
        <v>5403</v>
      </c>
      <c r="AD302" t="s">
        <v>5404</v>
      </c>
      <c r="AE302" t="s">
        <v>5405</v>
      </c>
      <c r="AF302" t="s">
        <v>74</v>
      </c>
      <c r="AG302">
        <v>74</v>
      </c>
      <c r="AH302">
        <v>29</v>
      </c>
      <c r="AI302">
        <v>30</v>
      </c>
      <c r="AJ302">
        <v>14</v>
      </c>
      <c r="AK302">
        <v>101</v>
      </c>
      <c r="AL302" t="s">
        <v>602</v>
      </c>
      <c r="AM302" t="s">
        <v>160</v>
      </c>
      <c r="AN302" t="s">
        <v>603</v>
      </c>
      <c r="AO302" t="s">
        <v>5406</v>
      </c>
      <c r="AP302" t="s">
        <v>5407</v>
      </c>
      <c r="AQ302" t="s">
        <v>74</v>
      </c>
      <c r="AR302" t="s">
        <v>5408</v>
      </c>
      <c r="AS302" t="s">
        <v>5409</v>
      </c>
      <c r="AT302" t="s">
        <v>405</v>
      </c>
      <c r="AU302">
        <v>2019</v>
      </c>
      <c r="AV302">
        <v>56</v>
      </c>
      <c r="AW302" t="s">
        <v>74</v>
      </c>
      <c r="AX302" t="s">
        <v>74</v>
      </c>
      <c r="AY302" t="s">
        <v>74</v>
      </c>
      <c r="AZ302" t="s">
        <v>74</v>
      </c>
      <c r="BA302" t="s">
        <v>74</v>
      </c>
      <c r="BB302">
        <v>134</v>
      </c>
      <c r="BC302">
        <v>146</v>
      </c>
      <c r="BD302" t="s">
        <v>74</v>
      </c>
      <c r="BE302" t="s">
        <v>5410</v>
      </c>
      <c r="BF302" t="str">
        <f>HYPERLINK("http://dx.doi.org/10.1016/j.techsoc.2018.09.012","http://dx.doi.org/10.1016/j.techsoc.2018.09.012")</f>
        <v>http://dx.doi.org/10.1016/j.techsoc.2018.09.012</v>
      </c>
      <c r="BG302" t="s">
        <v>74</v>
      </c>
      <c r="BH302" t="s">
        <v>74</v>
      </c>
      <c r="BI302">
        <v>13</v>
      </c>
      <c r="BJ302" t="s">
        <v>5411</v>
      </c>
      <c r="BK302" t="s">
        <v>94</v>
      </c>
      <c r="BL302" t="s">
        <v>5412</v>
      </c>
      <c r="BM302" t="s">
        <v>5413</v>
      </c>
      <c r="BN302" t="s">
        <v>74</v>
      </c>
      <c r="BO302" t="s">
        <v>74</v>
      </c>
      <c r="BP302" t="s">
        <v>74</v>
      </c>
      <c r="BQ302" t="s">
        <v>74</v>
      </c>
      <c r="BR302" t="s">
        <v>97</v>
      </c>
      <c r="BS302" t="s">
        <v>5414</v>
      </c>
      <c r="BT302" t="str">
        <f>HYPERLINK("https%3A%2F%2Fwww.webofscience.com%2Fwos%2Fwoscc%2Ffull-record%2FWOS:000458621800013","View Full Record in Web of Science")</f>
        <v>View Full Record in Web of Science</v>
      </c>
    </row>
    <row r="303" spans="1:72" x14ac:dyDescent="0.25">
      <c r="A303" t="s">
        <v>72</v>
      </c>
      <c r="B303" t="s">
        <v>5415</v>
      </c>
      <c r="C303" t="s">
        <v>74</v>
      </c>
      <c r="D303" t="s">
        <v>74</v>
      </c>
      <c r="E303" t="s">
        <v>74</v>
      </c>
      <c r="F303" t="s">
        <v>5416</v>
      </c>
      <c r="G303" t="s">
        <v>74</v>
      </c>
      <c r="H303" t="s">
        <v>74</v>
      </c>
      <c r="I303" t="s">
        <v>5417</v>
      </c>
      <c r="J303" t="s">
        <v>5418</v>
      </c>
      <c r="K303" t="s">
        <v>74</v>
      </c>
      <c r="L303" t="s">
        <v>74</v>
      </c>
      <c r="M303" t="s">
        <v>77</v>
      </c>
      <c r="N303" t="s">
        <v>78</v>
      </c>
      <c r="O303" t="s">
        <v>74</v>
      </c>
      <c r="P303" t="s">
        <v>74</v>
      </c>
      <c r="Q303" t="s">
        <v>74</v>
      </c>
      <c r="R303" t="s">
        <v>74</v>
      </c>
      <c r="S303" t="s">
        <v>74</v>
      </c>
      <c r="T303" t="s">
        <v>5419</v>
      </c>
      <c r="U303" t="s">
        <v>5420</v>
      </c>
      <c r="V303" t="s">
        <v>5421</v>
      </c>
      <c r="W303" t="s">
        <v>5422</v>
      </c>
      <c r="X303" t="s">
        <v>5423</v>
      </c>
      <c r="Y303" t="s">
        <v>5424</v>
      </c>
      <c r="Z303" t="s">
        <v>5425</v>
      </c>
      <c r="AA303" t="s">
        <v>74</v>
      </c>
      <c r="AB303" t="s">
        <v>5426</v>
      </c>
      <c r="AC303" t="s">
        <v>5427</v>
      </c>
      <c r="AD303" t="s">
        <v>5428</v>
      </c>
      <c r="AE303" t="s">
        <v>5429</v>
      </c>
      <c r="AF303" t="s">
        <v>74</v>
      </c>
      <c r="AG303">
        <v>75</v>
      </c>
      <c r="AH303">
        <v>29</v>
      </c>
      <c r="AI303">
        <v>29</v>
      </c>
      <c r="AJ303">
        <v>2</v>
      </c>
      <c r="AK303">
        <v>69</v>
      </c>
      <c r="AL303" t="s">
        <v>602</v>
      </c>
      <c r="AM303" t="s">
        <v>160</v>
      </c>
      <c r="AN303" t="s">
        <v>603</v>
      </c>
      <c r="AO303" t="s">
        <v>5430</v>
      </c>
      <c r="AP303" t="s">
        <v>5431</v>
      </c>
      <c r="AQ303" t="s">
        <v>74</v>
      </c>
      <c r="AR303" t="s">
        <v>5432</v>
      </c>
      <c r="AS303" t="s">
        <v>5433</v>
      </c>
      <c r="AT303" t="s">
        <v>165</v>
      </c>
      <c r="AU303">
        <v>2018</v>
      </c>
      <c r="AV303">
        <v>162</v>
      </c>
      <c r="AW303" t="s">
        <v>74</v>
      </c>
      <c r="AX303" t="s">
        <v>74</v>
      </c>
      <c r="AY303" t="s">
        <v>74</v>
      </c>
      <c r="AZ303" t="s">
        <v>74</v>
      </c>
      <c r="BA303" t="s">
        <v>74</v>
      </c>
      <c r="BB303">
        <v>97</v>
      </c>
      <c r="BC303">
        <v>106</v>
      </c>
      <c r="BD303" t="s">
        <v>74</v>
      </c>
      <c r="BE303" t="s">
        <v>5434</v>
      </c>
      <c r="BF303" t="str">
        <f>HYPERLINK("http://dx.doi.org/10.1016/j.agsy.2018.01.023","http://dx.doi.org/10.1016/j.agsy.2018.01.023")</f>
        <v>http://dx.doi.org/10.1016/j.agsy.2018.01.023</v>
      </c>
      <c r="BG303" t="s">
        <v>74</v>
      </c>
      <c r="BH303" t="s">
        <v>74</v>
      </c>
      <c r="BI303">
        <v>10</v>
      </c>
      <c r="BJ303" t="s">
        <v>5435</v>
      </c>
      <c r="BK303" t="s">
        <v>147</v>
      </c>
      <c r="BL303" t="s">
        <v>5436</v>
      </c>
      <c r="BM303" t="s">
        <v>5437</v>
      </c>
      <c r="BN303" t="s">
        <v>74</v>
      </c>
      <c r="BO303" t="s">
        <v>378</v>
      </c>
      <c r="BP303" t="s">
        <v>74</v>
      </c>
      <c r="BQ303" t="s">
        <v>74</v>
      </c>
      <c r="BR303" t="s">
        <v>97</v>
      </c>
      <c r="BS303" t="s">
        <v>5438</v>
      </c>
      <c r="BT303" t="str">
        <f>HYPERLINK("https%3A%2F%2Fwww.webofscience.com%2Fwos%2Fwoscc%2Ffull-record%2FWOS:000428822500011","View Full Record in Web of Science")</f>
        <v>View Full Record in Web of Science</v>
      </c>
    </row>
    <row r="304" spans="1:72" x14ac:dyDescent="0.25">
      <c r="A304" t="s">
        <v>72</v>
      </c>
      <c r="B304" t="s">
        <v>5439</v>
      </c>
      <c r="C304" t="s">
        <v>74</v>
      </c>
      <c r="D304" t="s">
        <v>74</v>
      </c>
      <c r="E304" t="s">
        <v>74</v>
      </c>
      <c r="F304" t="s">
        <v>5440</v>
      </c>
      <c r="G304" t="s">
        <v>74</v>
      </c>
      <c r="H304" t="s">
        <v>74</v>
      </c>
      <c r="I304" t="s">
        <v>5441</v>
      </c>
      <c r="J304" t="s">
        <v>5442</v>
      </c>
      <c r="K304" t="s">
        <v>74</v>
      </c>
      <c r="L304" t="s">
        <v>74</v>
      </c>
      <c r="M304" t="s">
        <v>77</v>
      </c>
      <c r="N304" t="s">
        <v>78</v>
      </c>
      <c r="O304" t="s">
        <v>74</v>
      </c>
      <c r="P304" t="s">
        <v>74</v>
      </c>
      <c r="Q304" t="s">
        <v>74</v>
      </c>
      <c r="R304" t="s">
        <v>74</v>
      </c>
      <c r="S304" t="s">
        <v>74</v>
      </c>
      <c r="T304" t="s">
        <v>5443</v>
      </c>
      <c r="U304" t="s">
        <v>5444</v>
      </c>
      <c r="V304" t="s">
        <v>5445</v>
      </c>
      <c r="W304" t="s">
        <v>5446</v>
      </c>
      <c r="X304" t="s">
        <v>5447</v>
      </c>
      <c r="Y304" t="s">
        <v>5448</v>
      </c>
      <c r="Z304" t="s">
        <v>5449</v>
      </c>
      <c r="AA304" t="s">
        <v>5450</v>
      </c>
      <c r="AB304" t="s">
        <v>5451</v>
      </c>
      <c r="AC304" t="s">
        <v>74</v>
      </c>
      <c r="AD304" t="s">
        <v>74</v>
      </c>
      <c r="AE304" t="s">
        <v>74</v>
      </c>
      <c r="AF304" t="s">
        <v>74</v>
      </c>
      <c r="AG304">
        <v>72</v>
      </c>
      <c r="AH304">
        <v>29</v>
      </c>
      <c r="AI304">
        <v>30</v>
      </c>
      <c r="AJ304">
        <v>6</v>
      </c>
      <c r="AK304">
        <v>49</v>
      </c>
      <c r="AL304" t="s">
        <v>5452</v>
      </c>
      <c r="AM304" t="s">
        <v>5453</v>
      </c>
      <c r="AN304" t="s">
        <v>5454</v>
      </c>
      <c r="AO304" t="s">
        <v>5455</v>
      </c>
      <c r="AP304" t="s">
        <v>5456</v>
      </c>
      <c r="AQ304" t="s">
        <v>74</v>
      </c>
      <c r="AR304" t="s">
        <v>5457</v>
      </c>
      <c r="AS304" t="s">
        <v>5458</v>
      </c>
      <c r="AT304" t="s">
        <v>892</v>
      </c>
      <c r="AU304">
        <v>2018</v>
      </c>
      <c r="AV304">
        <v>24</v>
      </c>
      <c r="AW304">
        <v>1</v>
      </c>
      <c r="AX304" t="s">
        <v>74</v>
      </c>
      <c r="AY304" t="s">
        <v>74</v>
      </c>
      <c r="AZ304" t="s">
        <v>74</v>
      </c>
      <c r="BA304" t="s">
        <v>74</v>
      </c>
      <c r="BB304">
        <v>108</v>
      </c>
      <c r="BC304">
        <v>128</v>
      </c>
      <c r="BD304" t="s">
        <v>74</v>
      </c>
      <c r="BE304" t="s">
        <v>5459</v>
      </c>
      <c r="BF304" t="str">
        <f>HYPERLINK("http://dx.doi.org/10.1017/jmo.2017.26","http://dx.doi.org/10.1017/jmo.2017.26")</f>
        <v>http://dx.doi.org/10.1017/jmo.2017.26</v>
      </c>
      <c r="BG304" t="s">
        <v>74</v>
      </c>
      <c r="BH304" t="s">
        <v>74</v>
      </c>
      <c r="BI304">
        <v>21</v>
      </c>
      <c r="BJ304" t="s">
        <v>442</v>
      </c>
      <c r="BK304" t="s">
        <v>94</v>
      </c>
      <c r="BL304" t="s">
        <v>95</v>
      </c>
      <c r="BM304" t="s">
        <v>5460</v>
      </c>
      <c r="BN304" t="s">
        <v>74</v>
      </c>
      <c r="BO304" t="s">
        <v>229</v>
      </c>
      <c r="BP304" t="s">
        <v>74</v>
      </c>
      <c r="BQ304" t="s">
        <v>74</v>
      </c>
      <c r="BR304" t="s">
        <v>97</v>
      </c>
      <c r="BS304" t="s">
        <v>5461</v>
      </c>
      <c r="BT304" t="str">
        <f>HYPERLINK("https%3A%2F%2Fwww.webofscience.com%2Fwos%2Fwoscc%2Ffull-record%2FWOS:000428759400007","View Full Record in Web of Science")</f>
        <v>View Full Record in Web of Science</v>
      </c>
    </row>
    <row r="305" spans="1:72" x14ac:dyDescent="0.25">
      <c r="A305" t="s">
        <v>72</v>
      </c>
      <c r="B305" t="s">
        <v>5462</v>
      </c>
      <c r="C305" t="s">
        <v>74</v>
      </c>
      <c r="D305" t="s">
        <v>74</v>
      </c>
      <c r="E305" t="s">
        <v>74</v>
      </c>
      <c r="F305" t="s">
        <v>5463</v>
      </c>
      <c r="G305" t="s">
        <v>74</v>
      </c>
      <c r="H305" t="s">
        <v>74</v>
      </c>
      <c r="I305" t="s">
        <v>5464</v>
      </c>
      <c r="J305" t="s">
        <v>5465</v>
      </c>
      <c r="K305" t="s">
        <v>74</v>
      </c>
      <c r="L305" t="s">
        <v>74</v>
      </c>
      <c r="M305" t="s">
        <v>77</v>
      </c>
      <c r="N305" t="s">
        <v>78</v>
      </c>
      <c r="O305" t="s">
        <v>74</v>
      </c>
      <c r="P305" t="s">
        <v>74</v>
      </c>
      <c r="Q305" t="s">
        <v>74</v>
      </c>
      <c r="R305" t="s">
        <v>74</v>
      </c>
      <c r="S305" t="s">
        <v>74</v>
      </c>
      <c r="T305" t="s">
        <v>5466</v>
      </c>
      <c r="U305" t="s">
        <v>5467</v>
      </c>
      <c r="V305" t="s">
        <v>5468</v>
      </c>
      <c r="W305" t="s">
        <v>5469</v>
      </c>
      <c r="X305" t="s">
        <v>5470</v>
      </c>
      <c r="Y305" t="s">
        <v>5471</v>
      </c>
      <c r="Z305" t="s">
        <v>5472</v>
      </c>
      <c r="AA305" t="s">
        <v>5473</v>
      </c>
      <c r="AB305" t="s">
        <v>5474</v>
      </c>
      <c r="AC305" t="s">
        <v>5475</v>
      </c>
      <c r="AD305" t="s">
        <v>5476</v>
      </c>
      <c r="AE305" t="s">
        <v>5477</v>
      </c>
      <c r="AF305" t="s">
        <v>74</v>
      </c>
      <c r="AG305">
        <v>95</v>
      </c>
      <c r="AH305">
        <v>29</v>
      </c>
      <c r="AI305">
        <v>29</v>
      </c>
      <c r="AJ305">
        <v>2</v>
      </c>
      <c r="AK305">
        <v>33</v>
      </c>
      <c r="AL305" t="s">
        <v>434</v>
      </c>
      <c r="AM305" t="s">
        <v>435</v>
      </c>
      <c r="AN305" t="s">
        <v>436</v>
      </c>
      <c r="AO305" t="s">
        <v>5478</v>
      </c>
      <c r="AP305" t="s">
        <v>5479</v>
      </c>
      <c r="AQ305" t="s">
        <v>74</v>
      </c>
      <c r="AR305" t="s">
        <v>5480</v>
      </c>
      <c r="AS305" t="s">
        <v>5481</v>
      </c>
      <c r="AT305" t="s">
        <v>200</v>
      </c>
      <c r="AU305">
        <v>2017</v>
      </c>
      <c r="AV305">
        <v>23</v>
      </c>
      <c r="AW305">
        <v>1</v>
      </c>
      <c r="AX305" t="s">
        <v>74</v>
      </c>
      <c r="AY305" t="s">
        <v>74</v>
      </c>
      <c r="AZ305" t="s">
        <v>74</v>
      </c>
      <c r="BA305" t="s">
        <v>74</v>
      </c>
      <c r="BB305">
        <v>56</v>
      </c>
      <c r="BC305">
        <v>71</v>
      </c>
      <c r="BD305" t="s">
        <v>74</v>
      </c>
      <c r="BE305" t="s">
        <v>5482</v>
      </c>
      <c r="BF305" t="str">
        <f>HYPERLINK("http://dx.doi.org/10.1016/j.intman.2016.09.001","http://dx.doi.org/10.1016/j.intman.2016.09.001")</f>
        <v>http://dx.doi.org/10.1016/j.intman.2016.09.001</v>
      </c>
      <c r="BG305" t="s">
        <v>74</v>
      </c>
      <c r="BH305" t="s">
        <v>74</v>
      </c>
      <c r="BI305">
        <v>16</v>
      </c>
      <c r="BJ305" t="s">
        <v>442</v>
      </c>
      <c r="BK305" t="s">
        <v>94</v>
      </c>
      <c r="BL305" t="s">
        <v>95</v>
      </c>
      <c r="BM305" t="s">
        <v>5483</v>
      </c>
      <c r="BN305" t="s">
        <v>74</v>
      </c>
      <c r="BO305" t="s">
        <v>74</v>
      </c>
      <c r="BP305" t="s">
        <v>74</v>
      </c>
      <c r="BQ305" t="s">
        <v>74</v>
      </c>
      <c r="BR305" t="s">
        <v>97</v>
      </c>
      <c r="BS305" t="s">
        <v>5484</v>
      </c>
      <c r="BT305" t="str">
        <f>HYPERLINK("https%3A%2F%2Fwww.webofscience.com%2Fwos%2Fwoscc%2Ffull-record%2FWOS:000396973900005","View Full Record in Web of Science")</f>
        <v>View Full Record in Web of Science</v>
      </c>
    </row>
    <row r="306" spans="1:72" x14ac:dyDescent="0.25">
      <c r="A306" t="s">
        <v>72</v>
      </c>
      <c r="B306" t="s">
        <v>5485</v>
      </c>
      <c r="C306" t="s">
        <v>74</v>
      </c>
      <c r="D306" t="s">
        <v>74</v>
      </c>
      <c r="E306" t="s">
        <v>74</v>
      </c>
      <c r="F306" t="s">
        <v>5486</v>
      </c>
      <c r="G306" t="s">
        <v>74</v>
      </c>
      <c r="H306" t="s">
        <v>74</v>
      </c>
      <c r="I306" t="s">
        <v>5487</v>
      </c>
      <c r="J306" t="s">
        <v>485</v>
      </c>
      <c r="K306" t="s">
        <v>74</v>
      </c>
      <c r="L306" t="s">
        <v>74</v>
      </c>
      <c r="M306" t="s">
        <v>77</v>
      </c>
      <c r="N306" t="s">
        <v>78</v>
      </c>
      <c r="O306" t="s">
        <v>74</v>
      </c>
      <c r="P306" t="s">
        <v>74</v>
      </c>
      <c r="Q306" t="s">
        <v>74</v>
      </c>
      <c r="R306" t="s">
        <v>74</v>
      </c>
      <c r="S306" t="s">
        <v>74</v>
      </c>
      <c r="T306" t="s">
        <v>5488</v>
      </c>
      <c r="U306" t="s">
        <v>5489</v>
      </c>
      <c r="V306" t="s">
        <v>5490</v>
      </c>
      <c r="W306" t="s">
        <v>5491</v>
      </c>
      <c r="X306" t="s">
        <v>5492</v>
      </c>
      <c r="Y306" t="s">
        <v>4348</v>
      </c>
      <c r="Z306" t="s">
        <v>4843</v>
      </c>
      <c r="AA306" t="s">
        <v>5493</v>
      </c>
      <c r="AB306" t="s">
        <v>74</v>
      </c>
      <c r="AC306" t="s">
        <v>5494</v>
      </c>
      <c r="AD306" t="s">
        <v>5494</v>
      </c>
      <c r="AE306" t="s">
        <v>5495</v>
      </c>
      <c r="AF306" t="s">
        <v>74</v>
      </c>
      <c r="AG306">
        <v>139</v>
      </c>
      <c r="AH306">
        <v>29</v>
      </c>
      <c r="AI306">
        <v>29</v>
      </c>
      <c r="AJ306">
        <v>3</v>
      </c>
      <c r="AK306">
        <v>49</v>
      </c>
      <c r="AL306" t="s">
        <v>218</v>
      </c>
      <c r="AM306" t="s">
        <v>219</v>
      </c>
      <c r="AN306" t="s">
        <v>220</v>
      </c>
      <c r="AO306" t="s">
        <v>493</v>
      </c>
      <c r="AP306" t="s">
        <v>557</v>
      </c>
      <c r="AQ306" t="s">
        <v>74</v>
      </c>
      <c r="AR306" t="s">
        <v>494</v>
      </c>
      <c r="AS306" t="s">
        <v>495</v>
      </c>
      <c r="AT306" t="s">
        <v>200</v>
      </c>
      <c r="AU306">
        <v>2016</v>
      </c>
      <c r="AV306">
        <v>89</v>
      </c>
      <c r="AW306">
        <v>1</v>
      </c>
      <c r="AX306" t="s">
        <v>74</v>
      </c>
      <c r="AY306" t="s">
        <v>74</v>
      </c>
      <c r="AZ306" t="s">
        <v>74</v>
      </c>
      <c r="BA306" t="s">
        <v>74</v>
      </c>
      <c r="BB306">
        <v>46</v>
      </c>
      <c r="BC306">
        <v>72</v>
      </c>
      <c r="BD306" t="s">
        <v>74</v>
      </c>
      <c r="BE306" t="s">
        <v>5496</v>
      </c>
      <c r="BF306" t="str">
        <f>HYPERLINK("http://dx.doi.org/10.1111/joop.12106","http://dx.doi.org/10.1111/joop.12106")</f>
        <v>http://dx.doi.org/10.1111/joop.12106</v>
      </c>
      <c r="BG306" t="s">
        <v>74</v>
      </c>
      <c r="BH306" t="s">
        <v>74</v>
      </c>
      <c r="BI306">
        <v>27</v>
      </c>
      <c r="BJ306" t="s">
        <v>202</v>
      </c>
      <c r="BK306" t="s">
        <v>94</v>
      </c>
      <c r="BL306" t="s">
        <v>203</v>
      </c>
      <c r="BM306" t="s">
        <v>5497</v>
      </c>
      <c r="BN306" t="s">
        <v>74</v>
      </c>
      <c r="BO306" t="s">
        <v>74</v>
      </c>
      <c r="BP306" t="s">
        <v>74</v>
      </c>
      <c r="BQ306" t="s">
        <v>74</v>
      </c>
      <c r="BR306" t="s">
        <v>97</v>
      </c>
      <c r="BS306" t="s">
        <v>5498</v>
      </c>
      <c r="BT306" t="str">
        <f>HYPERLINK("https%3A%2F%2Fwww.webofscience.com%2Fwos%2Fwoscc%2Ffull-record%2FWOS:000370136100003","View Full Record in Web of Science")</f>
        <v>View Full Record in Web of Science</v>
      </c>
    </row>
    <row r="307" spans="1:72" x14ac:dyDescent="0.25">
      <c r="A307" t="s">
        <v>72</v>
      </c>
      <c r="B307" t="s">
        <v>5499</v>
      </c>
      <c r="C307" t="s">
        <v>74</v>
      </c>
      <c r="D307" t="s">
        <v>74</v>
      </c>
      <c r="E307" t="s">
        <v>74</v>
      </c>
      <c r="F307" t="s">
        <v>5500</v>
      </c>
      <c r="G307" t="s">
        <v>74</v>
      </c>
      <c r="H307" t="s">
        <v>74</v>
      </c>
      <c r="I307" t="s">
        <v>5501</v>
      </c>
      <c r="J307" t="s">
        <v>2771</v>
      </c>
      <c r="K307" t="s">
        <v>74</v>
      </c>
      <c r="L307" t="s">
        <v>74</v>
      </c>
      <c r="M307" t="s">
        <v>77</v>
      </c>
      <c r="N307" t="s">
        <v>78</v>
      </c>
      <c r="O307" t="s">
        <v>74</v>
      </c>
      <c r="P307" t="s">
        <v>74</v>
      </c>
      <c r="Q307" t="s">
        <v>74</v>
      </c>
      <c r="R307" t="s">
        <v>74</v>
      </c>
      <c r="S307" t="s">
        <v>74</v>
      </c>
      <c r="T307" t="s">
        <v>5502</v>
      </c>
      <c r="U307" t="s">
        <v>5503</v>
      </c>
      <c r="V307" t="s">
        <v>5504</v>
      </c>
      <c r="W307" t="s">
        <v>5505</v>
      </c>
      <c r="X307" t="s">
        <v>2776</v>
      </c>
      <c r="Y307" t="s">
        <v>5506</v>
      </c>
      <c r="Z307" t="s">
        <v>5507</v>
      </c>
      <c r="AA307" t="s">
        <v>74</v>
      </c>
      <c r="AB307" t="s">
        <v>74</v>
      </c>
      <c r="AC307" t="s">
        <v>74</v>
      </c>
      <c r="AD307" t="s">
        <v>74</v>
      </c>
      <c r="AE307" t="s">
        <v>74</v>
      </c>
      <c r="AF307" t="s">
        <v>74</v>
      </c>
      <c r="AG307">
        <v>62</v>
      </c>
      <c r="AH307">
        <v>29</v>
      </c>
      <c r="AI307">
        <v>30</v>
      </c>
      <c r="AJ307">
        <v>4</v>
      </c>
      <c r="AK307">
        <v>32</v>
      </c>
      <c r="AL307" t="s">
        <v>2032</v>
      </c>
      <c r="AM307" t="s">
        <v>666</v>
      </c>
      <c r="AN307" t="s">
        <v>667</v>
      </c>
      <c r="AO307" t="s">
        <v>2781</v>
      </c>
      <c r="AP307" t="s">
        <v>74</v>
      </c>
      <c r="AQ307" t="s">
        <v>74</v>
      </c>
      <c r="AR307" t="s">
        <v>2771</v>
      </c>
      <c r="AS307" t="s">
        <v>2783</v>
      </c>
      <c r="AT307" t="s">
        <v>74</v>
      </c>
      <c r="AU307">
        <v>2011</v>
      </c>
      <c r="AV307">
        <v>40</v>
      </c>
      <c r="AW307" t="s">
        <v>5508</v>
      </c>
      <c r="AX307" t="s">
        <v>74</v>
      </c>
      <c r="AY307" t="s">
        <v>74</v>
      </c>
      <c r="AZ307" t="s">
        <v>74</v>
      </c>
      <c r="BA307" t="s">
        <v>74</v>
      </c>
      <c r="BB307">
        <v>1258</v>
      </c>
      <c r="BC307">
        <v>1272</v>
      </c>
      <c r="BD307" t="s">
        <v>74</v>
      </c>
      <c r="BE307" t="s">
        <v>5509</v>
      </c>
      <c r="BF307" t="str">
        <f>HYPERLINK("http://dx.doi.org/10.1108/03684921111169378","http://dx.doi.org/10.1108/03684921111169378")</f>
        <v>http://dx.doi.org/10.1108/03684921111169378</v>
      </c>
      <c r="BG307" t="s">
        <v>74</v>
      </c>
      <c r="BH307" t="s">
        <v>74</v>
      </c>
      <c r="BI307">
        <v>15</v>
      </c>
      <c r="BJ307" t="s">
        <v>2785</v>
      </c>
      <c r="BK307" t="s">
        <v>283</v>
      </c>
      <c r="BL307" t="s">
        <v>2786</v>
      </c>
      <c r="BM307" t="s">
        <v>5510</v>
      </c>
      <c r="BN307" t="s">
        <v>74</v>
      </c>
      <c r="BO307" t="s">
        <v>74</v>
      </c>
      <c r="BP307" t="s">
        <v>74</v>
      </c>
      <c r="BQ307" t="s">
        <v>74</v>
      </c>
      <c r="BR307" t="s">
        <v>97</v>
      </c>
      <c r="BS307" t="s">
        <v>5511</v>
      </c>
      <c r="BT307" t="str">
        <f>HYPERLINK("https%3A%2F%2Fwww.webofscience.com%2Fwos%2Fwoscc%2Ffull-record%2FWOS:000298127700004","View Full Record in Web of Science")</f>
        <v>View Full Record in Web of Science</v>
      </c>
    </row>
    <row r="308" spans="1:72" x14ac:dyDescent="0.25">
      <c r="A308" t="s">
        <v>72</v>
      </c>
      <c r="B308" t="s">
        <v>5512</v>
      </c>
      <c r="C308" t="s">
        <v>74</v>
      </c>
      <c r="D308" t="s">
        <v>74</v>
      </c>
      <c r="E308" t="s">
        <v>74</v>
      </c>
      <c r="F308" t="s">
        <v>5512</v>
      </c>
      <c r="G308" t="s">
        <v>74</v>
      </c>
      <c r="H308" t="s">
        <v>74</v>
      </c>
      <c r="I308" t="s">
        <v>5513</v>
      </c>
      <c r="J308" t="s">
        <v>4005</v>
      </c>
      <c r="K308" t="s">
        <v>74</v>
      </c>
      <c r="L308" t="s">
        <v>74</v>
      </c>
      <c r="M308" t="s">
        <v>77</v>
      </c>
      <c r="N308" t="s">
        <v>78</v>
      </c>
      <c r="O308" t="s">
        <v>74</v>
      </c>
      <c r="P308" t="s">
        <v>74</v>
      </c>
      <c r="Q308" t="s">
        <v>74</v>
      </c>
      <c r="R308" t="s">
        <v>74</v>
      </c>
      <c r="S308" t="s">
        <v>74</v>
      </c>
      <c r="T308" t="s">
        <v>5514</v>
      </c>
      <c r="U308" t="s">
        <v>74</v>
      </c>
      <c r="V308" t="s">
        <v>5515</v>
      </c>
      <c r="W308" t="s">
        <v>74</v>
      </c>
      <c r="X308" t="s">
        <v>74</v>
      </c>
      <c r="Y308" t="s">
        <v>5516</v>
      </c>
      <c r="Z308" t="s">
        <v>74</v>
      </c>
      <c r="AA308" t="s">
        <v>74</v>
      </c>
      <c r="AB308" t="s">
        <v>74</v>
      </c>
      <c r="AC308" t="s">
        <v>74</v>
      </c>
      <c r="AD308" t="s">
        <v>74</v>
      </c>
      <c r="AE308" t="s">
        <v>74</v>
      </c>
      <c r="AF308" t="s">
        <v>74</v>
      </c>
      <c r="AG308">
        <v>18</v>
      </c>
      <c r="AH308">
        <v>29</v>
      </c>
      <c r="AI308">
        <v>30</v>
      </c>
      <c r="AJ308">
        <v>0</v>
      </c>
      <c r="AK308">
        <v>4</v>
      </c>
      <c r="AL308" t="s">
        <v>5517</v>
      </c>
      <c r="AM308" t="s">
        <v>4019</v>
      </c>
      <c r="AN308" t="s">
        <v>5518</v>
      </c>
      <c r="AO308" t="s">
        <v>4021</v>
      </c>
      <c r="AP308" t="s">
        <v>74</v>
      </c>
      <c r="AQ308" t="s">
        <v>74</v>
      </c>
      <c r="AR308" t="s">
        <v>4005</v>
      </c>
      <c r="AS308" t="s">
        <v>4023</v>
      </c>
      <c r="AT308" t="s">
        <v>792</v>
      </c>
      <c r="AU308">
        <v>1996</v>
      </c>
      <c r="AV308">
        <v>37</v>
      </c>
      <c r="AW308">
        <v>1</v>
      </c>
      <c r="AX308" t="s">
        <v>74</v>
      </c>
      <c r="AY308" t="s">
        <v>74</v>
      </c>
      <c r="AZ308" t="s">
        <v>74</v>
      </c>
      <c r="BA308" t="s">
        <v>74</v>
      </c>
      <c r="BB308">
        <v>19</v>
      </c>
      <c r="BC308">
        <v>33</v>
      </c>
      <c r="BD308" t="s">
        <v>74</v>
      </c>
      <c r="BE308" t="s">
        <v>5519</v>
      </c>
      <c r="BF308" t="str">
        <f>HYPERLINK("http://dx.doi.org/10.1016/0168-8510(96)00821-4","http://dx.doi.org/10.1016/0168-8510(96)00821-4")</f>
        <v>http://dx.doi.org/10.1016/0168-8510(96)00821-4</v>
      </c>
      <c r="BG308" t="s">
        <v>74</v>
      </c>
      <c r="BH308" t="s">
        <v>74</v>
      </c>
      <c r="BI308">
        <v>15</v>
      </c>
      <c r="BJ308" t="s">
        <v>4026</v>
      </c>
      <c r="BK308" t="s">
        <v>94</v>
      </c>
      <c r="BL308" t="s">
        <v>4027</v>
      </c>
      <c r="BM308" t="s">
        <v>5520</v>
      </c>
      <c r="BN308">
        <v>10158941</v>
      </c>
      <c r="BO308" t="s">
        <v>74</v>
      </c>
      <c r="BP308" t="s">
        <v>74</v>
      </c>
      <c r="BQ308" t="s">
        <v>74</v>
      </c>
      <c r="BR308" t="s">
        <v>97</v>
      </c>
      <c r="BS308" t="s">
        <v>5521</v>
      </c>
      <c r="BT308" t="str">
        <f>HYPERLINK("https%3A%2F%2Fwww.webofscience.com%2Fwos%2Fwoscc%2Ffull-record%2FWOS:A1996UU41600002","View Full Record in Web of Science")</f>
        <v>View Full Record in Web of Science</v>
      </c>
    </row>
    <row r="309" spans="1:72" x14ac:dyDescent="0.25">
      <c r="A309" t="s">
        <v>72</v>
      </c>
      <c r="B309" t="s">
        <v>5522</v>
      </c>
      <c r="C309" t="s">
        <v>74</v>
      </c>
      <c r="D309" t="s">
        <v>74</v>
      </c>
      <c r="E309" t="s">
        <v>74</v>
      </c>
      <c r="F309" t="s">
        <v>5522</v>
      </c>
      <c r="G309" t="s">
        <v>74</v>
      </c>
      <c r="H309" t="s">
        <v>74</v>
      </c>
      <c r="I309" t="s">
        <v>5523</v>
      </c>
      <c r="J309" t="s">
        <v>2326</v>
      </c>
      <c r="K309" t="s">
        <v>74</v>
      </c>
      <c r="L309" t="s">
        <v>74</v>
      </c>
      <c r="M309" t="s">
        <v>77</v>
      </c>
      <c r="N309" t="s">
        <v>78</v>
      </c>
      <c r="O309" t="s">
        <v>74</v>
      </c>
      <c r="P309" t="s">
        <v>74</v>
      </c>
      <c r="Q309" t="s">
        <v>74</v>
      </c>
      <c r="R309" t="s">
        <v>74</v>
      </c>
      <c r="S309" t="s">
        <v>74</v>
      </c>
      <c r="T309" t="s">
        <v>74</v>
      </c>
      <c r="U309" t="s">
        <v>74</v>
      </c>
      <c r="V309" t="s">
        <v>5524</v>
      </c>
      <c r="W309" t="s">
        <v>74</v>
      </c>
      <c r="X309" t="s">
        <v>74</v>
      </c>
      <c r="Y309" t="s">
        <v>5525</v>
      </c>
      <c r="Z309" t="s">
        <v>74</v>
      </c>
      <c r="AA309" t="s">
        <v>74</v>
      </c>
      <c r="AB309" t="s">
        <v>74</v>
      </c>
      <c r="AC309" t="s">
        <v>74</v>
      </c>
      <c r="AD309" t="s">
        <v>74</v>
      </c>
      <c r="AE309" t="s">
        <v>74</v>
      </c>
      <c r="AF309" t="s">
        <v>74</v>
      </c>
      <c r="AG309">
        <v>0</v>
      </c>
      <c r="AH309">
        <v>29</v>
      </c>
      <c r="AI309">
        <v>30</v>
      </c>
      <c r="AJ309">
        <v>1</v>
      </c>
      <c r="AK309">
        <v>13</v>
      </c>
      <c r="AL309" t="s">
        <v>602</v>
      </c>
      <c r="AM309" t="s">
        <v>160</v>
      </c>
      <c r="AN309" t="s">
        <v>2329</v>
      </c>
      <c r="AO309" t="s">
        <v>2330</v>
      </c>
      <c r="AP309" t="s">
        <v>74</v>
      </c>
      <c r="AQ309" t="s">
        <v>74</v>
      </c>
      <c r="AR309" t="s">
        <v>2326</v>
      </c>
      <c r="AS309" t="s">
        <v>2331</v>
      </c>
      <c r="AT309" t="s">
        <v>122</v>
      </c>
      <c r="AU309">
        <v>1991</v>
      </c>
      <c r="AV309">
        <v>11</v>
      </c>
      <c r="AW309">
        <v>3</v>
      </c>
      <c r="AX309" t="s">
        <v>74</v>
      </c>
      <c r="AY309" t="s">
        <v>74</v>
      </c>
      <c r="AZ309" t="s">
        <v>74</v>
      </c>
      <c r="BA309" t="s">
        <v>74</v>
      </c>
      <c r="BB309">
        <v>183</v>
      </c>
      <c r="BC309">
        <v>199</v>
      </c>
      <c r="BD309" t="s">
        <v>74</v>
      </c>
      <c r="BE309" t="s">
        <v>5526</v>
      </c>
      <c r="BF309" t="str">
        <f>HYPERLINK("http://dx.doi.org/10.1016/0166-4972(91)90033-Z","http://dx.doi.org/10.1016/0166-4972(91)90033-Z")</f>
        <v>http://dx.doi.org/10.1016/0166-4972(91)90033-Z</v>
      </c>
      <c r="BG309" t="s">
        <v>74</v>
      </c>
      <c r="BH309" t="s">
        <v>74</v>
      </c>
      <c r="BI309">
        <v>17</v>
      </c>
      <c r="BJ309" t="s">
        <v>2333</v>
      </c>
      <c r="BK309" t="s">
        <v>283</v>
      </c>
      <c r="BL309" t="s">
        <v>1481</v>
      </c>
      <c r="BM309" t="s">
        <v>5527</v>
      </c>
      <c r="BN309" t="s">
        <v>74</v>
      </c>
      <c r="BO309" t="s">
        <v>74</v>
      </c>
      <c r="BP309" t="s">
        <v>74</v>
      </c>
      <c r="BQ309" t="s">
        <v>74</v>
      </c>
      <c r="BR309" t="s">
        <v>97</v>
      </c>
      <c r="BS309" t="s">
        <v>5528</v>
      </c>
      <c r="BT309" t="str">
        <f>HYPERLINK("https%3A%2F%2Fwww.webofscience.com%2Fwos%2Fwoscc%2Ffull-record%2FWOS:A1991FR73400004","View Full Record in Web of Science")</f>
        <v>View Full Record in Web of Science</v>
      </c>
    </row>
    <row r="310" spans="1:72" x14ac:dyDescent="0.25">
      <c r="A310" t="s">
        <v>72</v>
      </c>
      <c r="B310" t="s">
        <v>5529</v>
      </c>
      <c r="C310" t="s">
        <v>74</v>
      </c>
      <c r="D310" t="s">
        <v>74</v>
      </c>
      <c r="E310" t="s">
        <v>74</v>
      </c>
      <c r="F310" t="s">
        <v>5530</v>
      </c>
      <c r="G310" t="s">
        <v>74</v>
      </c>
      <c r="H310" t="s">
        <v>74</v>
      </c>
      <c r="I310" t="s">
        <v>5531</v>
      </c>
      <c r="J310" t="s">
        <v>5532</v>
      </c>
      <c r="K310" t="s">
        <v>74</v>
      </c>
      <c r="L310" t="s">
        <v>74</v>
      </c>
      <c r="M310" t="s">
        <v>77</v>
      </c>
      <c r="N310" t="s">
        <v>78</v>
      </c>
      <c r="O310" t="s">
        <v>74</v>
      </c>
      <c r="P310" t="s">
        <v>74</v>
      </c>
      <c r="Q310" t="s">
        <v>74</v>
      </c>
      <c r="R310" t="s">
        <v>74</v>
      </c>
      <c r="S310" t="s">
        <v>74</v>
      </c>
      <c r="T310" t="s">
        <v>74</v>
      </c>
      <c r="U310" t="s">
        <v>5533</v>
      </c>
      <c r="V310" t="s">
        <v>5534</v>
      </c>
      <c r="W310" t="s">
        <v>5535</v>
      </c>
      <c r="X310" t="s">
        <v>5536</v>
      </c>
      <c r="Y310" t="s">
        <v>5537</v>
      </c>
      <c r="Z310" t="s">
        <v>5538</v>
      </c>
      <c r="AA310" t="s">
        <v>74</v>
      </c>
      <c r="AB310" t="s">
        <v>74</v>
      </c>
      <c r="AC310" t="s">
        <v>74</v>
      </c>
      <c r="AD310" t="s">
        <v>74</v>
      </c>
      <c r="AE310" t="s">
        <v>74</v>
      </c>
      <c r="AF310" t="s">
        <v>74</v>
      </c>
      <c r="AG310">
        <v>76</v>
      </c>
      <c r="AH310">
        <v>28</v>
      </c>
      <c r="AI310">
        <v>28</v>
      </c>
      <c r="AJ310">
        <v>21</v>
      </c>
      <c r="AK310">
        <v>75</v>
      </c>
      <c r="AL310" t="s">
        <v>218</v>
      </c>
      <c r="AM310" t="s">
        <v>219</v>
      </c>
      <c r="AN310" t="s">
        <v>220</v>
      </c>
      <c r="AO310" t="s">
        <v>5539</v>
      </c>
      <c r="AP310" t="s">
        <v>5540</v>
      </c>
      <c r="AQ310" t="s">
        <v>74</v>
      </c>
      <c r="AR310" t="s">
        <v>5541</v>
      </c>
      <c r="AS310" t="s">
        <v>5542</v>
      </c>
      <c r="AT310" t="s">
        <v>496</v>
      </c>
      <c r="AU310">
        <v>2021</v>
      </c>
      <c r="AV310">
        <v>51</v>
      </c>
      <c r="AW310">
        <v>4</v>
      </c>
      <c r="AX310" t="s">
        <v>74</v>
      </c>
      <c r="AY310" t="s">
        <v>74</v>
      </c>
      <c r="AZ310" t="s">
        <v>860</v>
      </c>
      <c r="BA310" t="s">
        <v>74</v>
      </c>
      <c r="BB310">
        <v>364</v>
      </c>
      <c r="BC310">
        <v>380</v>
      </c>
      <c r="BD310" t="s">
        <v>74</v>
      </c>
      <c r="BE310" t="s">
        <v>5543</v>
      </c>
      <c r="BF310" t="str">
        <f>HYPERLINK("http://dx.doi.org/10.1111/radm.12471","http://dx.doi.org/10.1111/radm.12471")</f>
        <v>http://dx.doi.org/10.1111/radm.12471</v>
      </c>
      <c r="BG310" t="s">
        <v>74</v>
      </c>
      <c r="BH310" t="s">
        <v>5544</v>
      </c>
      <c r="BI310">
        <v>17</v>
      </c>
      <c r="BJ310" t="s">
        <v>93</v>
      </c>
      <c r="BK310" t="s">
        <v>94</v>
      </c>
      <c r="BL310" t="s">
        <v>95</v>
      </c>
      <c r="BM310" t="s">
        <v>5545</v>
      </c>
      <c r="BN310" t="s">
        <v>74</v>
      </c>
      <c r="BO310" t="s">
        <v>408</v>
      </c>
      <c r="BP310" t="s">
        <v>74</v>
      </c>
      <c r="BQ310" t="s">
        <v>74</v>
      </c>
      <c r="BR310" t="s">
        <v>97</v>
      </c>
      <c r="BS310" t="s">
        <v>5546</v>
      </c>
      <c r="BT310" t="str">
        <f>HYPERLINK("https%3A%2F%2Fwww.webofscience.com%2Fwos%2Fwoscc%2Ffull-record%2FWOS:000634656300001","View Full Record in Web of Science")</f>
        <v>View Full Record in Web of Science</v>
      </c>
    </row>
    <row r="311" spans="1:72" x14ac:dyDescent="0.25">
      <c r="A311" t="s">
        <v>72</v>
      </c>
      <c r="B311" t="s">
        <v>5547</v>
      </c>
      <c r="C311" t="s">
        <v>74</v>
      </c>
      <c r="D311" t="s">
        <v>74</v>
      </c>
      <c r="E311" t="s">
        <v>74</v>
      </c>
      <c r="F311" t="s">
        <v>5548</v>
      </c>
      <c r="G311" t="s">
        <v>74</v>
      </c>
      <c r="H311" t="s">
        <v>74</v>
      </c>
      <c r="I311" t="s">
        <v>5549</v>
      </c>
      <c r="J311" t="s">
        <v>4134</v>
      </c>
      <c r="K311" t="s">
        <v>74</v>
      </c>
      <c r="L311" t="s">
        <v>74</v>
      </c>
      <c r="M311" t="s">
        <v>77</v>
      </c>
      <c r="N311" t="s">
        <v>78</v>
      </c>
      <c r="O311" t="s">
        <v>74</v>
      </c>
      <c r="P311" t="s">
        <v>74</v>
      </c>
      <c r="Q311" t="s">
        <v>74</v>
      </c>
      <c r="R311" t="s">
        <v>74</v>
      </c>
      <c r="S311" t="s">
        <v>74</v>
      </c>
      <c r="T311" t="s">
        <v>5550</v>
      </c>
      <c r="U311" t="s">
        <v>5551</v>
      </c>
      <c r="V311" t="s">
        <v>5552</v>
      </c>
      <c r="W311" t="s">
        <v>5553</v>
      </c>
      <c r="X311" t="s">
        <v>5554</v>
      </c>
      <c r="Y311" t="s">
        <v>5555</v>
      </c>
      <c r="Z311" t="s">
        <v>5556</v>
      </c>
      <c r="AA311" t="s">
        <v>5557</v>
      </c>
      <c r="AB311" t="s">
        <v>5558</v>
      </c>
      <c r="AC311" t="s">
        <v>4611</v>
      </c>
      <c r="AD311" t="s">
        <v>3508</v>
      </c>
      <c r="AE311" t="s">
        <v>5559</v>
      </c>
      <c r="AF311" t="s">
        <v>74</v>
      </c>
      <c r="AG311">
        <v>134</v>
      </c>
      <c r="AH311">
        <v>28</v>
      </c>
      <c r="AI311">
        <v>28</v>
      </c>
      <c r="AJ311">
        <v>24</v>
      </c>
      <c r="AK311">
        <v>131</v>
      </c>
      <c r="AL311" t="s">
        <v>665</v>
      </c>
      <c r="AM311" t="s">
        <v>666</v>
      </c>
      <c r="AN311" t="s">
        <v>667</v>
      </c>
      <c r="AO311" t="s">
        <v>4144</v>
      </c>
      <c r="AP311" t="s">
        <v>4145</v>
      </c>
      <c r="AQ311" t="s">
        <v>74</v>
      </c>
      <c r="AR311" t="s">
        <v>4146</v>
      </c>
      <c r="AS311" t="s">
        <v>4147</v>
      </c>
      <c r="AT311" t="s">
        <v>5560</v>
      </c>
      <c r="AU311">
        <v>2021</v>
      </c>
      <c r="AV311">
        <v>24</v>
      </c>
      <c r="AW311">
        <v>4</v>
      </c>
      <c r="AX311" t="s">
        <v>74</v>
      </c>
      <c r="AY311" t="s">
        <v>74</v>
      </c>
      <c r="AZ311" t="s">
        <v>74</v>
      </c>
      <c r="BA311" t="s">
        <v>74</v>
      </c>
      <c r="BB311">
        <v>1354</v>
      </c>
      <c r="BC311">
        <v>1378</v>
      </c>
      <c r="BD311" t="s">
        <v>74</v>
      </c>
      <c r="BE311" t="s">
        <v>5561</v>
      </c>
      <c r="BF311" t="str">
        <f>HYPERLINK("http://dx.doi.org/10.1108/EJIM-01-2020-0005","http://dx.doi.org/10.1108/EJIM-01-2020-0005")</f>
        <v>http://dx.doi.org/10.1108/EJIM-01-2020-0005</v>
      </c>
      <c r="BG311" t="s">
        <v>74</v>
      </c>
      <c r="BH311" t="s">
        <v>4876</v>
      </c>
      <c r="BI311">
        <v>25</v>
      </c>
      <c r="BJ311" t="s">
        <v>93</v>
      </c>
      <c r="BK311" t="s">
        <v>94</v>
      </c>
      <c r="BL311" t="s">
        <v>95</v>
      </c>
      <c r="BM311" t="s">
        <v>5562</v>
      </c>
      <c r="BN311" t="s">
        <v>74</v>
      </c>
      <c r="BO311" t="s">
        <v>74</v>
      </c>
      <c r="BP311" t="s">
        <v>74</v>
      </c>
      <c r="BQ311" t="s">
        <v>74</v>
      </c>
      <c r="BR311" t="s">
        <v>97</v>
      </c>
      <c r="BS311" t="s">
        <v>5563</v>
      </c>
      <c r="BT311" t="str">
        <f>HYPERLINK("https%3A%2F%2Fwww.webofscience.com%2Fwos%2Fwoscc%2Ffull-record%2FWOS:000552853500001","View Full Record in Web of Science")</f>
        <v>View Full Record in Web of Science</v>
      </c>
    </row>
    <row r="312" spans="1:72" x14ac:dyDescent="0.25">
      <c r="A312" t="s">
        <v>72</v>
      </c>
      <c r="B312" t="s">
        <v>5564</v>
      </c>
      <c r="C312" t="s">
        <v>74</v>
      </c>
      <c r="D312" t="s">
        <v>74</v>
      </c>
      <c r="E312" t="s">
        <v>74</v>
      </c>
      <c r="F312" t="s">
        <v>5565</v>
      </c>
      <c r="G312" t="s">
        <v>74</v>
      </c>
      <c r="H312" t="s">
        <v>74</v>
      </c>
      <c r="I312" t="s">
        <v>5566</v>
      </c>
      <c r="J312" t="s">
        <v>2365</v>
      </c>
      <c r="K312" t="s">
        <v>74</v>
      </c>
      <c r="L312" t="s">
        <v>74</v>
      </c>
      <c r="M312" t="s">
        <v>77</v>
      </c>
      <c r="N312" t="s">
        <v>78</v>
      </c>
      <c r="O312" t="s">
        <v>74</v>
      </c>
      <c r="P312" t="s">
        <v>74</v>
      </c>
      <c r="Q312" t="s">
        <v>74</v>
      </c>
      <c r="R312" t="s">
        <v>74</v>
      </c>
      <c r="S312" t="s">
        <v>74</v>
      </c>
      <c r="T312" t="s">
        <v>5567</v>
      </c>
      <c r="U312" t="s">
        <v>5568</v>
      </c>
      <c r="V312" t="s">
        <v>5569</v>
      </c>
      <c r="W312" t="s">
        <v>5570</v>
      </c>
      <c r="X312" t="s">
        <v>5571</v>
      </c>
      <c r="Y312" t="s">
        <v>5572</v>
      </c>
      <c r="Z312" t="s">
        <v>5573</v>
      </c>
      <c r="AA312" t="s">
        <v>5574</v>
      </c>
      <c r="AB312" t="s">
        <v>5575</v>
      </c>
      <c r="AC312" t="s">
        <v>5576</v>
      </c>
      <c r="AD312" t="s">
        <v>5577</v>
      </c>
      <c r="AE312" t="s">
        <v>5578</v>
      </c>
      <c r="AF312" t="s">
        <v>74</v>
      </c>
      <c r="AG312">
        <v>133</v>
      </c>
      <c r="AH312">
        <v>28</v>
      </c>
      <c r="AI312">
        <v>28</v>
      </c>
      <c r="AJ312">
        <v>1</v>
      </c>
      <c r="AK312">
        <v>34</v>
      </c>
      <c r="AL312" t="s">
        <v>329</v>
      </c>
      <c r="AM312" t="s">
        <v>330</v>
      </c>
      <c r="AN312" t="s">
        <v>331</v>
      </c>
      <c r="AO312" t="s">
        <v>2375</v>
      </c>
      <c r="AP312" t="s">
        <v>2376</v>
      </c>
      <c r="AQ312" t="s">
        <v>74</v>
      </c>
      <c r="AR312" t="s">
        <v>2377</v>
      </c>
      <c r="AS312" t="s">
        <v>2378</v>
      </c>
      <c r="AT312" t="s">
        <v>584</v>
      </c>
      <c r="AU312">
        <v>2019</v>
      </c>
      <c r="AV312">
        <v>148</v>
      </c>
      <c r="AW312" t="s">
        <v>74</v>
      </c>
      <c r="AX312" t="s">
        <v>74</v>
      </c>
      <c r="AY312" t="s">
        <v>74</v>
      </c>
      <c r="AZ312" t="s">
        <v>74</v>
      </c>
      <c r="BA312" t="s">
        <v>74</v>
      </c>
      <c r="BB312" t="s">
        <v>74</v>
      </c>
      <c r="BC312" t="s">
        <v>74</v>
      </c>
      <c r="BD312">
        <v>119716</v>
      </c>
      <c r="BE312" t="s">
        <v>5579</v>
      </c>
      <c r="BF312" t="str">
        <f>HYPERLINK("http://dx.doi.org/10.1016/j.techfore.2019.119716","http://dx.doi.org/10.1016/j.techfore.2019.119716")</f>
        <v>http://dx.doi.org/10.1016/j.techfore.2019.119716</v>
      </c>
      <c r="BG312" t="s">
        <v>74</v>
      </c>
      <c r="BH312" t="s">
        <v>74</v>
      </c>
      <c r="BI312">
        <v>13</v>
      </c>
      <c r="BJ312" t="s">
        <v>2380</v>
      </c>
      <c r="BK312" t="s">
        <v>94</v>
      </c>
      <c r="BL312" t="s">
        <v>2246</v>
      </c>
      <c r="BM312" t="s">
        <v>5580</v>
      </c>
      <c r="BN312" t="s">
        <v>74</v>
      </c>
      <c r="BO312" t="s">
        <v>74</v>
      </c>
      <c r="BP312" t="s">
        <v>74</v>
      </c>
      <c r="BQ312" t="s">
        <v>74</v>
      </c>
      <c r="BR312" t="s">
        <v>97</v>
      </c>
      <c r="BS312" t="s">
        <v>5581</v>
      </c>
      <c r="BT312" t="str">
        <f>HYPERLINK("https%3A%2F%2Fwww.webofscience.com%2Fwos%2Fwoscc%2Ffull-record%2FWOS:000502883400005","View Full Record in Web of Science")</f>
        <v>View Full Record in Web of Science</v>
      </c>
    </row>
    <row r="313" spans="1:72" x14ac:dyDescent="0.25">
      <c r="A313" t="s">
        <v>72</v>
      </c>
      <c r="B313" t="s">
        <v>5582</v>
      </c>
      <c r="C313" t="s">
        <v>74</v>
      </c>
      <c r="D313" t="s">
        <v>74</v>
      </c>
      <c r="E313" t="s">
        <v>74</v>
      </c>
      <c r="F313" t="s">
        <v>5583</v>
      </c>
      <c r="G313" t="s">
        <v>74</v>
      </c>
      <c r="H313" t="s">
        <v>74</v>
      </c>
      <c r="I313" t="s">
        <v>5584</v>
      </c>
      <c r="J313" t="s">
        <v>4081</v>
      </c>
      <c r="K313" t="s">
        <v>74</v>
      </c>
      <c r="L313" t="s">
        <v>74</v>
      </c>
      <c r="M313" t="s">
        <v>77</v>
      </c>
      <c r="N313" t="s">
        <v>78</v>
      </c>
      <c r="O313" t="s">
        <v>74</v>
      </c>
      <c r="P313" t="s">
        <v>74</v>
      </c>
      <c r="Q313" t="s">
        <v>74</v>
      </c>
      <c r="R313" t="s">
        <v>74</v>
      </c>
      <c r="S313" t="s">
        <v>74</v>
      </c>
      <c r="T313" t="s">
        <v>5585</v>
      </c>
      <c r="U313" t="s">
        <v>5586</v>
      </c>
      <c r="V313" t="s">
        <v>5587</v>
      </c>
      <c r="W313" t="s">
        <v>5588</v>
      </c>
      <c r="X313" t="s">
        <v>5589</v>
      </c>
      <c r="Y313" t="s">
        <v>5590</v>
      </c>
      <c r="Z313" t="s">
        <v>5591</v>
      </c>
      <c r="AA313" t="s">
        <v>74</v>
      </c>
      <c r="AB313" t="s">
        <v>74</v>
      </c>
      <c r="AC313" t="s">
        <v>5592</v>
      </c>
      <c r="AD313" t="s">
        <v>5593</v>
      </c>
      <c r="AE313" t="s">
        <v>5594</v>
      </c>
      <c r="AF313" t="s">
        <v>74</v>
      </c>
      <c r="AG313">
        <v>34</v>
      </c>
      <c r="AH313">
        <v>28</v>
      </c>
      <c r="AI313">
        <v>29</v>
      </c>
      <c r="AJ313">
        <v>18</v>
      </c>
      <c r="AK313">
        <v>101</v>
      </c>
      <c r="AL313" t="s">
        <v>218</v>
      </c>
      <c r="AM313" t="s">
        <v>219</v>
      </c>
      <c r="AN313" t="s">
        <v>220</v>
      </c>
      <c r="AO313" t="s">
        <v>4093</v>
      </c>
      <c r="AP313" t="s">
        <v>4094</v>
      </c>
      <c r="AQ313" t="s">
        <v>74</v>
      </c>
      <c r="AR313" t="s">
        <v>4095</v>
      </c>
      <c r="AS313" t="s">
        <v>4096</v>
      </c>
      <c r="AT313" t="s">
        <v>584</v>
      </c>
      <c r="AU313">
        <v>2019</v>
      </c>
      <c r="AV313">
        <v>27</v>
      </c>
      <c r="AW313">
        <v>8</v>
      </c>
      <c r="AX313" t="s">
        <v>74</v>
      </c>
      <c r="AY313" t="s">
        <v>74</v>
      </c>
      <c r="AZ313" t="s">
        <v>74</v>
      </c>
      <c r="BA313" t="s">
        <v>74</v>
      </c>
      <c r="BB313">
        <v>1801</v>
      </c>
      <c r="BC313">
        <v>1808</v>
      </c>
      <c r="BD313" t="s">
        <v>74</v>
      </c>
      <c r="BE313" t="s">
        <v>5595</v>
      </c>
      <c r="BF313" t="str">
        <f>HYPERLINK("http://dx.doi.org/10.1111/jonm.12879","http://dx.doi.org/10.1111/jonm.12879")</f>
        <v>http://dx.doi.org/10.1111/jonm.12879</v>
      </c>
      <c r="BG313" t="s">
        <v>74</v>
      </c>
      <c r="BH313" t="s">
        <v>4443</v>
      </c>
      <c r="BI313">
        <v>8</v>
      </c>
      <c r="BJ313" t="s">
        <v>4098</v>
      </c>
      <c r="BK313" t="s">
        <v>147</v>
      </c>
      <c r="BL313" t="s">
        <v>4099</v>
      </c>
      <c r="BM313" t="s">
        <v>5596</v>
      </c>
      <c r="BN313">
        <v>31556172</v>
      </c>
      <c r="BO313" t="s">
        <v>2482</v>
      </c>
      <c r="BP313" t="s">
        <v>74</v>
      </c>
      <c r="BQ313" t="s">
        <v>74</v>
      </c>
      <c r="BR313" t="s">
        <v>97</v>
      </c>
      <c r="BS313" t="s">
        <v>5597</v>
      </c>
      <c r="BT313" t="str">
        <f>HYPERLINK("https%3A%2F%2Fwww.webofscience.com%2Fwos%2Fwoscc%2Ffull-record%2FWOS:000490853200001","View Full Record in Web of Science")</f>
        <v>View Full Record in Web of Science</v>
      </c>
    </row>
    <row r="314" spans="1:72" x14ac:dyDescent="0.25">
      <c r="A314" t="s">
        <v>72</v>
      </c>
      <c r="B314" t="s">
        <v>5598</v>
      </c>
      <c r="C314" t="s">
        <v>74</v>
      </c>
      <c r="D314" t="s">
        <v>74</v>
      </c>
      <c r="E314" t="s">
        <v>74</v>
      </c>
      <c r="F314" t="s">
        <v>5599</v>
      </c>
      <c r="G314" t="s">
        <v>74</v>
      </c>
      <c r="H314" t="s">
        <v>74</v>
      </c>
      <c r="I314" t="s">
        <v>5600</v>
      </c>
      <c r="J314" t="s">
        <v>4134</v>
      </c>
      <c r="K314" t="s">
        <v>74</v>
      </c>
      <c r="L314" t="s">
        <v>74</v>
      </c>
      <c r="M314" t="s">
        <v>77</v>
      </c>
      <c r="N314" t="s">
        <v>78</v>
      </c>
      <c r="O314" t="s">
        <v>74</v>
      </c>
      <c r="P314" t="s">
        <v>74</v>
      </c>
      <c r="Q314" t="s">
        <v>74</v>
      </c>
      <c r="R314" t="s">
        <v>74</v>
      </c>
      <c r="S314" t="s">
        <v>74</v>
      </c>
      <c r="T314" t="s">
        <v>5601</v>
      </c>
      <c r="U314" t="s">
        <v>5602</v>
      </c>
      <c r="V314" t="s">
        <v>5603</v>
      </c>
      <c r="W314" t="s">
        <v>5604</v>
      </c>
      <c r="X314" t="s">
        <v>5605</v>
      </c>
      <c r="Y314" t="s">
        <v>5606</v>
      </c>
      <c r="Z314" t="s">
        <v>5607</v>
      </c>
      <c r="AA314" t="s">
        <v>5608</v>
      </c>
      <c r="AB314" t="s">
        <v>5609</v>
      </c>
      <c r="AC314" t="s">
        <v>74</v>
      </c>
      <c r="AD314" t="s">
        <v>74</v>
      </c>
      <c r="AE314" t="s">
        <v>74</v>
      </c>
      <c r="AF314" t="s">
        <v>74</v>
      </c>
      <c r="AG314">
        <v>91</v>
      </c>
      <c r="AH314">
        <v>28</v>
      </c>
      <c r="AI314">
        <v>28</v>
      </c>
      <c r="AJ314">
        <v>3</v>
      </c>
      <c r="AK314">
        <v>59</v>
      </c>
      <c r="AL314" t="s">
        <v>665</v>
      </c>
      <c r="AM314" t="s">
        <v>666</v>
      </c>
      <c r="AN314" t="s">
        <v>667</v>
      </c>
      <c r="AO314" t="s">
        <v>4144</v>
      </c>
      <c r="AP314" t="s">
        <v>4145</v>
      </c>
      <c r="AQ314" t="s">
        <v>74</v>
      </c>
      <c r="AR314" t="s">
        <v>4146</v>
      </c>
      <c r="AS314" t="s">
        <v>4147</v>
      </c>
      <c r="AT314" t="s">
        <v>4636</v>
      </c>
      <c r="AU314">
        <v>2019</v>
      </c>
      <c r="AV314">
        <v>22</v>
      </c>
      <c r="AW314">
        <v>1</v>
      </c>
      <c r="AX314" t="s">
        <v>74</v>
      </c>
      <c r="AY314" t="s">
        <v>74</v>
      </c>
      <c r="AZ314" t="s">
        <v>74</v>
      </c>
      <c r="BA314" t="s">
        <v>74</v>
      </c>
      <c r="BB314">
        <v>193</v>
      </c>
      <c r="BC314">
        <v>212</v>
      </c>
      <c r="BD314" t="s">
        <v>74</v>
      </c>
      <c r="BE314" t="s">
        <v>5610</v>
      </c>
      <c r="BF314" t="str">
        <f>HYPERLINK("http://dx.doi.org/10.1108/EJIM-08-2017-0103","http://dx.doi.org/10.1108/EJIM-08-2017-0103")</f>
        <v>http://dx.doi.org/10.1108/EJIM-08-2017-0103</v>
      </c>
      <c r="BG314" t="s">
        <v>74</v>
      </c>
      <c r="BH314" t="s">
        <v>74</v>
      </c>
      <c r="BI314">
        <v>20</v>
      </c>
      <c r="BJ314" t="s">
        <v>93</v>
      </c>
      <c r="BK314" t="s">
        <v>94</v>
      </c>
      <c r="BL314" t="s">
        <v>95</v>
      </c>
      <c r="BM314" t="s">
        <v>4638</v>
      </c>
      <c r="BN314" t="s">
        <v>74</v>
      </c>
      <c r="BO314" t="s">
        <v>74</v>
      </c>
      <c r="BP314" t="s">
        <v>74</v>
      </c>
      <c r="BQ314" t="s">
        <v>74</v>
      </c>
      <c r="BR314" t="s">
        <v>97</v>
      </c>
      <c r="BS314" t="s">
        <v>5611</v>
      </c>
      <c r="BT314" t="str">
        <f>HYPERLINK("https%3A%2F%2Fwww.webofscience.com%2Fwos%2Fwoscc%2Ffull-record%2FWOS:000454910000010","View Full Record in Web of Science")</f>
        <v>View Full Record in Web of Science</v>
      </c>
    </row>
    <row r="315" spans="1:72" x14ac:dyDescent="0.25">
      <c r="A315" t="s">
        <v>72</v>
      </c>
      <c r="B315" t="s">
        <v>5612</v>
      </c>
      <c r="C315" t="s">
        <v>74</v>
      </c>
      <c r="D315" t="s">
        <v>74</v>
      </c>
      <c r="E315" t="s">
        <v>74</v>
      </c>
      <c r="F315" t="s">
        <v>5613</v>
      </c>
      <c r="G315" t="s">
        <v>74</v>
      </c>
      <c r="H315" t="s">
        <v>74</v>
      </c>
      <c r="I315" t="s">
        <v>5614</v>
      </c>
      <c r="J315" t="s">
        <v>5615</v>
      </c>
      <c r="K315" t="s">
        <v>74</v>
      </c>
      <c r="L315" t="s">
        <v>74</v>
      </c>
      <c r="M315" t="s">
        <v>77</v>
      </c>
      <c r="N315" t="s">
        <v>78</v>
      </c>
      <c r="O315" t="s">
        <v>74</v>
      </c>
      <c r="P315" t="s">
        <v>74</v>
      </c>
      <c r="Q315" t="s">
        <v>74</v>
      </c>
      <c r="R315" t="s">
        <v>74</v>
      </c>
      <c r="S315" t="s">
        <v>74</v>
      </c>
      <c r="T315" t="s">
        <v>5616</v>
      </c>
      <c r="U315" t="s">
        <v>5617</v>
      </c>
      <c r="V315" t="s">
        <v>5618</v>
      </c>
      <c r="W315" t="s">
        <v>5619</v>
      </c>
      <c r="X315" t="s">
        <v>5620</v>
      </c>
      <c r="Y315" t="s">
        <v>5621</v>
      </c>
      <c r="Z315" t="s">
        <v>5622</v>
      </c>
      <c r="AA315" t="s">
        <v>5623</v>
      </c>
      <c r="AB315" t="s">
        <v>5624</v>
      </c>
      <c r="AC315" t="s">
        <v>74</v>
      </c>
      <c r="AD315" t="s">
        <v>74</v>
      </c>
      <c r="AE315" t="s">
        <v>74</v>
      </c>
      <c r="AF315" t="s">
        <v>74</v>
      </c>
      <c r="AG315">
        <v>99</v>
      </c>
      <c r="AH315">
        <v>28</v>
      </c>
      <c r="AI315">
        <v>28</v>
      </c>
      <c r="AJ315">
        <v>7</v>
      </c>
      <c r="AK315">
        <v>83</v>
      </c>
      <c r="AL315" t="s">
        <v>665</v>
      </c>
      <c r="AM315" t="s">
        <v>666</v>
      </c>
      <c r="AN315" t="s">
        <v>667</v>
      </c>
      <c r="AO315" t="s">
        <v>5625</v>
      </c>
      <c r="AP315" t="s">
        <v>5626</v>
      </c>
      <c r="AQ315" t="s">
        <v>74</v>
      </c>
      <c r="AR315" t="s">
        <v>5627</v>
      </c>
      <c r="AS315" t="s">
        <v>5628</v>
      </c>
      <c r="AT315" t="s">
        <v>74</v>
      </c>
      <c r="AU315">
        <v>2018</v>
      </c>
      <c r="AV315">
        <v>12</v>
      </c>
      <c r="AW315">
        <v>2</v>
      </c>
      <c r="AX315" t="s">
        <v>74</v>
      </c>
      <c r="AY315" t="s">
        <v>74</v>
      </c>
      <c r="AZ315" t="s">
        <v>74</v>
      </c>
      <c r="BA315" t="s">
        <v>74</v>
      </c>
      <c r="BB315">
        <v>433</v>
      </c>
      <c r="BC315">
        <v>452</v>
      </c>
      <c r="BD315" t="s">
        <v>74</v>
      </c>
      <c r="BE315" t="s">
        <v>5629</v>
      </c>
      <c r="BF315" t="str">
        <f>HYPERLINK("http://dx.doi.org/10.1108/CMS-04-2017-0108","http://dx.doi.org/10.1108/CMS-04-2017-0108")</f>
        <v>http://dx.doi.org/10.1108/CMS-04-2017-0108</v>
      </c>
      <c r="BG315" t="s">
        <v>74</v>
      </c>
      <c r="BH315" t="s">
        <v>74</v>
      </c>
      <c r="BI315">
        <v>20</v>
      </c>
      <c r="BJ315" t="s">
        <v>442</v>
      </c>
      <c r="BK315" t="s">
        <v>94</v>
      </c>
      <c r="BL315" t="s">
        <v>95</v>
      </c>
      <c r="BM315" t="s">
        <v>5630</v>
      </c>
      <c r="BN315" t="s">
        <v>74</v>
      </c>
      <c r="BO315" t="s">
        <v>74</v>
      </c>
      <c r="BP315" t="s">
        <v>74</v>
      </c>
      <c r="BQ315" t="s">
        <v>74</v>
      </c>
      <c r="BR315" t="s">
        <v>97</v>
      </c>
      <c r="BS315" t="s">
        <v>5631</v>
      </c>
      <c r="BT315" t="str">
        <f>HYPERLINK("https%3A%2F%2Fwww.webofscience.com%2Fwos%2Fwoscc%2Ffull-record%2FWOS:000432827600010","View Full Record in Web of Science")</f>
        <v>View Full Record in Web of Science</v>
      </c>
    </row>
    <row r="316" spans="1:72" x14ac:dyDescent="0.25">
      <c r="A316" t="s">
        <v>72</v>
      </c>
      <c r="B316" t="s">
        <v>5632</v>
      </c>
      <c r="C316" t="s">
        <v>74</v>
      </c>
      <c r="D316" t="s">
        <v>74</v>
      </c>
      <c r="E316" t="s">
        <v>74</v>
      </c>
      <c r="F316" t="s">
        <v>5633</v>
      </c>
      <c r="G316" t="s">
        <v>74</v>
      </c>
      <c r="H316" t="s">
        <v>74</v>
      </c>
      <c r="I316" t="s">
        <v>5634</v>
      </c>
      <c r="J316" t="s">
        <v>4464</v>
      </c>
      <c r="K316" t="s">
        <v>74</v>
      </c>
      <c r="L316" t="s">
        <v>74</v>
      </c>
      <c r="M316" t="s">
        <v>77</v>
      </c>
      <c r="N316" t="s">
        <v>78</v>
      </c>
      <c r="O316" t="s">
        <v>74</v>
      </c>
      <c r="P316" t="s">
        <v>74</v>
      </c>
      <c r="Q316" t="s">
        <v>74</v>
      </c>
      <c r="R316" t="s">
        <v>74</v>
      </c>
      <c r="S316" t="s">
        <v>74</v>
      </c>
      <c r="T316" t="s">
        <v>5635</v>
      </c>
      <c r="U316" t="s">
        <v>5636</v>
      </c>
      <c r="V316" t="s">
        <v>5637</v>
      </c>
      <c r="W316" t="s">
        <v>5638</v>
      </c>
      <c r="X316" t="s">
        <v>5639</v>
      </c>
      <c r="Y316" t="s">
        <v>5640</v>
      </c>
      <c r="Z316" t="s">
        <v>5641</v>
      </c>
      <c r="AA316" t="s">
        <v>74</v>
      </c>
      <c r="AB316" t="s">
        <v>5642</v>
      </c>
      <c r="AC316" t="s">
        <v>5643</v>
      </c>
      <c r="AD316" t="s">
        <v>5643</v>
      </c>
      <c r="AE316" t="s">
        <v>5644</v>
      </c>
      <c r="AF316" t="s">
        <v>74</v>
      </c>
      <c r="AG316">
        <v>58</v>
      </c>
      <c r="AH316">
        <v>28</v>
      </c>
      <c r="AI316">
        <v>29</v>
      </c>
      <c r="AJ316">
        <v>6</v>
      </c>
      <c r="AK316">
        <v>88</v>
      </c>
      <c r="AL316" t="s">
        <v>602</v>
      </c>
      <c r="AM316" t="s">
        <v>160</v>
      </c>
      <c r="AN316" t="s">
        <v>603</v>
      </c>
      <c r="AO316" t="s">
        <v>4474</v>
      </c>
      <c r="AP316" t="s">
        <v>4475</v>
      </c>
      <c r="AQ316" t="s">
        <v>74</v>
      </c>
      <c r="AR316" t="s">
        <v>4476</v>
      </c>
      <c r="AS316" t="s">
        <v>4477</v>
      </c>
      <c r="AT316" t="s">
        <v>200</v>
      </c>
      <c r="AU316">
        <v>2016</v>
      </c>
      <c r="AV316">
        <v>19</v>
      </c>
      <c r="AW316" t="s">
        <v>74</v>
      </c>
      <c r="AX316" t="s">
        <v>74</v>
      </c>
      <c r="AY316" t="s">
        <v>74</v>
      </c>
      <c r="AZ316" t="s">
        <v>74</v>
      </c>
      <c r="BA316" t="s">
        <v>74</v>
      </c>
      <c r="BB316">
        <v>49</v>
      </c>
      <c r="BC316">
        <v>59</v>
      </c>
      <c r="BD316" t="s">
        <v>74</v>
      </c>
      <c r="BE316" t="s">
        <v>5645</v>
      </c>
      <c r="BF316" t="str">
        <f>HYPERLINK("http://dx.doi.org/10.1016/j.tsc.2015.11.001","http://dx.doi.org/10.1016/j.tsc.2015.11.001")</f>
        <v>http://dx.doi.org/10.1016/j.tsc.2015.11.001</v>
      </c>
      <c r="BG316" t="s">
        <v>74</v>
      </c>
      <c r="BH316" t="s">
        <v>74</v>
      </c>
      <c r="BI316">
        <v>11</v>
      </c>
      <c r="BJ316" t="s">
        <v>815</v>
      </c>
      <c r="BK316" t="s">
        <v>94</v>
      </c>
      <c r="BL316" t="s">
        <v>815</v>
      </c>
      <c r="BM316" t="s">
        <v>5646</v>
      </c>
      <c r="BN316" t="s">
        <v>74</v>
      </c>
      <c r="BO316" t="s">
        <v>74</v>
      </c>
      <c r="BP316" t="s">
        <v>74</v>
      </c>
      <c r="BQ316" t="s">
        <v>74</v>
      </c>
      <c r="BR316" t="s">
        <v>97</v>
      </c>
      <c r="BS316" t="s">
        <v>5647</v>
      </c>
      <c r="BT316" t="str">
        <f>HYPERLINK("https%3A%2F%2Fwww.webofscience.com%2Fwos%2Fwoscc%2Ffull-record%2FWOS:000370242900007","View Full Record in Web of Science")</f>
        <v>View Full Record in Web of Science</v>
      </c>
    </row>
    <row r="317" spans="1:72" x14ac:dyDescent="0.25">
      <c r="A317" t="s">
        <v>72</v>
      </c>
      <c r="B317" t="s">
        <v>1583</v>
      </c>
      <c r="C317" t="s">
        <v>74</v>
      </c>
      <c r="D317" t="s">
        <v>74</v>
      </c>
      <c r="E317" t="s">
        <v>74</v>
      </c>
      <c r="F317" t="s">
        <v>1584</v>
      </c>
      <c r="G317" t="s">
        <v>74</v>
      </c>
      <c r="H317" t="s">
        <v>74</v>
      </c>
      <c r="I317" t="s">
        <v>5648</v>
      </c>
      <c r="J317" t="s">
        <v>5649</v>
      </c>
      <c r="K317" t="s">
        <v>74</v>
      </c>
      <c r="L317" t="s">
        <v>74</v>
      </c>
      <c r="M317" t="s">
        <v>77</v>
      </c>
      <c r="N317" t="s">
        <v>78</v>
      </c>
      <c r="O317" t="s">
        <v>74</v>
      </c>
      <c r="P317" t="s">
        <v>74</v>
      </c>
      <c r="Q317" t="s">
        <v>74</v>
      </c>
      <c r="R317" t="s">
        <v>74</v>
      </c>
      <c r="S317" t="s">
        <v>74</v>
      </c>
      <c r="T317" t="s">
        <v>5650</v>
      </c>
      <c r="U317" t="s">
        <v>5651</v>
      </c>
      <c r="V317" t="s">
        <v>5652</v>
      </c>
      <c r="W317" t="s">
        <v>1589</v>
      </c>
      <c r="X317" t="s">
        <v>1590</v>
      </c>
      <c r="Y317" t="s">
        <v>5653</v>
      </c>
      <c r="Z317" t="s">
        <v>1592</v>
      </c>
      <c r="AA317" t="s">
        <v>74</v>
      </c>
      <c r="AB317" t="s">
        <v>1593</v>
      </c>
      <c r="AC317" t="s">
        <v>74</v>
      </c>
      <c r="AD317" t="s">
        <v>74</v>
      </c>
      <c r="AE317" t="s">
        <v>74</v>
      </c>
      <c r="AF317" t="s">
        <v>74</v>
      </c>
      <c r="AG317">
        <v>65</v>
      </c>
      <c r="AH317">
        <v>28</v>
      </c>
      <c r="AI317">
        <v>29</v>
      </c>
      <c r="AJ317">
        <v>1</v>
      </c>
      <c r="AK317">
        <v>25</v>
      </c>
      <c r="AL317" t="s">
        <v>1099</v>
      </c>
      <c r="AM317" t="s">
        <v>305</v>
      </c>
      <c r="AN317" t="s">
        <v>1100</v>
      </c>
      <c r="AO317" t="s">
        <v>5654</v>
      </c>
      <c r="AP317" t="s">
        <v>5655</v>
      </c>
      <c r="AQ317" t="s">
        <v>74</v>
      </c>
      <c r="AR317" t="s">
        <v>5656</v>
      </c>
      <c r="AS317" t="s">
        <v>5657</v>
      </c>
      <c r="AT317" t="s">
        <v>74</v>
      </c>
      <c r="AU317">
        <v>2016</v>
      </c>
      <c r="AV317">
        <v>25</v>
      </c>
      <c r="AW317">
        <v>7</v>
      </c>
      <c r="AX317" t="s">
        <v>74</v>
      </c>
      <c r="AY317" t="s">
        <v>74</v>
      </c>
      <c r="AZ317" t="s">
        <v>74</v>
      </c>
      <c r="BA317" t="s">
        <v>74</v>
      </c>
      <c r="BB317">
        <v>631</v>
      </c>
      <c r="BC317">
        <v>650</v>
      </c>
      <c r="BD317" t="s">
        <v>74</v>
      </c>
      <c r="BE317" t="s">
        <v>5658</v>
      </c>
      <c r="BF317" t="str">
        <f>HYPERLINK("http://dx.doi.org/10.1080/10438599.2015.1108109","http://dx.doi.org/10.1080/10438599.2015.1108109")</f>
        <v>http://dx.doi.org/10.1080/10438599.2015.1108109</v>
      </c>
      <c r="BG317" t="s">
        <v>74</v>
      </c>
      <c r="BH317" t="s">
        <v>74</v>
      </c>
      <c r="BI317">
        <v>20</v>
      </c>
      <c r="BJ317" t="s">
        <v>2599</v>
      </c>
      <c r="BK317" t="s">
        <v>94</v>
      </c>
      <c r="BL317" t="s">
        <v>95</v>
      </c>
      <c r="BM317" t="s">
        <v>5659</v>
      </c>
      <c r="BN317" t="s">
        <v>74</v>
      </c>
      <c r="BO317" t="s">
        <v>111</v>
      </c>
      <c r="BP317" t="s">
        <v>74</v>
      </c>
      <c r="BQ317" t="s">
        <v>74</v>
      </c>
      <c r="BR317" t="s">
        <v>97</v>
      </c>
      <c r="BS317" t="s">
        <v>5660</v>
      </c>
      <c r="BT317" t="str">
        <f>HYPERLINK("https%3A%2F%2Fwww.webofscience.com%2Fwos%2Fwoscc%2Ffull-record%2FWOS:000410576000001","View Full Record in Web of Science")</f>
        <v>View Full Record in Web of Science</v>
      </c>
    </row>
    <row r="318" spans="1:72" x14ac:dyDescent="0.25">
      <c r="A318" t="s">
        <v>72</v>
      </c>
      <c r="B318" t="s">
        <v>5661</v>
      </c>
      <c r="C318" t="s">
        <v>74</v>
      </c>
      <c r="D318" t="s">
        <v>74</v>
      </c>
      <c r="E318" t="s">
        <v>74</v>
      </c>
      <c r="F318" t="s">
        <v>5662</v>
      </c>
      <c r="G318" t="s">
        <v>74</v>
      </c>
      <c r="H318" t="s">
        <v>74</v>
      </c>
      <c r="I318" t="s">
        <v>5663</v>
      </c>
      <c r="J318" t="s">
        <v>4134</v>
      </c>
      <c r="K318" t="s">
        <v>74</v>
      </c>
      <c r="L318" t="s">
        <v>74</v>
      </c>
      <c r="M318" t="s">
        <v>77</v>
      </c>
      <c r="N318" t="s">
        <v>78</v>
      </c>
      <c r="O318" t="s">
        <v>74</v>
      </c>
      <c r="P318" t="s">
        <v>74</v>
      </c>
      <c r="Q318" t="s">
        <v>74</v>
      </c>
      <c r="R318" t="s">
        <v>74</v>
      </c>
      <c r="S318" t="s">
        <v>74</v>
      </c>
      <c r="T318" t="s">
        <v>5664</v>
      </c>
      <c r="U318" t="s">
        <v>5665</v>
      </c>
      <c r="V318" t="s">
        <v>5666</v>
      </c>
      <c r="W318" t="s">
        <v>5667</v>
      </c>
      <c r="X318" t="s">
        <v>5668</v>
      </c>
      <c r="Y318" t="s">
        <v>5669</v>
      </c>
      <c r="Z318" t="s">
        <v>5670</v>
      </c>
      <c r="AA318" t="s">
        <v>74</v>
      </c>
      <c r="AB318" t="s">
        <v>74</v>
      </c>
      <c r="AC318" t="s">
        <v>74</v>
      </c>
      <c r="AD318" t="s">
        <v>74</v>
      </c>
      <c r="AE318" t="s">
        <v>74</v>
      </c>
      <c r="AF318" t="s">
        <v>74</v>
      </c>
      <c r="AG318">
        <v>79</v>
      </c>
      <c r="AH318">
        <v>28</v>
      </c>
      <c r="AI318">
        <v>29</v>
      </c>
      <c r="AJ318">
        <v>1</v>
      </c>
      <c r="AK318">
        <v>25</v>
      </c>
      <c r="AL318" t="s">
        <v>665</v>
      </c>
      <c r="AM318" t="s">
        <v>666</v>
      </c>
      <c r="AN318" t="s">
        <v>667</v>
      </c>
      <c r="AO318" t="s">
        <v>4144</v>
      </c>
      <c r="AP318" t="s">
        <v>4145</v>
      </c>
      <c r="AQ318" t="s">
        <v>74</v>
      </c>
      <c r="AR318" t="s">
        <v>4146</v>
      </c>
      <c r="AS318" t="s">
        <v>4147</v>
      </c>
      <c r="AT318" t="s">
        <v>74</v>
      </c>
      <c r="AU318">
        <v>2015</v>
      </c>
      <c r="AV318">
        <v>18</v>
      </c>
      <c r="AW318">
        <v>2</v>
      </c>
      <c r="AX318" t="s">
        <v>74</v>
      </c>
      <c r="AY318" t="s">
        <v>74</v>
      </c>
      <c r="AZ318" t="s">
        <v>74</v>
      </c>
      <c r="BA318" t="s">
        <v>74</v>
      </c>
      <c r="BB318">
        <v>195</v>
      </c>
      <c r="BC318" t="s">
        <v>2838</v>
      </c>
      <c r="BD318" t="s">
        <v>74</v>
      </c>
      <c r="BE318" t="s">
        <v>5671</v>
      </c>
      <c r="BF318" t="str">
        <f>HYPERLINK("http://dx.doi.org/10.1108/EJIM-02-2013-0015","http://dx.doi.org/10.1108/EJIM-02-2013-0015")</f>
        <v>http://dx.doi.org/10.1108/EJIM-02-2013-0015</v>
      </c>
      <c r="BG318" t="s">
        <v>74</v>
      </c>
      <c r="BH318" t="s">
        <v>74</v>
      </c>
      <c r="BI318">
        <v>24</v>
      </c>
      <c r="BJ318" t="s">
        <v>93</v>
      </c>
      <c r="BK318" t="s">
        <v>94</v>
      </c>
      <c r="BL318" t="s">
        <v>95</v>
      </c>
      <c r="BM318" t="s">
        <v>5672</v>
      </c>
      <c r="BN318" t="s">
        <v>74</v>
      </c>
      <c r="BO318" t="s">
        <v>74</v>
      </c>
      <c r="BP318" t="s">
        <v>74</v>
      </c>
      <c r="BQ318" t="s">
        <v>74</v>
      </c>
      <c r="BR318" t="s">
        <v>97</v>
      </c>
      <c r="BS318" t="s">
        <v>5673</v>
      </c>
      <c r="BT318" t="str">
        <f>HYPERLINK("https%3A%2F%2Fwww.webofscience.com%2Fwos%2Fwoscc%2Ffull-record%2FWOS:000212108400004","View Full Record in Web of Science")</f>
        <v>View Full Record in Web of Science</v>
      </c>
    </row>
    <row r="319" spans="1:72" x14ac:dyDescent="0.25">
      <c r="A319" t="s">
        <v>72</v>
      </c>
      <c r="B319" t="s">
        <v>5674</v>
      </c>
      <c r="C319" t="s">
        <v>74</v>
      </c>
      <c r="D319" t="s">
        <v>74</v>
      </c>
      <c r="E319" t="s">
        <v>74</v>
      </c>
      <c r="F319" t="s">
        <v>5675</v>
      </c>
      <c r="G319" t="s">
        <v>74</v>
      </c>
      <c r="H319" t="s">
        <v>74</v>
      </c>
      <c r="I319" t="s">
        <v>5676</v>
      </c>
      <c r="J319" t="s">
        <v>209</v>
      </c>
      <c r="K319" t="s">
        <v>74</v>
      </c>
      <c r="L319" t="s">
        <v>74</v>
      </c>
      <c r="M319" t="s">
        <v>77</v>
      </c>
      <c r="N319" t="s">
        <v>78</v>
      </c>
      <c r="O319" t="s">
        <v>74</v>
      </c>
      <c r="P319" t="s">
        <v>74</v>
      </c>
      <c r="Q319" t="s">
        <v>74</v>
      </c>
      <c r="R319" t="s">
        <v>74</v>
      </c>
      <c r="S319" t="s">
        <v>74</v>
      </c>
      <c r="T319" t="s">
        <v>5677</v>
      </c>
      <c r="U319" t="s">
        <v>5678</v>
      </c>
      <c r="V319" t="s">
        <v>5679</v>
      </c>
      <c r="W319" t="s">
        <v>5680</v>
      </c>
      <c r="X319" t="s">
        <v>5681</v>
      </c>
      <c r="Y319" t="s">
        <v>5682</v>
      </c>
      <c r="Z319" t="s">
        <v>5683</v>
      </c>
      <c r="AA319" t="s">
        <v>74</v>
      </c>
      <c r="AB319" t="s">
        <v>5684</v>
      </c>
      <c r="AC319" t="s">
        <v>74</v>
      </c>
      <c r="AD319" t="s">
        <v>74</v>
      </c>
      <c r="AE319" t="s">
        <v>74</v>
      </c>
      <c r="AF319" t="s">
        <v>74</v>
      </c>
      <c r="AG319">
        <v>110</v>
      </c>
      <c r="AH319">
        <v>28</v>
      </c>
      <c r="AI319">
        <v>28</v>
      </c>
      <c r="AJ319">
        <v>3</v>
      </c>
      <c r="AK319">
        <v>90</v>
      </c>
      <c r="AL319" t="s">
        <v>218</v>
      </c>
      <c r="AM319" t="s">
        <v>219</v>
      </c>
      <c r="AN319" t="s">
        <v>220</v>
      </c>
      <c r="AO319" t="s">
        <v>221</v>
      </c>
      <c r="AP319" t="s">
        <v>222</v>
      </c>
      <c r="AQ319" t="s">
        <v>74</v>
      </c>
      <c r="AR319" t="s">
        <v>223</v>
      </c>
      <c r="AS319" t="s">
        <v>224</v>
      </c>
      <c r="AT319" t="s">
        <v>165</v>
      </c>
      <c r="AU319">
        <v>2014</v>
      </c>
      <c r="AV319">
        <v>35</v>
      </c>
      <c r="AW319">
        <v>4</v>
      </c>
      <c r="AX319" t="s">
        <v>74</v>
      </c>
      <c r="AY319" t="s">
        <v>74</v>
      </c>
      <c r="AZ319" t="s">
        <v>74</v>
      </c>
      <c r="BA319" t="s">
        <v>74</v>
      </c>
      <c r="BB319">
        <v>464</v>
      </c>
      <c r="BC319">
        <v>488</v>
      </c>
      <c r="BD319" t="s">
        <v>74</v>
      </c>
      <c r="BE319" t="s">
        <v>5685</v>
      </c>
      <c r="BF319" t="str">
        <f>HYPERLINK("http://dx.doi.org/10.1002/job.1899","http://dx.doi.org/10.1002/job.1899")</f>
        <v>http://dx.doi.org/10.1002/job.1899</v>
      </c>
      <c r="BG319" t="s">
        <v>74</v>
      </c>
      <c r="BH319" t="s">
        <v>74</v>
      </c>
      <c r="BI319">
        <v>25</v>
      </c>
      <c r="BJ319" t="s">
        <v>226</v>
      </c>
      <c r="BK319" t="s">
        <v>94</v>
      </c>
      <c r="BL319" t="s">
        <v>227</v>
      </c>
      <c r="BM319" t="s">
        <v>5686</v>
      </c>
      <c r="BN319" t="s">
        <v>74</v>
      </c>
      <c r="BO319" t="s">
        <v>74</v>
      </c>
      <c r="BP319" t="s">
        <v>74</v>
      </c>
      <c r="BQ319" t="s">
        <v>74</v>
      </c>
      <c r="BR319" t="s">
        <v>97</v>
      </c>
      <c r="BS319" t="s">
        <v>5687</v>
      </c>
      <c r="BT319" t="str">
        <f>HYPERLINK("https%3A%2F%2Fwww.webofscience.com%2Fwos%2Fwoscc%2Ffull-record%2FWOS:000334430900002","View Full Record in Web of Science")</f>
        <v>View Full Record in Web of Science</v>
      </c>
    </row>
    <row r="320" spans="1:72" x14ac:dyDescent="0.25">
      <c r="A320" t="s">
        <v>72</v>
      </c>
      <c r="B320" t="s">
        <v>5688</v>
      </c>
      <c r="C320" t="s">
        <v>74</v>
      </c>
      <c r="D320" t="s">
        <v>74</v>
      </c>
      <c r="E320" t="s">
        <v>74</v>
      </c>
      <c r="F320" t="s">
        <v>5689</v>
      </c>
      <c r="G320" t="s">
        <v>74</v>
      </c>
      <c r="H320" t="s">
        <v>74</v>
      </c>
      <c r="I320" t="s">
        <v>5690</v>
      </c>
      <c r="J320" t="s">
        <v>2502</v>
      </c>
      <c r="K320" t="s">
        <v>74</v>
      </c>
      <c r="L320" t="s">
        <v>74</v>
      </c>
      <c r="M320" t="s">
        <v>77</v>
      </c>
      <c r="N320" t="s">
        <v>78</v>
      </c>
      <c r="O320" t="s">
        <v>74</v>
      </c>
      <c r="P320" t="s">
        <v>74</v>
      </c>
      <c r="Q320" t="s">
        <v>74</v>
      </c>
      <c r="R320" t="s">
        <v>74</v>
      </c>
      <c r="S320" t="s">
        <v>74</v>
      </c>
      <c r="T320" t="s">
        <v>5691</v>
      </c>
      <c r="U320" t="s">
        <v>5692</v>
      </c>
      <c r="V320" t="s">
        <v>5693</v>
      </c>
      <c r="W320" t="s">
        <v>5694</v>
      </c>
      <c r="X320" t="s">
        <v>5695</v>
      </c>
      <c r="Y320" t="s">
        <v>5696</v>
      </c>
      <c r="Z320" t="s">
        <v>5697</v>
      </c>
      <c r="AA320" t="s">
        <v>74</v>
      </c>
      <c r="AB320" t="s">
        <v>5698</v>
      </c>
      <c r="AC320" t="s">
        <v>74</v>
      </c>
      <c r="AD320" t="s">
        <v>74</v>
      </c>
      <c r="AE320" t="s">
        <v>74</v>
      </c>
      <c r="AF320" t="s">
        <v>74</v>
      </c>
      <c r="AG320">
        <v>75</v>
      </c>
      <c r="AH320">
        <v>28</v>
      </c>
      <c r="AI320">
        <v>28</v>
      </c>
      <c r="AJ320">
        <v>4</v>
      </c>
      <c r="AK320">
        <v>59</v>
      </c>
      <c r="AL320" t="s">
        <v>665</v>
      </c>
      <c r="AM320" t="s">
        <v>666</v>
      </c>
      <c r="AN320" t="s">
        <v>667</v>
      </c>
      <c r="AO320" t="s">
        <v>2510</v>
      </c>
      <c r="AP320" t="s">
        <v>2511</v>
      </c>
      <c r="AQ320" t="s">
        <v>74</v>
      </c>
      <c r="AR320" t="s">
        <v>2512</v>
      </c>
      <c r="AS320" t="s">
        <v>2513</v>
      </c>
      <c r="AT320" t="s">
        <v>74</v>
      </c>
      <c r="AU320">
        <v>2014</v>
      </c>
      <c r="AV320">
        <v>43</v>
      </c>
      <c r="AW320">
        <v>2</v>
      </c>
      <c r="AX320" t="s">
        <v>74</v>
      </c>
      <c r="AY320" t="s">
        <v>74</v>
      </c>
      <c r="AZ320" t="s">
        <v>74</v>
      </c>
      <c r="BA320" t="s">
        <v>74</v>
      </c>
      <c r="BB320">
        <v>288</v>
      </c>
      <c r="BC320">
        <v>302</v>
      </c>
      <c r="BD320" t="s">
        <v>74</v>
      </c>
      <c r="BE320" t="s">
        <v>5699</v>
      </c>
      <c r="BF320" t="str">
        <f>HYPERLINK("http://dx.doi.org/10.1108/PR-12-2012-0200","http://dx.doi.org/10.1108/PR-12-2012-0200")</f>
        <v>http://dx.doi.org/10.1108/PR-12-2012-0200</v>
      </c>
      <c r="BG320" t="s">
        <v>74</v>
      </c>
      <c r="BH320" t="s">
        <v>74</v>
      </c>
      <c r="BI320">
        <v>15</v>
      </c>
      <c r="BJ320" t="s">
        <v>2515</v>
      </c>
      <c r="BK320" t="s">
        <v>94</v>
      </c>
      <c r="BL320" t="s">
        <v>227</v>
      </c>
      <c r="BM320" t="s">
        <v>5700</v>
      </c>
      <c r="BN320" t="s">
        <v>74</v>
      </c>
      <c r="BO320" t="s">
        <v>74</v>
      </c>
      <c r="BP320" t="s">
        <v>74</v>
      </c>
      <c r="BQ320" t="s">
        <v>74</v>
      </c>
      <c r="BR320" t="s">
        <v>97</v>
      </c>
      <c r="BS320" t="s">
        <v>5701</v>
      </c>
      <c r="BT320" t="str">
        <f>HYPERLINK("https%3A%2F%2Fwww.webofscience.com%2Fwos%2Fwoscc%2Ffull-record%2FWOS:000332997900008","View Full Record in Web of Science")</f>
        <v>View Full Record in Web of Science</v>
      </c>
    </row>
    <row r="321" spans="1:72" x14ac:dyDescent="0.25">
      <c r="A321" t="s">
        <v>72</v>
      </c>
      <c r="B321" t="s">
        <v>5702</v>
      </c>
      <c r="C321" t="s">
        <v>74</v>
      </c>
      <c r="D321" t="s">
        <v>74</v>
      </c>
      <c r="E321" t="s">
        <v>74</v>
      </c>
      <c r="F321" t="s">
        <v>5703</v>
      </c>
      <c r="G321" t="s">
        <v>74</v>
      </c>
      <c r="H321" t="s">
        <v>74</v>
      </c>
      <c r="I321" t="s">
        <v>5704</v>
      </c>
      <c r="J321" t="s">
        <v>5705</v>
      </c>
      <c r="K321" t="s">
        <v>74</v>
      </c>
      <c r="L321" t="s">
        <v>74</v>
      </c>
      <c r="M321" t="s">
        <v>77</v>
      </c>
      <c r="N321" t="s">
        <v>78</v>
      </c>
      <c r="O321" t="s">
        <v>74</v>
      </c>
      <c r="P321" t="s">
        <v>74</v>
      </c>
      <c r="Q321" t="s">
        <v>74</v>
      </c>
      <c r="R321" t="s">
        <v>74</v>
      </c>
      <c r="S321" t="s">
        <v>74</v>
      </c>
      <c r="T321" t="s">
        <v>5706</v>
      </c>
      <c r="U321" t="s">
        <v>5707</v>
      </c>
      <c r="V321" t="s">
        <v>5708</v>
      </c>
      <c r="W321" t="s">
        <v>5709</v>
      </c>
      <c r="X321" t="s">
        <v>5710</v>
      </c>
      <c r="Y321" t="s">
        <v>5711</v>
      </c>
      <c r="Z321" t="s">
        <v>5712</v>
      </c>
      <c r="AA321" t="s">
        <v>5713</v>
      </c>
      <c r="AB321" t="s">
        <v>5714</v>
      </c>
      <c r="AC321" t="s">
        <v>5715</v>
      </c>
      <c r="AD321" t="s">
        <v>5716</v>
      </c>
      <c r="AE321" t="s">
        <v>5717</v>
      </c>
      <c r="AF321" t="s">
        <v>74</v>
      </c>
      <c r="AG321">
        <v>230</v>
      </c>
      <c r="AH321">
        <v>28</v>
      </c>
      <c r="AI321">
        <v>31</v>
      </c>
      <c r="AJ321">
        <v>0</v>
      </c>
      <c r="AK321">
        <v>46</v>
      </c>
      <c r="AL321" t="s">
        <v>194</v>
      </c>
      <c r="AM321" t="s">
        <v>195</v>
      </c>
      <c r="AN321" t="s">
        <v>196</v>
      </c>
      <c r="AO321" t="s">
        <v>5718</v>
      </c>
      <c r="AP321" t="s">
        <v>5719</v>
      </c>
      <c r="AQ321" t="s">
        <v>74</v>
      </c>
      <c r="AR321" t="s">
        <v>5720</v>
      </c>
      <c r="AS321" t="s">
        <v>5721</v>
      </c>
      <c r="AT321" t="s">
        <v>392</v>
      </c>
      <c r="AU321">
        <v>2011</v>
      </c>
      <c r="AV321">
        <v>125</v>
      </c>
      <c r="AW321">
        <v>3</v>
      </c>
      <c r="AX321" t="s">
        <v>74</v>
      </c>
      <c r="AY321" t="s">
        <v>74</v>
      </c>
      <c r="AZ321" t="s">
        <v>74</v>
      </c>
      <c r="BA321" t="s">
        <v>74</v>
      </c>
      <c r="BB321">
        <v>255</v>
      </c>
      <c r="BC321">
        <v>272</v>
      </c>
      <c r="BD321" t="s">
        <v>74</v>
      </c>
      <c r="BE321" t="s">
        <v>5722</v>
      </c>
      <c r="BF321" t="str">
        <f>HYPERLINK("http://dx.doi.org/10.1037/a0023147","http://dx.doi.org/10.1037/a0023147")</f>
        <v>http://dx.doi.org/10.1037/a0023147</v>
      </c>
      <c r="BG321" t="s">
        <v>74</v>
      </c>
      <c r="BH321" t="s">
        <v>74</v>
      </c>
      <c r="BI321">
        <v>18</v>
      </c>
      <c r="BJ321" t="s">
        <v>5723</v>
      </c>
      <c r="BK321" t="s">
        <v>147</v>
      </c>
      <c r="BL321" t="s">
        <v>5724</v>
      </c>
      <c r="BM321" t="s">
        <v>5725</v>
      </c>
      <c r="BN321">
        <v>21574686</v>
      </c>
      <c r="BO321" t="s">
        <v>74</v>
      </c>
      <c r="BP321" t="s">
        <v>74</v>
      </c>
      <c r="BQ321" t="s">
        <v>74</v>
      </c>
      <c r="BR321" t="s">
        <v>97</v>
      </c>
      <c r="BS321" t="s">
        <v>5726</v>
      </c>
      <c r="BT321" t="str">
        <f>HYPERLINK("https%3A%2F%2Fwww.webofscience.com%2Fwos%2Fwoscc%2Ffull-record%2FWOS:000293799300001","View Full Record in Web of Science")</f>
        <v>View Full Record in Web of Science</v>
      </c>
    </row>
    <row r="322" spans="1:72" x14ac:dyDescent="0.25">
      <c r="A322" t="s">
        <v>72</v>
      </c>
      <c r="B322" t="s">
        <v>5727</v>
      </c>
      <c r="C322" t="s">
        <v>74</v>
      </c>
      <c r="D322" t="s">
        <v>74</v>
      </c>
      <c r="E322" t="s">
        <v>74</v>
      </c>
      <c r="F322" t="s">
        <v>5728</v>
      </c>
      <c r="G322" t="s">
        <v>74</v>
      </c>
      <c r="H322" t="s">
        <v>74</v>
      </c>
      <c r="I322" t="s">
        <v>5729</v>
      </c>
      <c r="J322" t="s">
        <v>2463</v>
      </c>
      <c r="K322" t="s">
        <v>74</v>
      </c>
      <c r="L322" t="s">
        <v>74</v>
      </c>
      <c r="M322" t="s">
        <v>77</v>
      </c>
      <c r="N322" t="s">
        <v>78</v>
      </c>
      <c r="O322" t="s">
        <v>74</v>
      </c>
      <c r="P322" t="s">
        <v>74</v>
      </c>
      <c r="Q322" t="s">
        <v>74</v>
      </c>
      <c r="R322" t="s">
        <v>74</v>
      </c>
      <c r="S322" t="s">
        <v>74</v>
      </c>
      <c r="T322" t="s">
        <v>5730</v>
      </c>
      <c r="U322" t="s">
        <v>74</v>
      </c>
      <c r="V322" t="s">
        <v>5731</v>
      </c>
      <c r="W322" t="s">
        <v>5732</v>
      </c>
      <c r="X322" t="s">
        <v>5733</v>
      </c>
      <c r="Y322" t="s">
        <v>5734</v>
      </c>
      <c r="Z322" t="s">
        <v>5735</v>
      </c>
      <c r="AA322" t="s">
        <v>1784</v>
      </c>
      <c r="AB322" t="s">
        <v>5736</v>
      </c>
      <c r="AC322" t="s">
        <v>74</v>
      </c>
      <c r="AD322" t="s">
        <v>74</v>
      </c>
      <c r="AE322" t="s">
        <v>74</v>
      </c>
      <c r="AF322" t="s">
        <v>74</v>
      </c>
      <c r="AG322">
        <v>93</v>
      </c>
      <c r="AH322">
        <v>27</v>
      </c>
      <c r="AI322">
        <v>27</v>
      </c>
      <c r="AJ322">
        <v>9</v>
      </c>
      <c r="AK322">
        <v>45</v>
      </c>
      <c r="AL322" t="s">
        <v>2473</v>
      </c>
      <c r="AM322" t="s">
        <v>2102</v>
      </c>
      <c r="AN322" t="s">
        <v>2474</v>
      </c>
      <c r="AO322" t="s">
        <v>74</v>
      </c>
      <c r="AP322" t="s">
        <v>2475</v>
      </c>
      <c r="AQ322" t="s">
        <v>74</v>
      </c>
      <c r="AR322" t="s">
        <v>2476</v>
      </c>
      <c r="AS322" t="s">
        <v>2477</v>
      </c>
      <c r="AT322" t="s">
        <v>405</v>
      </c>
      <c r="AU322">
        <v>2021</v>
      </c>
      <c r="AV322">
        <v>13</v>
      </c>
      <c r="AW322">
        <v>4</v>
      </c>
      <c r="AX322" t="s">
        <v>74</v>
      </c>
      <c r="AY322" t="s">
        <v>74</v>
      </c>
      <c r="AZ322" t="s">
        <v>74</v>
      </c>
      <c r="BA322" t="s">
        <v>74</v>
      </c>
      <c r="BB322" t="s">
        <v>74</v>
      </c>
      <c r="BC322" t="s">
        <v>74</v>
      </c>
      <c r="BD322">
        <v>1901</v>
      </c>
      <c r="BE322" t="s">
        <v>5737</v>
      </c>
      <c r="BF322" t="str">
        <f>HYPERLINK("http://dx.doi.org/10.3390/su13041901","http://dx.doi.org/10.3390/su13041901")</f>
        <v>http://dx.doi.org/10.3390/su13041901</v>
      </c>
      <c r="BG322" t="s">
        <v>74</v>
      </c>
      <c r="BH322" t="s">
        <v>74</v>
      </c>
      <c r="BI322">
        <v>13</v>
      </c>
      <c r="BJ322" t="s">
        <v>2479</v>
      </c>
      <c r="BK322" t="s">
        <v>147</v>
      </c>
      <c r="BL322" t="s">
        <v>2480</v>
      </c>
      <c r="BM322" t="s">
        <v>5738</v>
      </c>
      <c r="BN322" t="s">
        <v>74</v>
      </c>
      <c r="BO322" t="s">
        <v>3205</v>
      </c>
      <c r="BP322" t="s">
        <v>74</v>
      </c>
      <c r="BQ322" t="s">
        <v>74</v>
      </c>
      <c r="BR322" t="s">
        <v>97</v>
      </c>
      <c r="BS322" t="s">
        <v>5739</v>
      </c>
      <c r="BT322" t="str">
        <f>HYPERLINK("https%3A%2F%2Fwww.webofscience.com%2Fwos%2Fwoscc%2Ffull-record%2FWOS:000624820500001","View Full Record in Web of Science")</f>
        <v>View Full Record in Web of Science</v>
      </c>
    </row>
    <row r="323" spans="1:72" x14ac:dyDescent="0.25">
      <c r="A323" t="s">
        <v>72</v>
      </c>
      <c r="B323" t="s">
        <v>5740</v>
      </c>
      <c r="C323" t="s">
        <v>74</v>
      </c>
      <c r="D323" t="s">
        <v>74</v>
      </c>
      <c r="E323" t="s">
        <v>74</v>
      </c>
      <c r="F323" t="s">
        <v>5741</v>
      </c>
      <c r="G323" t="s">
        <v>74</v>
      </c>
      <c r="H323" t="s">
        <v>74</v>
      </c>
      <c r="I323" t="s">
        <v>5742</v>
      </c>
      <c r="J323" t="s">
        <v>318</v>
      </c>
      <c r="K323" t="s">
        <v>74</v>
      </c>
      <c r="L323" t="s">
        <v>74</v>
      </c>
      <c r="M323" t="s">
        <v>77</v>
      </c>
      <c r="N323" t="s">
        <v>78</v>
      </c>
      <c r="O323" t="s">
        <v>74</v>
      </c>
      <c r="P323" t="s">
        <v>74</v>
      </c>
      <c r="Q323" t="s">
        <v>74</v>
      </c>
      <c r="R323" t="s">
        <v>74</v>
      </c>
      <c r="S323" t="s">
        <v>74</v>
      </c>
      <c r="T323" t="s">
        <v>5743</v>
      </c>
      <c r="U323" t="s">
        <v>5744</v>
      </c>
      <c r="V323" t="s">
        <v>5745</v>
      </c>
      <c r="W323" t="s">
        <v>5746</v>
      </c>
      <c r="X323" t="s">
        <v>5747</v>
      </c>
      <c r="Y323" t="s">
        <v>5748</v>
      </c>
      <c r="Z323" t="s">
        <v>5749</v>
      </c>
      <c r="AA323" t="s">
        <v>74</v>
      </c>
      <c r="AB323" t="s">
        <v>5750</v>
      </c>
      <c r="AC323" t="s">
        <v>74</v>
      </c>
      <c r="AD323" t="s">
        <v>74</v>
      </c>
      <c r="AE323" t="s">
        <v>74</v>
      </c>
      <c r="AF323" t="s">
        <v>74</v>
      </c>
      <c r="AG323">
        <v>123</v>
      </c>
      <c r="AH323">
        <v>27</v>
      </c>
      <c r="AI323">
        <v>27</v>
      </c>
      <c r="AJ323">
        <v>31</v>
      </c>
      <c r="AK323">
        <v>107</v>
      </c>
      <c r="AL323" t="s">
        <v>329</v>
      </c>
      <c r="AM323" t="s">
        <v>330</v>
      </c>
      <c r="AN323" t="s">
        <v>331</v>
      </c>
      <c r="AO323" t="s">
        <v>332</v>
      </c>
      <c r="AP323" t="s">
        <v>333</v>
      </c>
      <c r="AQ323" t="s">
        <v>74</v>
      </c>
      <c r="AR323" t="s">
        <v>334</v>
      </c>
      <c r="AS323" t="s">
        <v>335</v>
      </c>
      <c r="AT323" t="s">
        <v>256</v>
      </c>
      <c r="AU323">
        <v>2020</v>
      </c>
      <c r="AV323">
        <v>119</v>
      </c>
      <c r="AW323" t="s">
        <v>74</v>
      </c>
      <c r="AX323" t="s">
        <v>74</v>
      </c>
      <c r="AY323" t="s">
        <v>74</v>
      </c>
      <c r="AZ323" t="s">
        <v>74</v>
      </c>
      <c r="BA323" t="s">
        <v>74</v>
      </c>
      <c r="BB323">
        <v>195</v>
      </c>
      <c r="BC323">
        <v>208</v>
      </c>
      <c r="BD323" t="s">
        <v>74</v>
      </c>
      <c r="BE323" t="s">
        <v>5751</v>
      </c>
      <c r="BF323" t="str">
        <f>HYPERLINK("http://dx.doi.org/10.1016/j.jbusres.2019.10.035","http://dx.doi.org/10.1016/j.jbusres.2019.10.035")</f>
        <v>http://dx.doi.org/10.1016/j.jbusres.2019.10.035</v>
      </c>
      <c r="BG323" t="s">
        <v>74</v>
      </c>
      <c r="BH323" t="s">
        <v>74</v>
      </c>
      <c r="BI323">
        <v>14</v>
      </c>
      <c r="BJ323" t="s">
        <v>337</v>
      </c>
      <c r="BK323" t="s">
        <v>94</v>
      </c>
      <c r="BL323" t="s">
        <v>95</v>
      </c>
      <c r="BM323" t="s">
        <v>5752</v>
      </c>
      <c r="BN323" t="s">
        <v>74</v>
      </c>
      <c r="BO323" t="s">
        <v>111</v>
      </c>
      <c r="BP323" t="s">
        <v>74</v>
      </c>
      <c r="BQ323" t="s">
        <v>74</v>
      </c>
      <c r="BR323" t="s">
        <v>97</v>
      </c>
      <c r="BS323" t="s">
        <v>5753</v>
      </c>
      <c r="BT323" t="str">
        <f>HYPERLINK("https%3A%2F%2Fwww.webofscience.com%2Fwos%2Fwoscc%2Ffull-record%2FWOS:000600436300017","View Full Record in Web of Science")</f>
        <v>View Full Record in Web of Science</v>
      </c>
    </row>
    <row r="324" spans="1:72" x14ac:dyDescent="0.25">
      <c r="A324" t="s">
        <v>72</v>
      </c>
      <c r="B324" t="s">
        <v>5754</v>
      </c>
      <c r="C324" t="s">
        <v>74</v>
      </c>
      <c r="D324" t="s">
        <v>74</v>
      </c>
      <c r="E324" t="s">
        <v>74</v>
      </c>
      <c r="F324" t="s">
        <v>5755</v>
      </c>
      <c r="G324" t="s">
        <v>74</v>
      </c>
      <c r="H324" t="s">
        <v>74</v>
      </c>
      <c r="I324" t="s">
        <v>5756</v>
      </c>
      <c r="J324" t="s">
        <v>1523</v>
      </c>
      <c r="K324" t="s">
        <v>74</v>
      </c>
      <c r="L324" t="s">
        <v>74</v>
      </c>
      <c r="M324" t="s">
        <v>77</v>
      </c>
      <c r="N324" t="s">
        <v>78</v>
      </c>
      <c r="O324" t="s">
        <v>74</v>
      </c>
      <c r="P324" t="s">
        <v>74</v>
      </c>
      <c r="Q324" t="s">
        <v>74</v>
      </c>
      <c r="R324" t="s">
        <v>74</v>
      </c>
      <c r="S324" t="s">
        <v>74</v>
      </c>
      <c r="T324" t="s">
        <v>5757</v>
      </c>
      <c r="U324" t="s">
        <v>5758</v>
      </c>
      <c r="V324" t="s">
        <v>5759</v>
      </c>
      <c r="W324" t="s">
        <v>5760</v>
      </c>
      <c r="X324" t="s">
        <v>5761</v>
      </c>
      <c r="Y324" t="s">
        <v>5762</v>
      </c>
      <c r="Z324" t="s">
        <v>5763</v>
      </c>
      <c r="AA324" t="s">
        <v>5764</v>
      </c>
      <c r="AB324" t="s">
        <v>5765</v>
      </c>
      <c r="AC324" t="s">
        <v>5766</v>
      </c>
      <c r="AD324" t="s">
        <v>5767</v>
      </c>
      <c r="AE324" t="s">
        <v>5768</v>
      </c>
      <c r="AF324" t="s">
        <v>74</v>
      </c>
      <c r="AG324">
        <v>123</v>
      </c>
      <c r="AH324">
        <v>27</v>
      </c>
      <c r="AI324">
        <v>27</v>
      </c>
      <c r="AJ324">
        <v>19</v>
      </c>
      <c r="AK324">
        <v>66</v>
      </c>
      <c r="AL324" t="s">
        <v>1533</v>
      </c>
      <c r="AM324" t="s">
        <v>1534</v>
      </c>
      <c r="AN324" t="s">
        <v>1535</v>
      </c>
      <c r="AO324" t="s">
        <v>1536</v>
      </c>
      <c r="AP324" t="s">
        <v>1537</v>
      </c>
      <c r="AQ324" t="s">
        <v>74</v>
      </c>
      <c r="AR324" t="s">
        <v>1538</v>
      </c>
      <c r="AS324" t="s">
        <v>1539</v>
      </c>
      <c r="AT324" t="s">
        <v>256</v>
      </c>
      <c r="AU324">
        <v>2021</v>
      </c>
      <c r="AV324">
        <v>15</v>
      </c>
      <c r="AW324">
        <v>7</v>
      </c>
      <c r="AX324" t="s">
        <v>74</v>
      </c>
      <c r="AY324" t="s">
        <v>74</v>
      </c>
      <c r="AZ324" t="s">
        <v>74</v>
      </c>
      <c r="BA324" t="s">
        <v>74</v>
      </c>
      <c r="BB324">
        <v>2075</v>
      </c>
      <c r="BC324">
        <v>2110</v>
      </c>
      <c r="BD324" t="s">
        <v>74</v>
      </c>
      <c r="BE324" t="s">
        <v>5769</v>
      </c>
      <c r="BF324" t="str">
        <f>HYPERLINK("http://dx.doi.org/10.1007/s11846-020-00412-1","http://dx.doi.org/10.1007/s11846-020-00412-1")</f>
        <v>http://dx.doi.org/10.1007/s11846-020-00412-1</v>
      </c>
      <c r="BG324" t="s">
        <v>74</v>
      </c>
      <c r="BH324" t="s">
        <v>5770</v>
      </c>
      <c r="BI324">
        <v>36</v>
      </c>
      <c r="BJ324" t="s">
        <v>442</v>
      </c>
      <c r="BK324" t="s">
        <v>94</v>
      </c>
      <c r="BL324" t="s">
        <v>95</v>
      </c>
      <c r="BM324" t="s">
        <v>5771</v>
      </c>
      <c r="BN324" t="s">
        <v>74</v>
      </c>
      <c r="BO324" t="s">
        <v>408</v>
      </c>
      <c r="BP324" t="s">
        <v>74</v>
      </c>
      <c r="BQ324" t="s">
        <v>74</v>
      </c>
      <c r="BR324" t="s">
        <v>97</v>
      </c>
      <c r="BS324" t="s">
        <v>5772</v>
      </c>
      <c r="BT324" t="str">
        <f>HYPERLINK("https%3A%2F%2Fwww.webofscience.com%2Fwos%2Fwoscc%2Ffull-record%2FWOS:000571995600001","View Full Record in Web of Science")</f>
        <v>View Full Record in Web of Science</v>
      </c>
    </row>
    <row r="325" spans="1:72" x14ac:dyDescent="0.25">
      <c r="A325" t="s">
        <v>72</v>
      </c>
      <c r="B325" t="s">
        <v>5773</v>
      </c>
      <c r="C325" t="s">
        <v>74</v>
      </c>
      <c r="D325" t="s">
        <v>74</v>
      </c>
      <c r="E325" t="s">
        <v>74</v>
      </c>
      <c r="F325" t="s">
        <v>5774</v>
      </c>
      <c r="G325" t="s">
        <v>74</v>
      </c>
      <c r="H325" t="s">
        <v>74</v>
      </c>
      <c r="I325" t="s">
        <v>5775</v>
      </c>
      <c r="J325" t="s">
        <v>5615</v>
      </c>
      <c r="K325" t="s">
        <v>74</v>
      </c>
      <c r="L325" t="s">
        <v>74</v>
      </c>
      <c r="M325" t="s">
        <v>77</v>
      </c>
      <c r="N325" t="s">
        <v>78</v>
      </c>
      <c r="O325" t="s">
        <v>74</v>
      </c>
      <c r="P325" t="s">
        <v>74</v>
      </c>
      <c r="Q325" t="s">
        <v>74</v>
      </c>
      <c r="R325" t="s">
        <v>74</v>
      </c>
      <c r="S325" t="s">
        <v>74</v>
      </c>
      <c r="T325" t="s">
        <v>5776</v>
      </c>
      <c r="U325" t="s">
        <v>5777</v>
      </c>
      <c r="V325" t="s">
        <v>5778</v>
      </c>
      <c r="W325" t="s">
        <v>5779</v>
      </c>
      <c r="X325" t="s">
        <v>5780</v>
      </c>
      <c r="Y325" t="s">
        <v>5781</v>
      </c>
      <c r="Z325" t="s">
        <v>5782</v>
      </c>
      <c r="AA325" t="s">
        <v>5783</v>
      </c>
      <c r="AB325" t="s">
        <v>74</v>
      </c>
      <c r="AC325" t="s">
        <v>74</v>
      </c>
      <c r="AD325" t="s">
        <v>74</v>
      </c>
      <c r="AE325" t="s">
        <v>74</v>
      </c>
      <c r="AF325" t="s">
        <v>74</v>
      </c>
      <c r="AG325">
        <v>63</v>
      </c>
      <c r="AH325">
        <v>27</v>
      </c>
      <c r="AI325">
        <v>27</v>
      </c>
      <c r="AJ325">
        <v>9</v>
      </c>
      <c r="AK325">
        <v>87</v>
      </c>
      <c r="AL325" t="s">
        <v>665</v>
      </c>
      <c r="AM325" t="s">
        <v>666</v>
      </c>
      <c r="AN325" t="s">
        <v>667</v>
      </c>
      <c r="AO325" t="s">
        <v>5625</v>
      </c>
      <c r="AP325" t="s">
        <v>5626</v>
      </c>
      <c r="AQ325" t="s">
        <v>74</v>
      </c>
      <c r="AR325" t="s">
        <v>5627</v>
      </c>
      <c r="AS325" t="s">
        <v>5628</v>
      </c>
      <c r="AT325" t="s">
        <v>74</v>
      </c>
      <c r="AU325">
        <v>2020</v>
      </c>
      <c r="AV325">
        <v>14</v>
      </c>
      <c r="AW325">
        <v>3</v>
      </c>
      <c r="AX325" t="s">
        <v>74</v>
      </c>
      <c r="AY325" t="s">
        <v>74</v>
      </c>
      <c r="AZ325" t="s">
        <v>74</v>
      </c>
      <c r="BA325" t="s">
        <v>74</v>
      </c>
      <c r="BB325">
        <v>661</v>
      </c>
      <c r="BC325">
        <v>676</v>
      </c>
      <c r="BD325" t="s">
        <v>74</v>
      </c>
      <c r="BE325" t="s">
        <v>5784</v>
      </c>
      <c r="BF325" t="str">
        <f>HYPERLINK("http://dx.doi.org/10.1108/CMS-09-2019-0334","http://dx.doi.org/10.1108/CMS-09-2019-0334")</f>
        <v>http://dx.doi.org/10.1108/CMS-09-2019-0334</v>
      </c>
      <c r="BG325" t="s">
        <v>74</v>
      </c>
      <c r="BH325" t="s">
        <v>3849</v>
      </c>
      <c r="BI325">
        <v>16</v>
      </c>
      <c r="BJ325" t="s">
        <v>442</v>
      </c>
      <c r="BK325" t="s">
        <v>94</v>
      </c>
      <c r="BL325" t="s">
        <v>95</v>
      </c>
      <c r="BM325" t="s">
        <v>5785</v>
      </c>
      <c r="BN325" t="s">
        <v>74</v>
      </c>
      <c r="BO325" t="s">
        <v>74</v>
      </c>
      <c r="BP325" t="s">
        <v>74</v>
      </c>
      <c r="BQ325" t="s">
        <v>74</v>
      </c>
      <c r="BR325" t="s">
        <v>97</v>
      </c>
      <c r="BS325" t="s">
        <v>5786</v>
      </c>
      <c r="BT325" t="str">
        <f>HYPERLINK("https%3A%2F%2Fwww.webofscience.com%2Fwos%2Fwoscc%2Ffull-record%2FWOS:000512045300001","View Full Record in Web of Science")</f>
        <v>View Full Record in Web of Science</v>
      </c>
    </row>
    <row r="326" spans="1:72" x14ac:dyDescent="0.25">
      <c r="A326" t="s">
        <v>72</v>
      </c>
      <c r="B326" t="s">
        <v>5787</v>
      </c>
      <c r="C326" t="s">
        <v>74</v>
      </c>
      <c r="D326" t="s">
        <v>74</v>
      </c>
      <c r="E326" t="s">
        <v>74</v>
      </c>
      <c r="F326" t="s">
        <v>5788</v>
      </c>
      <c r="G326" t="s">
        <v>74</v>
      </c>
      <c r="H326" t="s">
        <v>74</v>
      </c>
      <c r="I326" t="s">
        <v>5789</v>
      </c>
      <c r="J326" t="s">
        <v>5532</v>
      </c>
      <c r="K326" t="s">
        <v>74</v>
      </c>
      <c r="L326" t="s">
        <v>74</v>
      </c>
      <c r="M326" t="s">
        <v>77</v>
      </c>
      <c r="N326" t="s">
        <v>78</v>
      </c>
      <c r="O326" t="s">
        <v>74</v>
      </c>
      <c r="P326" t="s">
        <v>74</v>
      </c>
      <c r="Q326" t="s">
        <v>74</v>
      </c>
      <c r="R326" t="s">
        <v>74</v>
      </c>
      <c r="S326" t="s">
        <v>74</v>
      </c>
      <c r="T326" t="s">
        <v>74</v>
      </c>
      <c r="U326" t="s">
        <v>5790</v>
      </c>
      <c r="V326" t="s">
        <v>5791</v>
      </c>
      <c r="W326" t="s">
        <v>5792</v>
      </c>
      <c r="X326" t="s">
        <v>5793</v>
      </c>
      <c r="Y326" t="s">
        <v>5794</v>
      </c>
      <c r="Z326" t="s">
        <v>5795</v>
      </c>
      <c r="AA326" t="s">
        <v>5796</v>
      </c>
      <c r="AB326" t="s">
        <v>5797</v>
      </c>
      <c r="AC326" t="s">
        <v>74</v>
      </c>
      <c r="AD326" t="s">
        <v>74</v>
      </c>
      <c r="AE326" t="s">
        <v>74</v>
      </c>
      <c r="AF326" t="s">
        <v>74</v>
      </c>
      <c r="AG326">
        <v>49</v>
      </c>
      <c r="AH326">
        <v>27</v>
      </c>
      <c r="AI326">
        <v>27</v>
      </c>
      <c r="AJ326">
        <v>6</v>
      </c>
      <c r="AK326">
        <v>74</v>
      </c>
      <c r="AL326" t="s">
        <v>218</v>
      </c>
      <c r="AM326" t="s">
        <v>219</v>
      </c>
      <c r="AN326" t="s">
        <v>220</v>
      </c>
      <c r="AO326" t="s">
        <v>5539</v>
      </c>
      <c r="AP326" t="s">
        <v>5540</v>
      </c>
      <c r="AQ326" t="s">
        <v>74</v>
      </c>
      <c r="AR326" t="s">
        <v>5541</v>
      </c>
      <c r="AS326" t="s">
        <v>5542</v>
      </c>
      <c r="AT326" t="s">
        <v>200</v>
      </c>
      <c r="AU326">
        <v>2019</v>
      </c>
      <c r="AV326">
        <v>49</v>
      </c>
      <c r="AW326">
        <v>2</v>
      </c>
      <c r="AX326" t="s">
        <v>74</v>
      </c>
      <c r="AY326" t="s">
        <v>74</v>
      </c>
      <c r="AZ326" t="s">
        <v>860</v>
      </c>
      <c r="BA326" t="s">
        <v>74</v>
      </c>
      <c r="BB326">
        <v>168</v>
      </c>
      <c r="BC326">
        <v>179</v>
      </c>
      <c r="BD326" t="s">
        <v>74</v>
      </c>
      <c r="BE326" t="s">
        <v>5798</v>
      </c>
      <c r="BF326" t="str">
        <f>HYPERLINK("http://dx.doi.org/10.1111/radm.12298","http://dx.doi.org/10.1111/radm.12298")</f>
        <v>http://dx.doi.org/10.1111/radm.12298</v>
      </c>
      <c r="BG326" t="s">
        <v>74</v>
      </c>
      <c r="BH326" t="s">
        <v>74</v>
      </c>
      <c r="BI326">
        <v>12</v>
      </c>
      <c r="BJ326" t="s">
        <v>93</v>
      </c>
      <c r="BK326" t="s">
        <v>94</v>
      </c>
      <c r="BL326" t="s">
        <v>95</v>
      </c>
      <c r="BM326" t="s">
        <v>5799</v>
      </c>
      <c r="BN326" t="s">
        <v>74</v>
      </c>
      <c r="BO326" t="s">
        <v>74</v>
      </c>
      <c r="BP326" t="s">
        <v>74</v>
      </c>
      <c r="BQ326" t="s">
        <v>74</v>
      </c>
      <c r="BR326" t="s">
        <v>97</v>
      </c>
      <c r="BS326" t="s">
        <v>5800</v>
      </c>
      <c r="BT326" t="str">
        <f>HYPERLINK("https%3A%2F%2Fwww.webofscience.com%2Fwos%2Fwoscc%2Ffull-record%2FWOS:000459808600003","View Full Record in Web of Science")</f>
        <v>View Full Record in Web of Science</v>
      </c>
    </row>
    <row r="327" spans="1:72" x14ac:dyDescent="0.25">
      <c r="A327" t="s">
        <v>72</v>
      </c>
      <c r="B327" t="s">
        <v>5801</v>
      </c>
      <c r="C327" t="s">
        <v>74</v>
      </c>
      <c r="D327" t="s">
        <v>74</v>
      </c>
      <c r="E327" t="s">
        <v>74</v>
      </c>
      <c r="F327" t="s">
        <v>5802</v>
      </c>
      <c r="G327" t="s">
        <v>74</v>
      </c>
      <c r="H327" t="s">
        <v>74</v>
      </c>
      <c r="I327" t="s">
        <v>5803</v>
      </c>
      <c r="J327" t="s">
        <v>5804</v>
      </c>
      <c r="K327" t="s">
        <v>74</v>
      </c>
      <c r="L327" t="s">
        <v>74</v>
      </c>
      <c r="M327" t="s">
        <v>77</v>
      </c>
      <c r="N327" t="s">
        <v>78</v>
      </c>
      <c r="O327" t="s">
        <v>74</v>
      </c>
      <c r="P327" t="s">
        <v>74</v>
      </c>
      <c r="Q327" t="s">
        <v>74</v>
      </c>
      <c r="R327" t="s">
        <v>74</v>
      </c>
      <c r="S327" t="s">
        <v>74</v>
      </c>
      <c r="T327" t="s">
        <v>5805</v>
      </c>
      <c r="U327" t="s">
        <v>5806</v>
      </c>
      <c r="V327" t="s">
        <v>5807</v>
      </c>
      <c r="W327" t="s">
        <v>5808</v>
      </c>
      <c r="X327" t="s">
        <v>5809</v>
      </c>
      <c r="Y327" t="s">
        <v>5810</v>
      </c>
      <c r="Z327" t="s">
        <v>5811</v>
      </c>
      <c r="AA327" t="s">
        <v>74</v>
      </c>
      <c r="AB327" t="s">
        <v>3034</v>
      </c>
      <c r="AC327" t="s">
        <v>5812</v>
      </c>
      <c r="AD327" t="s">
        <v>4113</v>
      </c>
      <c r="AE327" t="s">
        <v>5813</v>
      </c>
      <c r="AF327" t="s">
        <v>74</v>
      </c>
      <c r="AG327">
        <v>91</v>
      </c>
      <c r="AH327">
        <v>27</v>
      </c>
      <c r="AI327">
        <v>28</v>
      </c>
      <c r="AJ327">
        <v>10</v>
      </c>
      <c r="AK327">
        <v>101</v>
      </c>
      <c r="AL327" t="s">
        <v>766</v>
      </c>
      <c r="AM327" t="s">
        <v>1193</v>
      </c>
      <c r="AN327" t="s">
        <v>1498</v>
      </c>
      <c r="AO327" t="s">
        <v>5814</v>
      </c>
      <c r="AP327" t="s">
        <v>5815</v>
      </c>
      <c r="AQ327" t="s">
        <v>74</v>
      </c>
      <c r="AR327" t="s">
        <v>5816</v>
      </c>
      <c r="AS327" t="s">
        <v>5817</v>
      </c>
      <c r="AT327" t="s">
        <v>792</v>
      </c>
      <c r="AU327">
        <v>2018</v>
      </c>
      <c r="AV327">
        <v>150</v>
      </c>
      <c r="AW327">
        <v>3</v>
      </c>
      <c r="AX327" t="s">
        <v>74</v>
      </c>
      <c r="AY327" t="s">
        <v>74</v>
      </c>
      <c r="AZ327" t="s">
        <v>74</v>
      </c>
      <c r="BA327" t="s">
        <v>74</v>
      </c>
      <c r="BB327">
        <v>837</v>
      </c>
      <c r="BC327">
        <v>851</v>
      </c>
      <c r="BD327" t="s">
        <v>74</v>
      </c>
      <c r="BE327" t="s">
        <v>5818</v>
      </c>
      <c r="BF327" t="str">
        <f>HYPERLINK("http://dx.doi.org/10.1007/s10551-016-3226-3","http://dx.doi.org/10.1007/s10551-016-3226-3")</f>
        <v>http://dx.doi.org/10.1007/s10551-016-3226-3</v>
      </c>
      <c r="BG327" t="s">
        <v>74</v>
      </c>
      <c r="BH327" t="s">
        <v>74</v>
      </c>
      <c r="BI327">
        <v>15</v>
      </c>
      <c r="BJ327" t="s">
        <v>5819</v>
      </c>
      <c r="BK327" t="s">
        <v>94</v>
      </c>
      <c r="BL327" t="s">
        <v>2359</v>
      </c>
      <c r="BM327" t="s">
        <v>5820</v>
      </c>
      <c r="BN327" t="s">
        <v>74</v>
      </c>
      <c r="BO327" t="s">
        <v>74</v>
      </c>
      <c r="BP327" t="s">
        <v>74</v>
      </c>
      <c r="BQ327" t="s">
        <v>74</v>
      </c>
      <c r="BR327" t="s">
        <v>97</v>
      </c>
      <c r="BS327" t="s">
        <v>5821</v>
      </c>
      <c r="BT327" t="str">
        <f>HYPERLINK("https%3A%2F%2Fwww.webofscience.com%2Fwos%2Fwoscc%2Ffull-record%2FWOS:000436865900016","View Full Record in Web of Science")</f>
        <v>View Full Record in Web of Science</v>
      </c>
    </row>
    <row r="328" spans="1:72" x14ac:dyDescent="0.25">
      <c r="A328" t="s">
        <v>72</v>
      </c>
      <c r="B328" t="s">
        <v>5822</v>
      </c>
      <c r="C328" t="s">
        <v>74</v>
      </c>
      <c r="D328" t="s">
        <v>74</v>
      </c>
      <c r="E328" t="s">
        <v>74</v>
      </c>
      <c r="F328" t="s">
        <v>5823</v>
      </c>
      <c r="G328" t="s">
        <v>74</v>
      </c>
      <c r="H328" t="s">
        <v>74</v>
      </c>
      <c r="I328" t="s">
        <v>5824</v>
      </c>
      <c r="J328" t="s">
        <v>2059</v>
      </c>
      <c r="K328" t="s">
        <v>74</v>
      </c>
      <c r="L328" t="s">
        <v>74</v>
      </c>
      <c r="M328" t="s">
        <v>77</v>
      </c>
      <c r="N328" t="s">
        <v>78</v>
      </c>
      <c r="O328" t="s">
        <v>74</v>
      </c>
      <c r="P328" t="s">
        <v>74</v>
      </c>
      <c r="Q328" t="s">
        <v>74</v>
      </c>
      <c r="R328" t="s">
        <v>74</v>
      </c>
      <c r="S328" t="s">
        <v>74</v>
      </c>
      <c r="T328" t="s">
        <v>5825</v>
      </c>
      <c r="U328" t="s">
        <v>5826</v>
      </c>
      <c r="V328" t="s">
        <v>5827</v>
      </c>
      <c r="W328" t="s">
        <v>5828</v>
      </c>
      <c r="X328" t="s">
        <v>5829</v>
      </c>
      <c r="Y328" t="s">
        <v>5830</v>
      </c>
      <c r="Z328" t="s">
        <v>5831</v>
      </c>
      <c r="AA328" t="s">
        <v>74</v>
      </c>
      <c r="AB328" t="s">
        <v>74</v>
      </c>
      <c r="AC328" t="s">
        <v>5832</v>
      </c>
      <c r="AD328" t="s">
        <v>5833</v>
      </c>
      <c r="AE328" t="s">
        <v>5834</v>
      </c>
      <c r="AF328" t="s">
        <v>74</v>
      </c>
      <c r="AG328">
        <v>61</v>
      </c>
      <c r="AH328">
        <v>27</v>
      </c>
      <c r="AI328">
        <v>29</v>
      </c>
      <c r="AJ328">
        <v>7</v>
      </c>
      <c r="AK328">
        <v>68</v>
      </c>
      <c r="AL328" t="s">
        <v>2067</v>
      </c>
      <c r="AM328" t="s">
        <v>2068</v>
      </c>
      <c r="AN328" t="s">
        <v>2069</v>
      </c>
      <c r="AO328" t="s">
        <v>2070</v>
      </c>
      <c r="AP328" t="s">
        <v>2071</v>
      </c>
      <c r="AQ328" t="s">
        <v>74</v>
      </c>
      <c r="AR328" t="s">
        <v>2072</v>
      </c>
      <c r="AS328" t="s">
        <v>2073</v>
      </c>
      <c r="AT328" t="s">
        <v>200</v>
      </c>
      <c r="AU328">
        <v>2018</v>
      </c>
      <c r="AV328">
        <v>46</v>
      </c>
      <c r="AW328">
        <v>3</v>
      </c>
      <c r="AX328" t="s">
        <v>74</v>
      </c>
      <c r="AY328" t="s">
        <v>74</v>
      </c>
      <c r="AZ328" t="s">
        <v>74</v>
      </c>
      <c r="BA328" t="s">
        <v>74</v>
      </c>
      <c r="BB328">
        <v>431</v>
      </c>
      <c r="BC328">
        <v>446</v>
      </c>
      <c r="BD328" t="s">
        <v>74</v>
      </c>
      <c r="BE328" t="s">
        <v>5835</v>
      </c>
      <c r="BF328" t="str">
        <f>HYPERLINK("http://dx.doi.org/10.2224/sbp.6618","http://dx.doi.org/10.2224/sbp.6618")</f>
        <v>http://dx.doi.org/10.2224/sbp.6618</v>
      </c>
      <c r="BG328" t="s">
        <v>74</v>
      </c>
      <c r="BH328" t="s">
        <v>74</v>
      </c>
      <c r="BI328">
        <v>16</v>
      </c>
      <c r="BJ328" t="s">
        <v>459</v>
      </c>
      <c r="BK328" t="s">
        <v>94</v>
      </c>
      <c r="BL328" t="s">
        <v>460</v>
      </c>
      <c r="BM328" t="s">
        <v>5836</v>
      </c>
      <c r="BN328" t="s">
        <v>74</v>
      </c>
      <c r="BO328" t="s">
        <v>74</v>
      </c>
      <c r="BP328" t="s">
        <v>74</v>
      </c>
      <c r="BQ328" t="s">
        <v>74</v>
      </c>
      <c r="BR328" t="s">
        <v>97</v>
      </c>
      <c r="BS328" t="s">
        <v>5837</v>
      </c>
      <c r="BT328" t="str">
        <f>HYPERLINK("https%3A%2F%2Fwww.webofscience.com%2Fwos%2Fwoscc%2Ffull-record%2FWOS:000432747400008","View Full Record in Web of Science")</f>
        <v>View Full Record in Web of Science</v>
      </c>
    </row>
    <row r="329" spans="1:72" x14ac:dyDescent="0.25">
      <c r="A329" t="s">
        <v>72</v>
      </c>
      <c r="B329" t="s">
        <v>5838</v>
      </c>
      <c r="C329" t="s">
        <v>74</v>
      </c>
      <c r="D329" t="s">
        <v>74</v>
      </c>
      <c r="E329" t="s">
        <v>74</v>
      </c>
      <c r="F329" t="s">
        <v>5839</v>
      </c>
      <c r="G329" t="s">
        <v>74</v>
      </c>
      <c r="H329" t="s">
        <v>74</v>
      </c>
      <c r="I329" t="s">
        <v>5840</v>
      </c>
      <c r="J329" t="s">
        <v>5841</v>
      </c>
      <c r="K329" t="s">
        <v>74</v>
      </c>
      <c r="L329" t="s">
        <v>74</v>
      </c>
      <c r="M329" t="s">
        <v>77</v>
      </c>
      <c r="N329" t="s">
        <v>78</v>
      </c>
      <c r="O329" t="s">
        <v>74</v>
      </c>
      <c r="P329" t="s">
        <v>74</v>
      </c>
      <c r="Q329" t="s">
        <v>74</v>
      </c>
      <c r="R329" t="s">
        <v>74</v>
      </c>
      <c r="S329" t="s">
        <v>74</v>
      </c>
      <c r="T329" t="s">
        <v>5842</v>
      </c>
      <c r="U329" t="s">
        <v>5843</v>
      </c>
      <c r="V329" t="s">
        <v>5844</v>
      </c>
      <c r="W329" t="s">
        <v>5845</v>
      </c>
      <c r="X329" t="s">
        <v>74</v>
      </c>
      <c r="Y329" t="s">
        <v>5846</v>
      </c>
      <c r="Z329" t="s">
        <v>5847</v>
      </c>
      <c r="AA329" t="s">
        <v>5848</v>
      </c>
      <c r="AB329" t="s">
        <v>74</v>
      </c>
      <c r="AC329" t="s">
        <v>74</v>
      </c>
      <c r="AD329" t="s">
        <v>74</v>
      </c>
      <c r="AE329" t="s">
        <v>74</v>
      </c>
      <c r="AF329" t="s">
        <v>74</v>
      </c>
      <c r="AG329">
        <v>50</v>
      </c>
      <c r="AH329">
        <v>27</v>
      </c>
      <c r="AI329">
        <v>29</v>
      </c>
      <c r="AJ329">
        <v>3</v>
      </c>
      <c r="AK329">
        <v>52</v>
      </c>
      <c r="AL329" t="s">
        <v>5849</v>
      </c>
      <c r="AM329" t="s">
        <v>139</v>
      </c>
      <c r="AN329" t="s">
        <v>5850</v>
      </c>
      <c r="AO329" t="s">
        <v>5851</v>
      </c>
      <c r="AP329" t="s">
        <v>5852</v>
      </c>
      <c r="AQ329" t="s">
        <v>74</v>
      </c>
      <c r="AR329" t="s">
        <v>5853</v>
      </c>
      <c r="AS329" t="s">
        <v>5854</v>
      </c>
      <c r="AT329" t="s">
        <v>165</v>
      </c>
      <c r="AU329">
        <v>2016</v>
      </c>
      <c r="AV329">
        <v>30</v>
      </c>
      <c r="AW329" t="s">
        <v>74</v>
      </c>
      <c r="AX329" t="s">
        <v>74</v>
      </c>
      <c r="AY329" t="s">
        <v>74</v>
      </c>
      <c r="AZ329" t="s">
        <v>74</v>
      </c>
      <c r="BA329" t="s">
        <v>74</v>
      </c>
      <c r="BB329">
        <v>104</v>
      </c>
      <c r="BC329">
        <v>110</v>
      </c>
      <c r="BD329" t="s">
        <v>74</v>
      </c>
      <c r="BE329" t="s">
        <v>5855</v>
      </c>
      <c r="BF329" t="str">
        <f>HYPERLINK("http://dx.doi.org/10.1016/j.apnr.2015.11.010","http://dx.doi.org/10.1016/j.apnr.2015.11.010")</f>
        <v>http://dx.doi.org/10.1016/j.apnr.2015.11.010</v>
      </c>
      <c r="BG329" t="s">
        <v>74</v>
      </c>
      <c r="BH329" t="s">
        <v>74</v>
      </c>
      <c r="BI329">
        <v>7</v>
      </c>
      <c r="BJ329" t="s">
        <v>980</v>
      </c>
      <c r="BK329" t="s">
        <v>147</v>
      </c>
      <c r="BL329" t="s">
        <v>980</v>
      </c>
      <c r="BM329" t="s">
        <v>5856</v>
      </c>
      <c r="BN329">
        <v>27091263</v>
      </c>
      <c r="BO329" t="s">
        <v>74</v>
      </c>
      <c r="BP329" t="s">
        <v>74</v>
      </c>
      <c r="BQ329" t="s">
        <v>74</v>
      </c>
      <c r="BR329" t="s">
        <v>97</v>
      </c>
      <c r="BS329" t="s">
        <v>5857</v>
      </c>
      <c r="BT329" t="str">
        <f>HYPERLINK("https%3A%2F%2Fwww.webofscience.com%2Fwos%2Fwoscc%2Ffull-record%2FWOS:000375340300020","View Full Record in Web of Science")</f>
        <v>View Full Record in Web of Science</v>
      </c>
    </row>
    <row r="330" spans="1:72" x14ac:dyDescent="0.25">
      <c r="A330" t="s">
        <v>72</v>
      </c>
      <c r="B330" t="s">
        <v>5858</v>
      </c>
      <c r="C330" t="s">
        <v>74</v>
      </c>
      <c r="D330" t="s">
        <v>74</v>
      </c>
      <c r="E330" t="s">
        <v>74</v>
      </c>
      <c r="F330" t="s">
        <v>5859</v>
      </c>
      <c r="G330" t="s">
        <v>74</v>
      </c>
      <c r="H330" t="s">
        <v>74</v>
      </c>
      <c r="I330" t="s">
        <v>5860</v>
      </c>
      <c r="J330" t="s">
        <v>2699</v>
      </c>
      <c r="K330" t="s">
        <v>74</v>
      </c>
      <c r="L330" t="s">
        <v>74</v>
      </c>
      <c r="M330" t="s">
        <v>77</v>
      </c>
      <c r="N330" t="s">
        <v>78</v>
      </c>
      <c r="O330" t="s">
        <v>74</v>
      </c>
      <c r="P330" t="s">
        <v>74</v>
      </c>
      <c r="Q330" t="s">
        <v>74</v>
      </c>
      <c r="R330" t="s">
        <v>74</v>
      </c>
      <c r="S330" t="s">
        <v>74</v>
      </c>
      <c r="T330" t="s">
        <v>5861</v>
      </c>
      <c r="U330" t="s">
        <v>5862</v>
      </c>
      <c r="V330" t="s">
        <v>5863</v>
      </c>
      <c r="W330" t="s">
        <v>5864</v>
      </c>
      <c r="X330" t="s">
        <v>5865</v>
      </c>
      <c r="Y330" t="s">
        <v>5866</v>
      </c>
      <c r="Z330" t="s">
        <v>5867</v>
      </c>
      <c r="AA330" t="s">
        <v>74</v>
      </c>
      <c r="AB330" t="s">
        <v>74</v>
      </c>
      <c r="AC330" t="s">
        <v>5868</v>
      </c>
      <c r="AD330" t="s">
        <v>5869</v>
      </c>
      <c r="AE330" t="s">
        <v>5870</v>
      </c>
      <c r="AF330" t="s">
        <v>74</v>
      </c>
      <c r="AG330">
        <v>101</v>
      </c>
      <c r="AH330">
        <v>27</v>
      </c>
      <c r="AI330">
        <v>28</v>
      </c>
      <c r="AJ330">
        <v>1</v>
      </c>
      <c r="AK330">
        <v>18</v>
      </c>
      <c r="AL330" t="s">
        <v>2304</v>
      </c>
      <c r="AM330" t="s">
        <v>160</v>
      </c>
      <c r="AN330" t="s">
        <v>2305</v>
      </c>
      <c r="AO330" t="s">
        <v>2712</v>
      </c>
      <c r="AP330" t="s">
        <v>2713</v>
      </c>
      <c r="AQ330" t="s">
        <v>74</v>
      </c>
      <c r="AR330" t="s">
        <v>2714</v>
      </c>
      <c r="AS330" t="s">
        <v>2715</v>
      </c>
      <c r="AT330" t="s">
        <v>5871</v>
      </c>
      <c r="AU330">
        <v>2016</v>
      </c>
      <c r="AV330">
        <v>394</v>
      </c>
      <c r="AW330" t="s">
        <v>74</v>
      </c>
      <c r="AX330" t="s">
        <v>74</v>
      </c>
      <c r="AY330" t="s">
        <v>74</v>
      </c>
      <c r="AZ330" t="s">
        <v>74</v>
      </c>
      <c r="BA330" t="s">
        <v>74</v>
      </c>
      <c r="BB330">
        <v>6</v>
      </c>
      <c r="BC330">
        <v>16</v>
      </c>
      <c r="BD330" t="s">
        <v>74</v>
      </c>
      <c r="BE330" t="s">
        <v>5872</v>
      </c>
      <c r="BF330" t="str">
        <f>HYPERLINK("http://dx.doi.org/10.1016/j.quaint.2014.04.029","http://dx.doi.org/10.1016/j.quaint.2014.04.029")</f>
        <v>http://dx.doi.org/10.1016/j.quaint.2014.04.029</v>
      </c>
      <c r="BG330" t="s">
        <v>74</v>
      </c>
      <c r="BH330" t="s">
        <v>74</v>
      </c>
      <c r="BI330">
        <v>11</v>
      </c>
      <c r="BJ330" t="s">
        <v>2718</v>
      </c>
      <c r="BK330" t="s">
        <v>5873</v>
      </c>
      <c r="BL330" t="s">
        <v>2720</v>
      </c>
      <c r="BM330" t="s">
        <v>5874</v>
      </c>
      <c r="BN330" t="s">
        <v>74</v>
      </c>
      <c r="BO330" t="s">
        <v>74</v>
      </c>
      <c r="BP330" t="s">
        <v>74</v>
      </c>
      <c r="BQ330" t="s">
        <v>74</v>
      </c>
      <c r="BR330" t="s">
        <v>97</v>
      </c>
      <c r="BS330" t="s">
        <v>5875</v>
      </c>
      <c r="BT330" t="str">
        <f>HYPERLINK("https%3A%2F%2Fwww.webofscience.com%2Fwos%2Fwoscc%2Ffull-record%2FWOS:000370811100002","View Full Record in Web of Science")</f>
        <v>View Full Record in Web of Science</v>
      </c>
    </row>
    <row r="331" spans="1:72" x14ac:dyDescent="0.25">
      <c r="A331" t="s">
        <v>72</v>
      </c>
      <c r="B331" t="s">
        <v>5876</v>
      </c>
      <c r="C331" t="s">
        <v>74</v>
      </c>
      <c r="D331" t="s">
        <v>74</v>
      </c>
      <c r="E331" t="s">
        <v>74</v>
      </c>
      <c r="F331" t="s">
        <v>5877</v>
      </c>
      <c r="G331" t="s">
        <v>74</v>
      </c>
      <c r="H331" t="s">
        <v>74</v>
      </c>
      <c r="I331" t="s">
        <v>5878</v>
      </c>
      <c r="J331" t="s">
        <v>5879</v>
      </c>
      <c r="K331" t="s">
        <v>74</v>
      </c>
      <c r="L331" t="s">
        <v>74</v>
      </c>
      <c r="M331" t="s">
        <v>77</v>
      </c>
      <c r="N331" t="s">
        <v>78</v>
      </c>
      <c r="O331" t="s">
        <v>74</v>
      </c>
      <c r="P331" t="s">
        <v>74</v>
      </c>
      <c r="Q331" t="s">
        <v>74</v>
      </c>
      <c r="R331" t="s">
        <v>74</v>
      </c>
      <c r="S331" t="s">
        <v>74</v>
      </c>
      <c r="T331" t="s">
        <v>5880</v>
      </c>
      <c r="U331" t="s">
        <v>2773</v>
      </c>
      <c r="V331" t="s">
        <v>5881</v>
      </c>
      <c r="W331" t="s">
        <v>5882</v>
      </c>
      <c r="X331" t="s">
        <v>5883</v>
      </c>
      <c r="Y331" t="s">
        <v>5884</v>
      </c>
      <c r="Z331" t="s">
        <v>5885</v>
      </c>
      <c r="AA331" t="s">
        <v>5886</v>
      </c>
      <c r="AB331" t="s">
        <v>74</v>
      </c>
      <c r="AC331" t="s">
        <v>74</v>
      </c>
      <c r="AD331" t="s">
        <v>74</v>
      </c>
      <c r="AE331" t="s">
        <v>74</v>
      </c>
      <c r="AF331" t="s">
        <v>74</v>
      </c>
      <c r="AG331">
        <v>32</v>
      </c>
      <c r="AH331">
        <v>27</v>
      </c>
      <c r="AI331">
        <v>31</v>
      </c>
      <c r="AJ331">
        <v>0</v>
      </c>
      <c r="AK331">
        <v>46</v>
      </c>
      <c r="AL331" t="s">
        <v>511</v>
      </c>
      <c r="AM331" t="s">
        <v>435</v>
      </c>
      <c r="AN331" t="s">
        <v>512</v>
      </c>
      <c r="AO331" t="s">
        <v>5887</v>
      </c>
      <c r="AP331" t="s">
        <v>5888</v>
      </c>
      <c r="AQ331" t="s">
        <v>74</v>
      </c>
      <c r="AR331" t="s">
        <v>5889</v>
      </c>
      <c r="AS331" t="s">
        <v>5890</v>
      </c>
      <c r="AT331" t="s">
        <v>1562</v>
      </c>
      <c r="AU331">
        <v>2016</v>
      </c>
      <c r="AV331">
        <v>59</v>
      </c>
      <c r="AW331">
        <v>1</v>
      </c>
      <c r="AX331" t="s">
        <v>74</v>
      </c>
      <c r="AY331" t="s">
        <v>74</v>
      </c>
      <c r="AZ331" t="s">
        <v>74</v>
      </c>
      <c r="BA331" t="s">
        <v>74</v>
      </c>
      <c r="BB331">
        <v>51</v>
      </c>
      <c r="BC331">
        <v>60</v>
      </c>
      <c r="BD331" t="s">
        <v>74</v>
      </c>
      <c r="BE331" t="s">
        <v>5891</v>
      </c>
      <c r="BF331" t="str">
        <f>HYPERLINK("http://dx.doi.org/10.1016/j.bushor.2015.08.004","http://dx.doi.org/10.1016/j.bushor.2015.08.004")</f>
        <v>http://dx.doi.org/10.1016/j.bushor.2015.08.004</v>
      </c>
      <c r="BG331" t="s">
        <v>74</v>
      </c>
      <c r="BH331" t="s">
        <v>74</v>
      </c>
      <c r="BI331">
        <v>10</v>
      </c>
      <c r="BJ331" t="s">
        <v>337</v>
      </c>
      <c r="BK331" t="s">
        <v>94</v>
      </c>
      <c r="BL331" t="s">
        <v>95</v>
      </c>
      <c r="BM331" t="s">
        <v>5892</v>
      </c>
      <c r="BN331" t="s">
        <v>74</v>
      </c>
      <c r="BO331" t="s">
        <v>74</v>
      </c>
      <c r="BP331" t="s">
        <v>74</v>
      </c>
      <c r="BQ331" t="s">
        <v>74</v>
      </c>
      <c r="BR331" t="s">
        <v>97</v>
      </c>
      <c r="BS331" t="s">
        <v>5893</v>
      </c>
      <c r="BT331" t="str">
        <f>HYPERLINK("https%3A%2F%2Fwww.webofscience.com%2Fwos%2Fwoscc%2Ffull-record%2FWOS:000369199400007","View Full Record in Web of Science")</f>
        <v>View Full Record in Web of Science</v>
      </c>
    </row>
    <row r="332" spans="1:72" x14ac:dyDescent="0.25">
      <c r="A332" t="s">
        <v>72</v>
      </c>
      <c r="B332" t="s">
        <v>5894</v>
      </c>
      <c r="C332" t="s">
        <v>74</v>
      </c>
      <c r="D332" t="s">
        <v>74</v>
      </c>
      <c r="E332" t="s">
        <v>74</v>
      </c>
      <c r="F332" t="s">
        <v>5894</v>
      </c>
      <c r="G332" t="s">
        <v>74</v>
      </c>
      <c r="H332" t="s">
        <v>74</v>
      </c>
      <c r="I332" t="s">
        <v>5895</v>
      </c>
      <c r="J332" t="s">
        <v>5896</v>
      </c>
      <c r="K332" t="s">
        <v>74</v>
      </c>
      <c r="L332" t="s">
        <v>74</v>
      </c>
      <c r="M332" t="s">
        <v>77</v>
      </c>
      <c r="N332" t="s">
        <v>78</v>
      </c>
      <c r="O332" t="s">
        <v>74</v>
      </c>
      <c r="P332" t="s">
        <v>74</v>
      </c>
      <c r="Q332" t="s">
        <v>74</v>
      </c>
      <c r="R332" t="s">
        <v>74</v>
      </c>
      <c r="S332" t="s">
        <v>74</v>
      </c>
      <c r="T332" t="s">
        <v>74</v>
      </c>
      <c r="U332" t="s">
        <v>5897</v>
      </c>
      <c r="V332" t="s">
        <v>5898</v>
      </c>
      <c r="W332" t="s">
        <v>5899</v>
      </c>
      <c r="X332" t="s">
        <v>5900</v>
      </c>
      <c r="Y332" t="s">
        <v>5901</v>
      </c>
      <c r="Z332" t="s">
        <v>74</v>
      </c>
      <c r="AA332" t="s">
        <v>74</v>
      </c>
      <c r="AB332" t="s">
        <v>74</v>
      </c>
      <c r="AC332" t="s">
        <v>74</v>
      </c>
      <c r="AD332" t="s">
        <v>74</v>
      </c>
      <c r="AE332" t="s">
        <v>74</v>
      </c>
      <c r="AF332" t="s">
        <v>74</v>
      </c>
      <c r="AG332">
        <v>65</v>
      </c>
      <c r="AH332">
        <v>27</v>
      </c>
      <c r="AI332">
        <v>27</v>
      </c>
      <c r="AJ332">
        <v>0</v>
      </c>
      <c r="AK332">
        <v>8</v>
      </c>
      <c r="AL332" t="s">
        <v>5902</v>
      </c>
      <c r="AM332" t="s">
        <v>5903</v>
      </c>
      <c r="AN332" t="s">
        <v>5904</v>
      </c>
      <c r="AO332" t="s">
        <v>5905</v>
      </c>
      <c r="AP332" t="s">
        <v>74</v>
      </c>
      <c r="AQ332" t="s">
        <v>74</v>
      </c>
      <c r="AR332" t="s">
        <v>5906</v>
      </c>
      <c r="AS332" t="s">
        <v>5907</v>
      </c>
      <c r="AT332" t="s">
        <v>792</v>
      </c>
      <c r="AU332">
        <v>1996</v>
      </c>
      <c r="AV332">
        <v>49</v>
      </c>
      <c r="AW332">
        <v>4</v>
      </c>
      <c r="AX332" t="s">
        <v>74</v>
      </c>
      <c r="AY332" t="s">
        <v>74</v>
      </c>
      <c r="AZ332" t="s">
        <v>74</v>
      </c>
      <c r="BA332" t="s">
        <v>74</v>
      </c>
      <c r="BB332">
        <v>597</v>
      </c>
      <c r="BC332">
        <v>614</v>
      </c>
      <c r="BD332" t="s">
        <v>74</v>
      </c>
      <c r="BE332" t="s">
        <v>5908</v>
      </c>
      <c r="BF332" t="str">
        <f>HYPERLINK("http://dx.doi.org/10.2307/2524512","http://dx.doi.org/10.2307/2524512")</f>
        <v>http://dx.doi.org/10.2307/2524512</v>
      </c>
      <c r="BG332" t="s">
        <v>74</v>
      </c>
      <c r="BH332" t="s">
        <v>74</v>
      </c>
      <c r="BI332">
        <v>18</v>
      </c>
      <c r="BJ332" t="s">
        <v>5909</v>
      </c>
      <c r="BK332" t="s">
        <v>94</v>
      </c>
      <c r="BL332" t="s">
        <v>95</v>
      </c>
      <c r="BM332" t="s">
        <v>5910</v>
      </c>
      <c r="BN332" t="s">
        <v>74</v>
      </c>
      <c r="BO332" t="s">
        <v>74</v>
      </c>
      <c r="BP332" t="s">
        <v>74</v>
      </c>
      <c r="BQ332" t="s">
        <v>74</v>
      </c>
      <c r="BR332" t="s">
        <v>97</v>
      </c>
      <c r="BS332" t="s">
        <v>5911</v>
      </c>
      <c r="BT332" t="str">
        <f>HYPERLINK("https%3A%2F%2Fwww.webofscience.com%2Fwos%2Fwoscc%2Ffull-record%2FWOS:A1996UY51100001","View Full Record in Web of Science")</f>
        <v>View Full Record in Web of Science</v>
      </c>
    </row>
    <row r="333" spans="1:72" x14ac:dyDescent="0.25">
      <c r="A333" t="s">
        <v>72</v>
      </c>
      <c r="B333" t="s">
        <v>5912</v>
      </c>
      <c r="C333" t="s">
        <v>74</v>
      </c>
      <c r="D333" t="s">
        <v>74</v>
      </c>
      <c r="E333" t="s">
        <v>74</v>
      </c>
      <c r="F333" t="s">
        <v>5912</v>
      </c>
      <c r="G333" t="s">
        <v>74</v>
      </c>
      <c r="H333" t="s">
        <v>74</v>
      </c>
      <c r="I333" t="s">
        <v>5913</v>
      </c>
      <c r="J333" t="s">
        <v>1463</v>
      </c>
      <c r="K333" t="s">
        <v>74</v>
      </c>
      <c r="L333" t="s">
        <v>74</v>
      </c>
      <c r="M333" t="s">
        <v>77</v>
      </c>
      <c r="N333" t="s">
        <v>319</v>
      </c>
      <c r="O333" t="s">
        <v>5914</v>
      </c>
      <c r="P333" t="s">
        <v>5915</v>
      </c>
      <c r="Q333" t="s">
        <v>5916</v>
      </c>
      <c r="R333" t="s">
        <v>74</v>
      </c>
      <c r="S333" t="s">
        <v>74</v>
      </c>
      <c r="T333" t="s">
        <v>5917</v>
      </c>
      <c r="U333" t="s">
        <v>2773</v>
      </c>
      <c r="V333" t="s">
        <v>5918</v>
      </c>
      <c r="W333" t="s">
        <v>74</v>
      </c>
      <c r="X333" t="s">
        <v>74</v>
      </c>
      <c r="Y333" t="s">
        <v>5919</v>
      </c>
      <c r="Z333" t="s">
        <v>74</v>
      </c>
      <c r="AA333" t="s">
        <v>74</v>
      </c>
      <c r="AB333" t="s">
        <v>74</v>
      </c>
      <c r="AC333" t="s">
        <v>74</v>
      </c>
      <c r="AD333" t="s">
        <v>74</v>
      </c>
      <c r="AE333" t="s">
        <v>74</v>
      </c>
      <c r="AF333" t="s">
        <v>74</v>
      </c>
      <c r="AG333">
        <v>50</v>
      </c>
      <c r="AH333">
        <v>27</v>
      </c>
      <c r="AI333">
        <v>28</v>
      </c>
      <c r="AJ333">
        <v>0</v>
      </c>
      <c r="AK333">
        <v>13</v>
      </c>
      <c r="AL333" t="s">
        <v>1471</v>
      </c>
      <c r="AM333" t="s">
        <v>5920</v>
      </c>
      <c r="AN333" t="s">
        <v>5921</v>
      </c>
      <c r="AO333" t="s">
        <v>1474</v>
      </c>
      <c r="AP333" t="s">
        <v>74</v>
      </c>
      <c r="AQ333" t="s">
        <v>74</v>
      </c>
      <c r="AR333" t="s">
        <v>1476</v>
      </c>
      <c r="AS333" t="s">
        <v>1477</v>
      </c>
      <c r="AT333" t="s">
        <v>74</v>
      </c>
      <c r="AU333">
        <v>1996</v>
      </c>
      <c r="AV333">
        <v>11</v>
      </c>
      <c r="AW333" t="s">
        <v>1478</v>
      </c>
      <c r="AX333" t="s">
        <v>74</v>
      </c>
      <c r="AY333" t="s">
        <v>74</v>
      </c>
      <c r="AZ333" t="s">
        <v>74</v>
      </c>
      <c r="BA333" t="s">
        <v>74</v>
      </c>
      <c r="BB333">
        <v>354</v>
      </c>
      <c r="BC333">
        <v>368</v>
      </c>
      <c r="BD333" t="s">
        <v>74</v>
      </c>
      <c r="BE333" t="s">
        <v>74</v>
      </c>
      <c r="BF333" t="s">
        <v>74</v>
      </c>
      <c r="BG333" t="s">
        <v>74</v>
      </c>
      <c r="BH333" t="s">
        <v>74</v>
      </c>
      <c r="BI333">
        <v>15</v>
      </c>
      <c r="BJ333" t="s">
        <v>1480</v>
      </c>
      <c r="BK333" t="s">
        <v>5922</v>
      </c>
      <c r="BL333" t="s">
        <v>1481</v>
      </c>
      <c r="BM333" t="s">
        <v>5923</v>
      </c>
      <c r="BN333" t="s">
        <v>74</v>
      </c>
      <c r="BO333" t="s">
        <v>74</v>
      </c>
      <c r="BP333" t="s">
        <v>74</v>
      </c>
      <c r="BQ333" t="s">
        <v>74</v>
      </c>
      <c r="BR333" t="s">
        <v>97</v>
      </c>
      <c r="BS333" t="s">
        <v>5924</v>
      </c>
      <c r="BT333" t="str">
        <f>HYPERLINK("https%3A%2F%2Fwww.webofscience.com%2Fwos%2Fwoscc%2Ffull-record%2FWOS:A1996UJ96300010","View Full Record in Web of Science")</f>
        <v>View Full Record in Web of Science</v>
      </c>
    </row>
    <row r="334" spans="1:72" x14ac:dyDescent="0.25">
      <c r="A334" t="s">
        <v>72</v>
      </c>
      <c r="B334" t="s">
        <v>5925</v>
      </c>
      <c r="C334" t="s">
        <v>74</v>
      </c>
      <c r="D334" t="s">
        <v>74</v>
      </c>
      <c r="E334" t="s">
        <v>74</v>
      </c>
      <c r="F334" t="s">
        <v>5926</v>
      </c>
      <c r="G334" t="s">
        <v>74</v>
      </c>
      <c r="H334" t="s">
        <v>74</v>
      </c>
      <c r="I334" t="s">
        <v>5927</v>
      </c>
      <c r="J334" t="s">
        <v>2502</v>
      </c>
      <c r="K334" t="s">
        <v>74</v>
      </c>
      <c r="L334" t="s">
        <v>74</v>
      </c>
      <c r="M334" t="s">
        <v>77</v>
      </c>
      <c r="N334" t="s">
        <v>78</v>
      </c>
      <c r="O334" t="s">
        <v>74</v>
      </c>
      <c r="P334" t="s">
        <v>74</v>
      </c>
      <c r="Q334" t="s">
        <v>74</v>
      </c>
      <c r="R334" t="s">
        <v>74</v>
      </c>
      <c r="S334" t="s">
        <v>74</v>
      </c>
      <c r="T334" t="s">
        <v>5928</v>
      </c>
      <c r="U334" t="s">
        <v>5929</v>
      </c>
      <c r="V334" t="s">
        <v>5930</v>
      </c>
      <c r="W334" t="s">
        <v>5931</v>
      </c>
      <c r="X334" t="s">
        <v>5932</v>
      </c>
      <c r="Y334" t="s">
        <v>5933</v>
      </c>
      <c r="Z334" t="s">
        <v>5934</v>
      </c>
      <c r="AA334" t="s">
        <v>74</v>
      </c>
      <c r="AB334" t="s">
        <v>5935</v>
      </c>
      <c r="AC334" t="s">
        <v>5936</v>
      </c>
      <c r="AD334" t="s">
        <v>5937</v>
      </c>
      <c r="AE334" t="s">
        <v>5938</v>
      </c>
      <c r="AF334" t="s">
        <v>74</v>
      </c>
      <c r="AG334">
        <v>44</v>
      </c>
      <c r="AH334">
        <v>26</v>
      </c>
      <c r="AI334">
        <v>26</v>
      </c>
      <c r="AJ334">
        <v>18</v>
      </c>
      <c r="AK334">
        <v>76</v>
      </c>
      <c r="AL334" t="s">
        <v>665</v>
      </c>
      <c r="AM334" t="s">
        <v>666</v>
      </c>
      <c r="AN334" t="s">
        <v>667</v>
      </c>
      <c r="AO334" t="s">
        <v>2510</v>
      </c>
      <c r="AP334" t="s">
        <v>2511</v>
      </c>
      <c r="AQ334" t="s">
        <v>74</v>
      </c>
      <c r="AR334" t="s">
        <v>2512</v>
      </c>
      <c r="AS334" t="s">
        <v>2513</v>
      </c>
      <c r="AT334" t="s">
        <v>5939</v>
      </c>
      <c r="AU334">
        <v>2021</v>
      </c>
      <c r="AV334">
        <v>50</v>
      </c>
      <c r="AW334">
        <v>2</v>
      </c>
      <c r="AX334" t="s">
        <v>74</v>
      </c>
      <c r="AY334" t="s">
        <v>74</v>
      </c>
      <c r="AZ334" t="s">
        <v>74</v>
      </c>
      <c r="BA334" t="s">
        <v>74</v>
      </c>
      <c r="BB334">
        <v>596</v>
      </c>
      <c r="BC334">
        <v>609</v>
      </c>
      <c r="BD334" t="s">
        <v>74</v>
      </c>
      <c r="BE334" t="s">
        <v>5940</v>
      </c>
      <c r="BF334" t="str">
        <f>HYPERLINK("http://dx.doi.org/10.1108/PR-07-2019-0346","http://dx.doi.org/10.1108/PR-07-2019-0346")</f>
        <v>http://dx.doi.org/10.1108/PR-07-2019-0346</v>
      </c>
      <c r="BG334" t="s">
        <v>74</v>
      </c>
      <c r="BH334" t="s">
        <v>4876</v>
      </c>
      <c r="BI334">
        <v>14</v>
      </c>
      <c r="BJ334" t="s">
        <v>2515</v>
      </c>
      <c r="BK334" t="s">
        <v>94</v>
      </c>
      <c r="BL334" t="s">
        <v>227</v>
      </c>
      <c r="BM334" t="s">
        <v>5941</v>
      </c>
      <c r="BN334" t="s">
        <v>74</v>
      </c>
      <c r="BO334" t="s">
        <v>74</v>
      </c>
      <c r="BP334" t="s">
        <v>74</v>
      </c>
      <c r="BQ334" t="s">
        <v>74</v>
      </c>
      <c r="BR334" t="s">
        <v>97</v>
      </c>
      <c r="BS334" t="s">
        <v>5942</v>
      </c>
      <c r="BT334" t="str">
        <f>HYPERLINK("https%3A%2F%2Fwww.webofscience.com%2Fwos%2Fwoscc%2Ffull-record%2FWOS:000556904900001","View Full Record in Web of Science")</f>
        <v>View Full Record in Web of Science</v>
      </c>
    </row>
    <row r="335" spans="1:72" x14ac:dyDescent="0.25">
      <c r="A335" t="s">
        <v>72</v>
      </c>
      <c r="B335" t="s">
        <v>5943</v>
      </c>
      <c r="C335" t="s">
        <v>74</v>
      </c>
      <c r="D335" t="s">
        <v>74</v>
      </c>
      <c r="E335" t="s">
        <v>74</v>
      </c>
      <c r="F335" t="s">
        <v>5944</v>
      </c>
      <c r="G335" t="s">
        <v>74</v>
      </c>
      <c r="H335" t="s">
        <v>74</v>
      </c>
      <c r="I335" t="s">
        <v>5945</v>
      </c>
      <c r="J335" t="s">
        <v>1739</v>
      </c>
      <c r="K335" t="s">
        <v>74</v>
      </c>
      <c r="L335" t="s">
        <v>74</v>
      </c>
      <c r="M335" t="s">
        <v>77</v>
      </c>
      <c r="N335" t="s">
        <v>78</v>
      </c>
      <c r="O335" t="s">
        <v>74</v>
      </c>
      <c r="P335" t="s">
        <v>74</v>
      </c>
      <c r="Q335" t="s">
        <v>74</v>
      </c>
      <c r="R335" t="s">
        <v>74</v>
      </c>
      <c r="S335" t="s">
        <v>74</v>
      </c>
      <c r="T335" t="s">
        <v>5946</v>
      </c>
      <c r="U335" t="s">
        <v>5947</v>
      </c>
      <c r="V335" t="s">
        <v>5948</v>
      </c>
      <c r="W335" t="s">
        <v>5949</v>
      </c>
      <c r="X335" t="s">
        <v>5950</v>
      </c>
      <c r="Y335" t="s">
        <v>5951</v>
      </c>
      <c r="Z335" t="s">
        <v>5952</v>
      </c>
      <c r="AA335" t="s">
        <v>5953</v>
      </c>
      <c r="AB335" t="s">
        <v>5954</v>
      </c>
      <c r="AC335" t="s">
        <v>74</v>
      </c>
      <c r="AD335" t="s">
        <v>74</v>
      </c>
      <c r="AE335" t="s">
        <v>74</v>
      </c>
      <c r="AF335" t="s">
        <v>74</v>
      </c>
      <c r="AG335">
        <v>126</v>
      </c>
      <c r="AH335">
        <v>26</v>
      </c>
      <c r="AI335">
        <v>26</v>
      </c>
      <c r="AJ335">
        <v>10</v>
      </c>
      <c r="AK335">
        <v>92</v>
      </c>
      <c r="AL335" t="s">
        <v>665</v>
      </c>
      <c r="AM335" t="s">
        <v>666</v>
      </c>
      <c r="AN335" t="s">
        <v>667</v>
      </c>
      <c r="AO335" t="s">
        <v>1749</v>
      </c>
      <c r="AP335" t="s">
        <v>1750</v>
      </c>
      <c r="AQ335" t="s">
        <v>74</v>
      </c>
      <c r="AR335" t="s">
        <v>1751</v>
      </c>
      <c r="AS335" t="s">
        <v>1752</v>
      </c>
      <c r="AT335" t="s">
        <v>74</v>
      </c>
      <c r="AU335">
        <v>2020</v>
      </c>
      <c r="AV335">
        <v>24</v>
      </c>
      <c r="AW335">
        <v>5</v>
      </c>
      <c r="AX335" t="s">
        <v>74</v>
      </c>
      <c r="AY335" t="s">
        <v>74</v>
      </c>
      <c r="AZ335" t="s">
        <v>74</v>
      </c>
      <c r="BA335" t="s">
        <v>74</v>
      </c>
      <c r="BB335">
        <v>1131</v>
      </c>
      <c r="BC335">
        <v>1155</v>
      </c>
      <c r="BD335" t="s">
        <v>74</v>
      </c>
      <c r="BE335" t="s">
        <v>5955</v>
      </c>
      <c r="BF335" t="str">
        <f>HYPERLINK("http://dx.doi.org/10.1108/JKM-06-2019-0274","http://dx.doi.org/10.1108/JKM-06-2019-0274")</f>
        <v>http://dx.doi.org/10.1108/JKM-06-2019-0274</v>
      </c>
      <c r="BG335" t="s">
        <v>74</v>
      </c>
      <c r="BH335" t="s">
        <v>2176</v>
      </c>
      <c r="BI335">
        <v>25</v>
      </c>
      <c r="BJ335" t="s">
        <v>1754</v>
      </c>
      <c r="BK335" t="s">
        <v>94</v>
      </c>
      <c r="BL335" t="s">
        <v>1755</v>
      </c>
      <c r="BM335" t="s">
        <v>5956</v>
      </c>
      <c r="BN335" t="s">
        <v>74</v>
      </c>
      <c r="BO335" t="s">
        <v>378</v>
      </c>
      <c r="BP335" t="s">
        <v>74</v>
      </c>
      <c r="BQ335" t="s">
        <v>74</v>
      </c>
      <c r="BR335" t="s">
        <v>97</v>
      </c>
      <c r="BS335" t="s">
        <v>5957</v>
      </c>
      <c r="BT335" t="str">
        <f>HYPERLINK("https%3A%2F%2Fwww.webofscience.com%2Fwos%2Fwoscc%2Ffull-record%2FWOS:000536358400001","View Full Record in Web of Science")</f>
        <v>View Full Record in Web of Science</v>
      </c>
    </row>
    <row r="336" spans="1:72" x14ac:dyDescent="0.25">
      <c r="A336" t="s">
        <v>72</v>
      </c>
      <c r="B336" t="s">
        <v>5958</v>
      </c>
      <c r="C336" t="s">
        <v>74</v>
      </c>
      <c r="D336" t="s">
        <v>74</v>
      </c>
      <c r="E336" t="s">
        <v>74</v>
      </c>
      <c r="F336" t="s">
        <v>5959</v>
      </c>
      <c r="G336" t="s">
        <v>74</v>
      </c>
      <c r="H336" t="s">
        <v>74</v>
      </c>
      <c r="I336" t="s">
        <v>5960</v>
      </c>
      <c r="J336" t="s">
        <v>5961</v>
      </c>
      <c r="K336" t="s">
        <v>74</v>
      </c>
      <c r="L336" t="s">
        <v>74</v>
      </c>
      <c r="M336" t="s">
        <v>77</v>
      </c>
      <c r="N336" t="s">
        <v>78</v>
      </c>
      <c r="O336" t="s">
        <v>74</v>
      </c>
      <c r="P336" t="s">
        <v>74</v>
      </c>
      <c r="Q336" t="s">
        <v>74</v>
      </c>
      <c r="R336" t="s">
        <v>74</v>
      </c>
      <c r="S336" t="s">
        <v>74</v>
      </c>
      <c r="T336" t="s">
        <v>5962</v>
      </c>
      <c r="U336" t="s">
        <v>5963</v>
      </c>
      <c r="V336" t="s">
        <v>5964</v>
      </c>
      <c r="W336" t="s">
        <v>5965</v>
      </c>
      <c r="X336" t="s">
        <v>5966</v>
      </c>
      <c r="Y336" t="s">
        <v>5967</v>
      </c>
      <c r="Z336" t="s">
        <v>5968</v>
      </c>
      <c r="AA336" t="s">
        <v>5969</v>
      </c>
      <c r="AB336" t="s">
        <v>5970</v>
      </c>
      <c r="AC336" t="s">
        <v>5971</v>
      </c>
      <c r="AD336" t="s">
        <v>5972</v>
      </c>
      <c r="AE336" t="s">
        <v>5973</v>
      </c>
      <c r="AF336" t="s">
        <v>74</v>
      </c>
      <c r="AG336">
        <v>133</v>
      </c>
      <c r="AH336">
        <v>26</v>
      </c>
      <c r="AI336">
        <v>27</v>
      </c>
      <c r="AJ336">
        <v>8</v>
      </c>
      <c r="AK336">
        <v>119</v>
      </c>
      <c r="AL336" t="s">
        <v>665</v>
      </c>
      <c r="AM336" t="s">
        <v>666</v>
      </c>
      <c r="AN336" t="s">
        <v>667</v>
      </c>
      <c r="AO336" t="s">
        <v>5974</v>
      </c>
      <c r="AP336" t="s">
        <v>5975</v>
      </c>
      <c r="AQ336" t="s">
        <v>74</v>
      </c>
      <c r="AR336" t="s">
        <v>5976</v>
      </c>
      <c r="AS336" t="s">
        <v>5977</v>
      </c>
      <c r="AT336" t="s">
        <v>5978</v>
      </c>
      <c r="AU336">
        <v>2019</v>
      </c>
      <c r="AV336">
        <v>12</v>
      </c>
      <c r="AW336">
        <v>4</v>
      </c>
      <c r="AX336" t="s">
        <v>74</v>
      </c>
      <c r="AY336" t="s">
        <v>74</v>
      </c>
      <c r="AZ336" t="s">
        <v>74</v>
      </c>
      <c r="BA336" t="s">
        <v>74</v>
      </c>
      <c r="BB336">
        <v>888</v>
      </c>
      <c r="BC336">
        <v>918</v>
      </c>
      <c r="BD336" t="s">
        <v>74</v>
      </c>
      <c r="BE336" t="s">
        <v>5979</v>
      </c>
      <c r="BF336" t="str">
        <f>HYPERLINK("http://dx.doi.org/10.1108/IJMPB-04-2018-0068","http://dx.doi.org/10.1108/IJMPB-04-2018-0068")</f>
        <v>http://dx.doi.org/10.1108/IJMPB-04-2018-0068</v>
      </c>
      <c r="BG336" t="s">
        <v>74</v>
      </c>
      <c r="BH336" t="s">
        <v>74</v>
      </c>
      <c r="BI336">
        <v>31</v>
      </c>
      <c r="BJ336" t="s">
        <v>93</v>
      </c>
      <c r="BK336" t="s">
        <v>94</v>
      </c>
      <c r="BL336" t="s">
        <v>95</v>
      </c>
      <c r="BM336" t="s">
        <v>5980</v>
      </c>
      <c r="BN336" t="s">
        <v>74</v>
      </c>
      <c r="BO336" t="s">
        <v>74</v>
      </c>
      <c r="BP336" t="s">
        <v>74</v>
      </c>
      <c r="BQ336" t="s">
        <v>74</v>
      </c>
      <c r="BR336" t="s">
        <v>97</v>
      </c>
      <c r="BS336" t="s">
        <v>5981</v>
      </c>
      <c r="BT336" t="str">
        <f>HYPERLINK("https%3A%2F%2Fwww.webofscience.com%2Fwos%2Fwoscc%2Ffull-record%2FWOS:000496878300003","View Full Record in Web of Science")</f>
        <v>View Full Record in Web of Science</v>
      </c>
    </row>
    <row r="337" spans="1:72" x14ac:dyDescent="0.25">
      <c r="A337" t="s">
        <v>72</v>
      </c>
      <c r="B337" t="s">
        <v>5982</v>
      </c>
      <c r="C337" t="s">
        <v>74</v>
      </c>
      <c r="D337" t="s">
        <v>74</v>
      </c>
      <c r="E337" t="s">
        <v>74</v>
      </c>
      <c r="F337" t="s">
        <v>5983</v>
      </c>
      <c r="G337" t="s">
        <v>74</v>
      </c>
      <c r="H337" t="s">
        <v>74</v>
      </c>
      <c r="I337" t="s">
        <v>5984</v>
      </c>
      <c r="J337" t="s">
        <v>4134</v>
      </c>
      <c r="K337" t="s">
        <v>74</v>
      </c>
      <c r="L337" t="s">
        <v>74</v>
      </c>
      <c r="M337" t="s">
        <v>77</v>
      </c>
      <c r="N337" t="s">
        <v>78</v>
      </c>
      <c r="O337" t="s">
        <v>74</v>
      </c>
      <c r="P337" t="s">
        <v>74</v>
      </c>
      <c r="Q337" t="s">
        <v>74</v>
      </c>
      <c r="R337" t="s">
        <v>74</v>
      </c>
      <c r="S337" t="s">
        <v>74</v>
      </c>
      <c r="T337" t="s">
        <v>5985</v>
      </c>
      <c r="U337" t="s">
        <v>5986</v>
      </c>
      <c r="V337" t="s">
        <v>5987</v>
      </c>
      <c r="W337" t="s">
        <v>5988</v>
      </c>
      <c r="X337" t="s">
        <v>5989</v>
      </c>
      <c r="Y337" t="s">
        <v>5990</v>
      </c>
      <c r="Z337" t="s">
        <v>5991</v>
      </c>
      <c r="AA337" t="s">
        <v>5992</v>
      </c>
      <c r="AB337" t="s">
        <v>5993</v>
      </c>
      <c r="AC337" t="s">
        <v>74</v>
      </c>
      <c r="AD337" t="s">
        <v>74</v>
      </c>
      <c r="AE337" t="s">
        <v>74</v>
      </c>
      <c r="AF337" t="s">
        <v>74</v>
      </c>
      <c r="AG337">
        <v>55</v>
      </c>
      <c r="AH337">
        <v>26</v>
      </c>
      <c r="AI337">
        <v>28</v>
      </c>
      <c r="AJ337">
        <v>4</v>
      </c>
      <c r="AK337">
        <v>61</v>
      </c>
      <c r="AL337" t="s">
        <v>665</v>
      </c>
      <c r="AM337" t="s">
        <v>666</v>
      </c>
      <c r="AN337" t="s">
        <v>667</v>
      </c>
      <c r="AO337" t="s">
        <v>4144</v>
      </c>
      <c r="AP337" t="s">
        <v>4145</v>
      </c>
      <c r="AQ337" t="s">
        <v>74</v>
      </c>
      <c r="AR337" t="s">
        <v>4146</v>
      </c>
      <c r="AS337" t="s">
        <v>4147</v>
      </c>
      <c r="AT337" t="s">
        <v>74</v>
      </c>
      <c r="AU337">
        <v>2018</v>
      </c>
      <c r="AV337">
        <v>21</v>
      </c>
      <c r="AW337">
        <v>1</v>
      </c>
      <c r="AX337" t="s">
        <v>74</v>
      </c>
      <c r="AY337" t="s">
        <v>74</v>
      </c>
      <c r="AZ337" t="s">
        <v>74</v>
      </c>
      <c r="BA337" t="s">
        <v>74</v>
      </c>
      <c r="BB337">
        <v>157</v>
      </c>
      <c r="BC337">
        <v>171</v>
      </c>
      <c r="BD337" t="s">
        <v>74</v>
      </c>
      <c r="BE337" t="s">
        <v>5994</v>
      </c>
      <c r="BF337" t="str">
        <f>HYPERLINK("http://dx.doi.org/10.1108/EJIM-01-2017-0007","http://dx.doi.org/10.1108/EJIM-01-2017-0007")</f>
        <v>http://dx.doi.org/10.1108/EJIM-01-2017-0007</v>
      </c>
      <c r="BG337" t="s">
        <v>74</v>
      </c>
      <c r="BH337" t="s">
        <v>74</v>
      </c>
      <c r="BI337">
        <v>15</v>
      </c>
      <c r="BJ337" t="s">
        <v>93</v>
      </c>
      <c r="BK337" t="s">
        <v>94</v>
      </c>
      <c r="BL337" t="s">
        <v>95</v>
      </c>
      <c r="BM337" t="s">
        <v>5995</v>
      </c>
      <c r="BN337" t="s">
        <v>74</v>
      </c>
      <c r="BO337" t="s">
        <v>74</v>
      </c>
      <c r="BP337" t="s">
        <v>74</v>
      </c>
      <c r="BQ337" t="s">
        <v>74</v>
      </c>
      <c r="BR337" t="s">
        <v>97</v>
      </c>
      <c r="BS337" t="s">
        <v>5996</v>
      </c>
      <c r="BT337" t="str">
        <f>HYPERLINK("https%3A%2F%2Fwww.webofscience.com%2Fwos%2Fwoscc%2Ffull-record%2FWOS:000418036100008","View Full Record in Web of Science")</f>
        <v>View Full Record in Web of Science</v>
      </c>
    </row>
    <row r="338" spans="1:72" x14ac:dyDescent="0.25">
      <c r="A338" t="s">
        <v>72</v>
      </c>
      <c r="B338" t="s">
        <v>5997</v>
      </c>
      <c r="C338" t="s">
        <v>74</v>
      </c>
      <c r="D338" t="s">
        <v>74</v>
      </c>
      <c r="E338" t="s">
        <v>74</v>
      </c>
      <c r="F338" t="s">
        <v>5998</v>
      </c>
      <c r="G338" t="s">
        <v>74</v>
      </c>
      <c r="H338" t="s">
        <v>74</v>
      </c>
      <c r="I338" t="s">
        <v>5999</v>
      </c>
      <c r="J338" t="s">
        <v>592</v>
      </c>
      <c r="K338" t="s">
        <v>74</v>
      </c>
      <c r="L338" t="s">
        <v>74</v>
      </c>
      <c r="M338" t="s">
        <v>77</v>
      </c>
      <c r="N338" t="s">
        <v>78</v>
      </c>
      <c r="O338" t="s">
        <v>74</v>
      </c>
      <c r="P338" t="s">
        <v>74</v>
      </c>
      <c r="Q338" t="s">
        <v>74</v>
      </c>
      <c r="R338" t="s">
        <v>74</v>
      </c>
      <c r="S338" t="s">
        <v>74</v>
      </c>
      <c r="T338" t="s">
        <v>6000</v>
      </c>
      <c r="U338" t="s">
        <v>6001</v>
      </c>
      <c r="V338" t="s">
        <v>6002</v>
      </c>
      <c r="W338" t="s">
        <v>6003</v>
      </c>
      <c r="X338" t="s">
        <v>6004</v>
      </c>
      <c r="Y338" t="s">
        <v>6005</v>
      </c>
      <c r="Z338" t="s">
        <v>6006</v>
      </c>
      <c r="AA338" t="s">
        <v>6007</v>
      </c>
      <c r="AB338" t="s">
        <v>74</v>
      </c>
      <c r="AC338" t="s">
        <v>6008</v>
      </c>
      <c r="AD338" t="s">
        <v>6009</v>
      </c>
      <c r="AE338" t="s">
        <v>6010</v>
      </c>
      <c r="AF338" t="s">
        <v>74</v>
      </c>
      <c r="AG338">
        <v>120</v>
      </c>
      <c r="AH338">
        <v>26</v>
      </c>
      <c r="AI338">
        <v>26</v>
      </c>
      <c r="AJ338">
        <v>10</v>
      </c>
      <c r="AK338">
        <v>169</v>
      </c>
      <c r="AL338" t="s">
        <v>602</v>
      </c>
      <c r="AM338" t="s">
        <v>160</v>
      </c>
      <c r="AN338" t="s">
        <v>603</v>
      </c>
      <c r="AO338" t="s">
        <v>604</v>
      </c>
      <c r="AP338" t="s">
        <v>605</v>
      </c>
      <c r="AQ338" t="s">
        <v>74</v>
      </c>
      <c r="AR338" t="s">
        <v>606</v>
      </c>
      <c r="AS338" t="s">
        <v>607</v>
      </c>
      <c r="AT338" t="s">
        <v>375</v>
      </c>
      <c r="AU338">
        <v>2017</v>
      </c>
      <c r="AV338">
        <v>63</v>
      </c>
      <c r="AW338" t="s">
        <v>74</v>
      </c>
      <c r="AX338" t="s">
        <v>74</v>
      </c>
      <c r="AY338" t="s">
        <v>74</v>
      </c>
      <c r="AZ338" t="s">
        <v>74</v>
      </c>
      <c r="BA338" t="s">
        <v>74</v>
      </c>
      <c r="BB338">
        <v>144</v>
      </c>
      <c r="BC338">
        <v>157</v>
      </c>
      <c r="BD338" t="s">
        <v>74</v>
      </c>
      <c r="BE338" t="s">
        <v>6011</v>
      </c>
      <c r="BF338" t="str">
        <f>HYPERLINK("http://dx.doi.org/10.1016/j.tourman.2017.06.010","http://dx.doi.org/10.1016/j.tourman.2017.06.010")</f>
        <v>http://dx.doi.org/10.1016/j.tourman.2017.06.010</v>
      </c>
      <c r="BG338" t="s">
        <v>74</v>
      </c>
      <c r="BH338" t="s">
        <v>74</v>
      </c>
      <c r="BI338">
        <v>14</v>
      </c>
      <c r="BJ338" t="s">
        <v>609</v>
      </c>
      <c r="BK338" t="s">
        <v>94</v>
      </c>
      <c r="BL338" t="s">
        <v>610</v>
      </c>
      <c r="BM338" t="s">
        <v>6012</v>
      </c>
      <c r="BN338" t="s">
        <v>74</v>
      </c>
      <c r="BO338" t="s">
        <v>74</v>
      </c>
      <c r="BP338" t="s">
        <v>74</v>
      </c>
      <c r="BQ338" t="s">
        <v>74</v>
      </c>
      <c r="BR338" t="s">
        <v>97</v>
      </c>
      <c r="BS338" t="s">
        <v>6013</v>
      </c>
      <c r="BT338" t="str">
        <f>HYPERLINK("https%3A%2F%2Fwww.webofscience.com%2Fwos%2Fwoscc%2Ffull-record%2FWOS:000408177900017","View Full Record in Web of Science")</f>
        <v>View Full Record in Web of Science</v>
      </c>
    </row>
    <row r="339" spans="1:72" x14ac:dyDescent="0.25">
      <c r="A339" t="s">
        <v>72</v>
      </c>
      <c r="B339" t="s">
        <v>6014</v>
      </c>
      <c r="C339" t="s">
        <v>74</v>
      </c>
      <c r="D339" t="s">
        <v>74</v>
      </c>
      <c r="E339" t="s">
        <v>74</v>
      </c>
      <c r="F339" t="s">
        <v>6015</v>
      </c>
      <c r="G339" t="s">
        <v>74</v>
      </c>
      <c r="H339" t="s">
        <v>74</v>
      </c>
      <c r="I339" t="s">
        <v>6016</v>
      </c>
      <c r="J339" t="s">
        <v>6017</v>
      </c>
      <c r="K339" t="s">
        <v>74</v>
      </c>
      <c r="L339" t="s">
        <v>74</v>
      </c>
      <c r="M339" t="s">
        <v>77</v>
      </c>
      <c r="N339" t="s">
        <v>78</v>
      </c>
      <c r="O339" t="s">
        <v>74</v>
      </c>
      <c r="P339" t="s">
        <v>74</v>
      </c>
      <c r="Q339" t="s">
        <v>74</v>
      </c>
      <c r="R339" t="s">
        <v>74</v>
      </c>
      <c r="S339" t="s">
        <v>74</v>
      </c>
      <c r="T339" t="s">
        <v>6018</v>
      </c>
      <c r="U339" t="s">
        <v>6019</v>
      </c>
      <c r="V339" t="s">
        <v>6020</v>
      </c>
      <c r="W339" t="s">
        <v>6021</v>
      </c>
      <c r="X339" t="s">
        <v>6022</v>
      </c>
      <c r="Y339" t="s">
        <v>6023</v>
      </c>
      <c r="Z339" t="s">
        <v>6024</v>
      </c>
      <c r="AA339" t="s">
        <v>6025</v>
      </c>
      <c r="AB339" t="s">
        <v>6026</v>
      </c>
      <c r="AC339" t="s">
        <v>6027</v>
      </c>
      <c r="AD339" t="s">
        <v>6028</v>
      </c>
      <c r="AE339" t="s">
        <v>6029</v>
      </c>
      <c r="AF339" t="s">
        <v>74</v>
      </c>
      <c r="AG339">
        <v>118</v>
      </c>
      <c r="AH339">
        <v>26</v>
      </c>
      <c r="AI339">
        <v>26</v>
      </c>
      <c r="AJ339">
        <v>0</v>
      </c>
      <c r="AK339">
        <v>6</v>
      </c>
      <c r="AL339" t="s">
        <v>434</v>
      </c>
      <c r="AM339" t="s">
        <v>435</v>
      </c>
      <c r="AN339" t="s">
        <v>436</v>
      </c>
      <c r="AO339" t="s">
        <v>6030</v>
      </c>
      <c r="AP339" t="s">
        <v>6031</v>
      </c>
      <c r="AQ339" t="s">
        <v>74</v>
      </c>
      <c r="AR339" t="s">
        <v>6032</v>
      </c>
      <c r="AS339" t="s">
        <v>6033</v>
      </c>
      <c r="AT339" t="s">
        <v>6034</v>
      </c>
      <c r="AU339">
        <v>2016</v>
      </c>
      <c r="AV339">
        <v>449</v>
      </c>
      <c r="AW339" t="s">
        <v>74</v>
      </c>
      <c r="AX339" t="s">
        <v>74</v>
      </c>
      <c r="AY339" t="s">
        <v>74</v>
      </c>
      <c r="AZ339" t="s">
        <v>74</v>
      </c>
      <c r="BA339" t="s">
        <v>74</v>
      </c>
      <c r="BB339">
        <v>349</v>
      </c>
      <c r="BC339">
        <v>364</v>
      </c>
      <c r="BD339" t="s">
        <v>74</v>
      </c>
      <c r="BE339" t="s">
        <v>6035</v>
      </c>
      <c r="BF339" t="str">
        <f>HYPERLINK("http://dx.doi.org/10.1016/j.palaeo.2016.02.035","http://dx.doi.org/10.1016/j.palaeo.2016.02.035")</f>
        <v>http://dx.doi.org/10.1016/j.palaeo.2016.02.035</v>
      </c>
      <c r="BG339" t="s">
        <v>74</v>
      </c>
      <c r="BH339" t="s">
        <v>74</v>
      </c>
      <c r="BI339">
        <v>16</v>
      </c>
      <c r="BJ339" t="s">
        <v>6036</v>
      </c>
      <c r="BK339" t="s">
        <v>147</v>
      </c>
      <c r="BL339" t="s">
        <v>6037</v>
      </c>
      <c r="BM339" t="s">
        <v>6038</v>
      </c>
      <c r="BN339" t="s">
        <v>74</v>
      </c>
      <c r="BO339" t="s">
        <v>74</v>
      </c>
      <c r="BP339" t="s">
        <v>74</v>
      </c>
      <c r="BQ339" t="s">
        <v>74</v>
      </c>
      <c r="BR339" t="s">
        <v>97</v>
      </c>
      <c r="BS339" t="s">
        <v>6039</v>
      </c>
      <c r="BT339" t="str">
        <f>HYPERLINK("https%3A%2F%2Fwww.webofscience.com%2Fwos%2Fwoscc%2Ffull-record%2FWOS:000374364400028","View Full Record in Web of Science")</f>
        <v>View Full Record in Web of Science</v>
      </c>
    </row>
    <row r="340" spans="1:72" x14ac:dyDescent="0.25">
      <c r="A340" t="s">
        <v>72</v>
      </c>
      <c r="B340" t="s">
        <v>6040</v>
      </c>
      <c r="C340" t="s">
        <v>74</v>
      </c>
      <c r="D340" t="s">
        <v>74</v>
      </c>
      <c r="E340" t="s">
        <v>74</v>
      </c>
      <c r="F340" t="s">
        <v>6041</v>
      </c>
      <c r="G340" t="s">
        <v>74</v>
      </c>
      <c r="H340" t="s">
        <v>74</v>
      </c>
      <c r="I340" t="s">
        <v>6042</v>
      </c>
      <c r="J340" t="s">
        <v>318</v>
      </c>
      <c r="K340" t="s">
        <v>74</v>
      </c>
      <c r="L340" t="s">
        <v>74</v>
      </c>
      <c r="M340" t="s">
        <v>77</v>
      </c>
      <c r="N340" t="s">
        <v>78</v>
      </c>
      <c r="O340" t="s">
        <v>74</v>
      </c>
      <c r="P340" t="s">
        <v>74</v>
      </c>
      <c r="Q340" t="s">
        <v>74</v>
      </c>
      <c r="R340" t="s">
        <v>74</v>
      </c>
      <c r="S340" t="s">
        <v>74</v>
      </c>
      <c r="T340" t="s">
        <v>6043</v>
      </c>
      <c r="U340" t="s">
        <v>6044</v>
      </c>
      <c r="V340" t="s">
        <v>6045</v>
      </c>
      <c r="W340" t="s">
        <v>6046</v>
      </c>
      <c r="X340" t="s">
        <v>6047</v>
      </c>
      <c r="Y340" t="s">
        <v>6048</v>
      </c>
      <c r="Z340" t="s">
        <v>6049</v>
      </c>
      <c r="AA340" t="s">
        <v>6050</v>
      </c>
      <c r="AB340" t="s">
        <v>6051</v>
      </c>
      <c r="AC340" t="s">
        <v>74</v>
      </c>
      <c r="AD340" t="s">
        <v>74</v>
      </c>
      <c r="AE340" t="s">
        <v>74</v>
      </c>
      <c r="AF340" t="s">
        <v>74</v>
      </c>
      <c r="AG340">
        <v>69</v>
      </c>
      <c r="AH340">
        <v>26</v>
      </c>
      <c r="AI340">
        <v>28</v>
      </c>
      <c r="AJ340">
        <v>0</v>
      </c>
      <c r="AK340">
        <v>122</v>
      </c>
      <c r="AL340" t="s">
        <v>329</v>
      </c>
      <c r="AM340" t="s">
        <v>330</v>
      </c>
      <c r="AN340" t="s">
        <v>331</v>
      </c>
      <c r="AO340" t="s">
        <v>332</v>
      </c>
      <c r="AP340" t="s">
        <v>333</v>
      </c>
      <c r="AQ340" t="s">
        <v>74</v>
      </c>
      <c r="AR340" t="s">
        <v>334</v>
      </c>
      <c r="AS340" t="s">
        <v>335</v>
      </c>
      <c r="AT340" t="s">
        <v>256</v>
      </c>
      <c r="AU340">
        <v>2013</v>
      </c>
      <c r="AV340">
        <v>66</v>
      </c>
      <c r="AW340">
        <v>10</v>
      </c>
      <c r="AX340" t="s">
        <v>74</v>
      </c>
      <c r="AY340" t="s">
        <v>74</v>
      </c>
      <c r="AZ340" t="s">
        <v>860</v>
      </c>
      <c r="BA340" t="s">
        <v>74</v>
      </c>
      <c r="BB340">
        <v>2024</v>
      </c>
      <c r="BC340">
        <v>2033</v>
      </c>
      <c r="BD340" t="s">
        <v>74</v>
      </c>
      <c r="BE340" t="s">
        <v>6052</v>
      </c>
      <c r="BF340" t="str">
        <f>HYPERLINK("http://dx.doi.org/10.1016/j.jbusres.2013.02.028","http://dx.doi.org/10.1016/j.jbusres.2013.02.028")</f>
        <v>http://dx.doi.org/10.1016/j.jbusres.2013.02.028</v>
      </c>
      <c r="BG340" t="s">
        <v>74</v>
      </c>
      <c r="BH340" t="s">
        <v>74</v>
      </c>
      <c r="BI340">
        <v>10</v>
      </c>
      <c r="BJ340" t="s">
        <v>337</v>
      </c>
      <c r="BK340" t="s">
        <v>94</v>
      </c>
      <c r="BL340" t="s">
        <v>95</v>
      </c>
      <c r="BM340" t="s">
        <v>6053</v>
      </c>
      <c r="BN340" t="s">
        <v>74</v>
      </c>
      <c r="BO340" t="s">
        <v>111</v>
      </c>
      <c r="BP340" t="s">
        <v>74</v>
      </c>
      <c r="BQ340" t="s">
        <v>74</v>
      </c>
      <c r="BR340" t="s">
        <v>97</v>
      </c>
      <c r="BS340" t="s">
        <v>6054</v>
      </c>
      <c r="BT340" t="str">
        <f>HYPERLINK("https%3A%2F%2Fwww.webofscience.com%2Fwos%2Fwoscc%2Ffull-record%2FWOS:000321171900043","View Full Record in Web of Science")</f>
        <v>View Full Record in Web of Science</v>
      </c>
    </row>
    <row r="341" spans="1:72" x14ac:dyDescent="0.25">
      <c r="A341" t="s">
        <v>72</v>
      </c>
      <c r="B341" t="s">
        <v>6055</v>
      </c>
      <c r="C341" t="s">
        <v>74</v>
      </c>
      <c r="D341" t="s">
        <v>74</v>
      </c>
      <c r="E341" t="s">
        <v>74</v>
      </c>
      <c r="F341" t="s">
        <v>6056</v>
      </c>
      <c r="G341" t="s">
        <v>74</v>
      </c>
      <c r="H341" t="s">
        <v>74</v>
      </c>
      <c r="I341" t="s">
        <v>6057</v>
      </c>
      <c r="J341" t="s">
        <v>6058</v>
      </c>
      <c r="K341" t="s">
        <v>74</v>
      </c>
      <c r="L341" t="s">
        <v>74</v>
      </c>
      <c r="M341" t="s">
        <v>77</v>
      </c>
      <c r="N341" t="s">
        <v>78</v>
      </c>
      <c r="O341" t="s">
        <v>74</v>
      </c>
      <c r="P341" t="s">
        <v>74</v>
      </c>
      <c r="Q341" t="s">
        <v>74</v>
      </c>
      <c r="R341" t="s">
        <v>74</v>
      </c>
      <c r="S341" t="s">
        <v>74</v>
      </c>
      <c r="T341" t="s">
        <v>6059</v>
      </c>
      <c r="U341" t="s">
        <v>6060</v>
      </c>
      <c r="V341" t="s">
        <v>6061</v>
      </c>
      <c r="W341" t="s">
        <v>6062</v>
      </c>
      <c r="X341" t="s">
        <v>451</v>
      </c>
      <c r="Y341" t="s">
        <v>6063</v>
      </c>
      <c r="Z341" t="s">
        <v>6064</v>
      </c>
      <c r="AA341" t="s">
        <v>74</v>
      </c>
      <c r="AB341" t="s">
        <v>6065</v>
      </c>
      <c r="AC341" t="s">
        <v>6066</v>
      </c>
      <c r="AD341" t="s">
        <v>6067</v>
      </c>
      <c r="AE341" t="s">
        <v>74</v>
      </c>
      <c r="AF341" t="s">
        <v>74</v>
      </c>
      <c r="AG341">
        <v>47</v>
      </c>
      <c r="AH341">
        <v>26</v>
      </c>
      <c r="AI341">
        <v>26</v>
      </c>
      <c r="AJ341">
        <v>1</v>
      </c>
      <c r="AK341">
        <v>32</v>
      </c>
      <c r="AL341" t="s">
        <v>6068</v>
      </c>
      <c r="AM341" t="s">
        <v>6069</v>
      </c>
      <c r="AN341" t="s">
        <v>6070</v>
      </c>
      <c r="AO341" t="s">
        <v>6071</v>
      </c>
      <c r="AP341" t="s">
        <v>74</v>
      </c>
      <c r="AQ341" t="s">
        <v>74</v>
      </c>
      <c r="AR341" t="s">
        <v>6072</v>
      </c>
      <c r="AS341" t="s">
        <v>6073</v>
      </c>
      <c r="AT341" t="s">
        <v>74</v>
      </c>
      <c r="AU341">
        <v>2012</v>
      </c>
      <c r="AV341">
        <v>28</v>
      </c>
      <c r="AW341">
        <v>2</v>
      </c>
      <c r="AX341" t="s">
        <v>74</v>
      </c>
      <c r="AY341" t="s">
        <v>74</v>
      </c>
      <c r="AZ341" t="s">
        <v>74</v>
      </c>
      <c r="BA341" t="s">
        <v>74</v>
      </c>
      <c r="BB341">
        <v>253</v>
      </c>
      <c r="BC341">
        <v>262</v>
      </c>
      <c r="BD341" t="s">
        <v>74</v>
      </c>
      <c r="BE341" t="s">
        <v>74</v>
      </c>
      <c r="BF341" t="s">
        <v>74</v>
      </c>
      <c r="BG341" t="s">
        <v>74</v>
      </c>
      <c r="BH341" t="s">
        <v>74</v>
      </c>
      <c r="BI341">
        <v>10</v>
      </c>
      <c r="BJ341" t="s">
        <v>6074</v>
      </c>
      <c r="BK341" t="s">
        <v>147</v>
      </c>
      <c r="BL341" t="s">
        <v>6075</v>
      </c>
      <c r="BM341" t="s">
        <v>6076</v>
      </c>
      <c r="BN341" t="s">
        <v>74</v>
      </c>
      <c r="BO341" t="s">
        <v>74</v>
      </c>
      <c r="BP341" t="s">
        <v>74</v>
      </c>
      <c r="BQ341" t="s">
        <v>74</v>
      </c>
      <c r="BR341" t="s">
        <v>97</v>
      </c>
      <c r="BS341" t="s">
        <v>6077</v>
      </c>
      <c r="BT341" t="str">
        <f>HYPERLINK("https%3A%2F%2Fwww.webofscience.com%2Fwos%2Fwoscc%2Ffull-record%2FWOS:000302646600006","View Full Record in Web of Science")</f>
        <v>View Full Record in Web of Science</v>
      </c>
    </row>
    <row r="342" spans="1:72" x14ac:dyDescent="0.25">
      <c r="A342" t="s">
        <v>72</v>
      </c>
      <c r="B342" t="s">
        <v>6078</v>
      </c>
      <c r="C342" t="s">
        <v>74</v>
      </c>
      <c r="D342" t="s">
        <v>74</v>
      </c>
      <c r="E342" t="s">
        <v>74</v>
      </c>
      <c r="F342" t="s">
        <v>6079</v>
      </c>
      <c r="G342" t="s">
        <v>74</v>
      </c>
      <c r="H342" t="s">
        <v>74</v>
      </c>
      <c r="I342" t="s">
        <v>6080</v>
      </c>
      <c r="J342" t="s">
        <v>6081</v>
      </c>
      <c r="K342" t="s">
        <v>74</v>
      </c>
      <c r="L342" t="s">
        <v>74</v>
      </c>
      <c r="M342" t="s">
        <v>77</v>
      </c>
      <c r="N342" t="s">
        <v>78</v>
      </c>
      <c r="O342" t="s">
        <v>74</v>
      </c>
      <c r="P342" t="s">
        <v>74</v>
      </c>
      <c r="Q342" t="s">
        <v>74</v>
      </c>
      <c r="R342" t="s">
        <v>74</v>
      </c>
      <c r="S342" t="s">
        <v>74</v>
      </c>
      <c r="T342" t="s">
        <v>6082</v>
      </c>
      <c r="U342" t="s">
        <v>6083</v>
      </c>
      <c r="V342" t="s">
        <v>6084</v>
      </c>
      <c r="W342" t="s">
        <v>6085</v>
      </c>
      <c r="X342" t="s">
        <v>6086</v>
      </c>
      <c r="Y342" t="s">
        <v>6087</v>
      </c>
      <c r="Z342" t="s">
        <v>6088</v>
      </c>
      <c r="AA342" t="s">
        <v>6089</v>
      </c>
      <c r="AB342" t="s">
        <v>6090</v>
      </c>
      <c r="AC342" t="s">
        <v>6091</v>
      </c>
      <c r="AD342" t="s">
        <v>6092</v>
      </c>
      <c r="AE342" t="s">
        <v>6093</v>
      </c>
      <c r="AF342" t="s">
        <v>74</v>
      </c>
      <c r="AG342">
        <v>32</v>
      </c>
      <c r="AH342">
        <v>26</v>
      </c>
      <c r="AI342">
        <v>29</v>
      </c>
      <c r="AJ342">
        <v>0</v>
      </c>
      <c r="AK342">
        <v>18</v>
      </c>
      <c r="AL342" t="s">
        <v>1533</v>
      </c>
      <c r="AM342" t="s">
        <v>1534</v>
      </c>
      <c r="AN342" t="s">
        <v>1535</v>
      </c>
      <c r="AO342" t="s">
        <v>6094</v>
      </c>
      <c r="AP342" t="s">
        <v>6095</v>
      </c>
      <c r="AQ342" t="s">
        <v>74</v>
      </c>
      <c r="AR342" t="s">
        <v>6096</v>
      </c>
      <c r="AS342" t="s">
        <v>6097</v>
      </c>
      <c r="AT342" t="s">
        <v>256</v>
      </c>
      <c r="AU342">
        <v>2010</v>
      </c>
      <c r="AV342">
        <v>13</v>
      </c>
      <c r="AW342">
        <v>2</v>
      </c>
      <c r="AX342" t="s">
        <v>74</v>
      </c>
      <c r="AY342" t="s">
        <v>74</v>
      </c>
      <c r="AZ342" t="s">
        <v>74</v>
      </c>
      <c r="BA342" t="s">
        <v>74</v>
      </c>
      <c r="BB342">
        <v>87</v>
      </c>
      <c r="BC342">
        <v>91</v>
      </c>
      <c r="BD342" t="s">
        <v>74</v>
      </c>
      <c r="BE342" t="s">
        <v>6098</v>
      </c>
      <c r="BF342" t="str">
        <f>HYPERLINK("http://dx.doi.org/10.1007/s10211-010-0077-2","http://dx.doi.org/10.1007/s10211-010-0077-2")</f>
        <v>http://dx.doi.org/10.1007/s10211-010-0077-2</v>
      </c>
      <c r="BG342" t="s">
        <v>74</v>
      </c>
      <c r="BH342" t="s">
        <v>74</v>
      </c>
      <c r="BI342">
        <v>5</v>
      </c>
      <c r="BJ342" t="s">
        <v>6099</v>
      </c>
      <c r="BK342" t="s">
        <v>283</v>
      </c>
      <c r="BL342" t="s">
        <v>6099</v>
      </c>
      <c r="BM342" t="s">
        <v>6100</v>
      </c>
      <c r="BN342" t="s">
        <v>74</v>
      </c>
      <c r="BO342" t="s">
        <v>74</v>
      </c>
      <c r="BP342" t="s">
        <v>74</v>
      </c>
      <c r="BQ342" t="s">
        <v>74</v>
      </c>
      <c r="BR342" t="s">
        <v>97</v>
      </c>
      <c r="BS342" t="s">
        <v>6101</v>
      </c>
      <c r="BT342" t="str">
        <f>HYPERLINK("https%3A%2F%2Fwww.webofscience.com%2Fwos%2Fwoscc%2Ffull-record%2FWOS:000282968500003","View Full Record in Web of Science")</f>
        <v>View Full Record in Web of Science</v>
      </c>
    </row>
    <row r="343" spans="1:72" x14ac:dyDescent="0.25">
      <c r="A343" t="s">
        <v>72</v>
      </c>
      <c r="B343" t="s">
        <v>6102</v>
      </c>
      <c r="C343" t="s">
        <v>74</v>
      </c>
      <c r="D343" t="s">
        <v>74</v>
      </c>
      <c r="E343" t="s">
        <v>74</v>
      </c>
      <c r="F343" t="s">
        <v>6103</v>
      </c>
      <c r="G343" t="s">
        <v>74</v>
      </c>
      <c r="H343" t="s">
        <v>74</v>
      </c>
      <c r="I343" t="s">
        <v>6104</v>
      </c>
      <c r="J343" t="s">
        <v>6105</v>
      </c>
      <c r="K343" t="s">
        <v>74</v>
      </c>
      <c r="L343" t="s">
        <v>74</v>
      </c>
      <c r="M343" t="s">
        <v>77</v>
      </c>
      <c r="N343" t="s">
        <v>319</v>
      </c>
      <c r="O343" t="s">
        <v>6106</v>
      </c>
      <c r="P343" t="s">
        <v>6107</v>
      </c>
      <c r="Q343" t="s">
        <v>6108</v>
      </c>
      <c r="R343" t="s">
        <v>6109</v>
      </c>
      <c r="S343" t="s">
        <v>74</v>
      </c>
      <c r="T343" t="s">
        <v>6110</v>
      </c>
      <c r="U343" t="s">
        <v>74</v>
      </c>
      <c r="V343" t="s">
        <v>6111</v>
      </c>
      <c r="W343" t="s">
        <v>6112</v>
      </c>
      <c r="X343" t="s">
        <v>6113</v>
      </c>
      <c r="Y343" t="s">
        <v>6114</v>
      </c>
      <c r="Z343" t="s">
        <v>6115</v>
      </c>
      <c r="AA343" t="s">
        <v>74</v>
      </c>
      <c r="AB343" t="s">
        <v>74</v>
      </c>
      <c r="AC343" t="s">
        <v>74</v>
      </c>
      <c r="AD343" t="s">
        <v>74</v>
      </c>
      <c r="AE343" t="s">
        <v>74</v>
      </c>
      <c r="AF343" t="s">
        <v>74</v>
      </c>
      <c r="AG343">
        <v>48</v>
      </c>
      <c r="AH343">
        <v>26</v>
      </c>
      <c r="AI343">
        <v>26</v>
      </c>
      <c r="AJ343">
        <v>3</v>
      </c>
      <c r="AK343">
        <v>39</v>
      </c>
      <c r="AL343" t="s">
        <v>1099</v>
      </c>
      <c r="AM343" t="s">
        <v>305</v>
      </c>
      <c r="AN343" t="s">
        <v>1100</v>
      </c>
      <c r="AO343" t="s">
        <v>6116</v>
      </c>
      <c r="AP343" t="s">
        <v>6117</v>
      </c>
      <c r="AQ343" t="s">
        <v>74</v>
      </c>
      <c r="AR343" t="s">
        <v>6118</v>
      </c>
      <c r="AS343" t="s">
        <v>6119</v>
      </c>
      <c r="AT343" t="s">
        <v>74</v>
      </c>
      <c r="AU343">
        <v>2009</v>
      </c>
      <c r="AV343">
        <v>21</v>
      </c>
      <c r="AW343">
        <v>4</v>
      </c>
      <c r="AX343" t="s">
        <v>74</v>
      </c>
      <c r="AY343" t="s">
        <v>74</v>
      </c>
      <c r="AZ343" t="s">
        <v>74</v>
      </c>
      <c r="BA343" t="s">
        <v>74</v>
      </c>
      <c r="BB343">
        <v>399</v>
      </c>
      <c r="BC343">
        <v>420</v>
      </c>
      <c r="BD343" t="s">
        <v>74</v>
      </c>
      <c r="BE343" t="s">
        <v>6120</v>
      </c>
      <c r="BF343" t="str">
        <f>HYPERLINK("http://dx.doi.org/10.1080/08985620903020078","http://dx.doi.org/10.1080/08985620903020078")</f>
        <v>http://dx.doi.org/10.1080/08985620903020078</v>
      </c>
      <c r="BG343" t="s">
        <v>74</v>
      </c>
      <c r="BH343" t="s">
        <v>74</v>
      </c>
      <c r="BI343">
        <v>22</v>
      </c>
      <c r="BJ343" t="s">
        <v>6121</v>
      </c>
      <c r="BK343" t="s">
        <v>338</v>
      </c>
      <c r="BL343" t="s">
        <v>6122</v>
      </c>
      <c r="BM343" t="s">
        <v>6123</v>
      </c>
      <c r="BN343" t="s">
        <v>74</v>
      </c>
      <c r="BO343" t="s">
        <v>74</v>
      </c>
      <c r="BP343" t="s">
        <v>74</v>
      </c>
      <c r="BQ343" t="s">
        <v>74</v>
      </c>
      <c r="BR343" t="s">
        <v>97</v>
      </c>
      <c r="BS343" t="s">
        <v>6124</v>
      </c>
      <c r="BT343" t="str">
        <f>HYPERLINK("https%3A%2F%2Fwww.webofscience.com%2Fwos%2Fwoscc%2Ffull-record%2FWOS:000274364900005","View Full Record in Web of Science")</f>
        <v>View Full Record in Web of Science</v>
      </c>
    </row>
    <row r="344" spans="1:72" x14ac:dyDescent="0.25">
      <c r="A344" t="s">
        <v>72</v>
      </c>
      <c r="B344" t="s">
        <v>6125</v>
      </c>
      <c r="C344" t="s">
        <v>74</v>
      </c>
      <c r="D344" t="s">
        <v>74</v>
      </c>
      <c r="E344" t="s">
        <v>74</v>
      </c>
      <c r="F344" t="s">
        <v>6125</v>
      </c>
      <c r="G344" t="s">
        <v>74</v>
      </c>
      <c r="H344" t="s">
        <v>74</v>
      </c>
      <c r="I344" t="s">
        <v>6126</v>
      </c>
      <c r="J344" t="s">
        <v>6127</v>
      </c>
      <c r="K344" t="s">
        <v>74</v>
      </c>
      <c r="L344" t="s">
        <v>74</v>
      </c>
      <c r="M344" t="s">
        <v>77</v>
      </c>
      <c r="N344" t="s">
        <v>78</v>
      </c>
      <c r="O344" t="s">
        <v>74</v>
      </c>
      <c r="P344" t="s">
        <v>74</v>
      </c>
      <c r="Q344" t="s">
        <v>74</v>
      </c>
      <c r="R344" t="s">
        <v>74</v>
      </c>
      <c r="S344" t="s">
        <v>74</v>
      </c>
      <c r="T344" t="s">
        <v>6128</v>
      </c>
      <c r="U344" t="s">
        <v>6129</v>
      </c>
      <c r="V344" t="s">
        <v>6130</v>
      </c>
      <c r="W344" t="s">
        <v>6131</v>
      </c>
      <c r="X344" t="s">
        <v>6132</v>
      </c>
      <c r="Y344" t="s">
        <v>6133</v>
      </c>
      <c r="Z344" t="s">
        <v>74</v>
      </c>
      <c r="AA344" t="s">
        <v>74</v>
      </c>
      <c r="AB344" t="s">
        <v>6134</v>
      </c>
      <c r="AC344" t="s">
        <v>74</v>
      </c>
      <c r="AD344" t="s">
        <v>74</v>
      </c>
      <c r="AE344" t="s">
        <v>74</v>
      </c>
      <c r="AF344" t="s">
        <v>74</v>
      </c>
      <c r="AG344">
        <v>76</v>
      </c>
      <c r="AH344">
        <v>26</v>
      </c>
      <c r="AI344">
        <v>30</v>
      </c>
      <c r="AJ344">
        <v>0</v>
      </c>
      <c r="AK344">
        <v>18</v>
      </c>
      <c r="AL344" t="s">
        <v>511</v>
      </c>
      <c r="AM344" t="s">
        <v>435</v>
      </c>
      <c r="AN344" t="s">
        <v>512</v>
      </c>
      <c r="AO344" t="s">
        <v>6135</v>
      </c>
      <c r="AP344" t="s">
        <v>74</v>
      </c>
      <c r="AQ344" t="s">
        <v>74</v>
      </c>
      <c r="AR344" t="s">
        <v>6136</v>
      </c>
      <c r="AS344" t="s">
        <v>6137</v>
      </c>
      <c r="AT344" t="s">
        <v>122</v>
      </c>
      <c r="AU344">
        <v>2000</v>
      </c>
      <c r="AV344">
        <v>33</v>
      </c>
      <c r="AW344">
        <v>1</v>
      </c>
      <c r="AX344" t="s">
        <v>74</v>
      </c>
      <c r="AY344" t="s">
        <v>74</v>
      </c>
      <c r="AZ344" t="s">
        <v>74</v>
      </c>
      <c r="BA344" t="s">
        <v>74</v>
      </c>
      <c r="BB344">
        <v>119</v>
      </c>
      <c r="BC344">
        <v>134</v>
      </c>
      <c r="BD344" t="s">
        <v>74</v>
      </c>
      <c r="BE344" t="s">
        <v>6138</v>
      </c>
      <c r="BF344" t="str">
        <f>HYPERLINK("http://dx.doi.org/10.1016/S0921-8009(99)00133-0","http://dx.doi.org/10.1016/S0921-8009(99)00133-0")</f>
        <v>http://dx.doi.org/10.1016/S0921-8009(99)00133-0</v>
      </c>
      <c r="BG344" t="s">
        <v>74</v>
      </c>
      <c r="BH344" t="s">
        <v>74</v>
      </c>
      <c r="BI344">
        <v>16</v>
      </c>
      <c r="BJ344" t="s">
        <v>6139</v>
      </c>
      <c r="BK344" t="s">
        <v>147</v>
      </c>
      <c r="BL344" t="s">
        <v>6140</v>
      </c>
      <c r="BM344" t="s">
        <v>6141</v>
      </c>
      <c r="BN344" t="s">
        <v>74</v>
      </c>
      <c r="BO344" t="s">
        <v>74</v>
      </c>
      <c r="BP344" t="s">
        <v>74</v>
      </c>
      <c r="BQ344" t="s">
        <v>74</v>
      </c>
      <c r="BR344" t="s">
        <v>97</v>
      </c>
      <c r="BS344" t="s">
        <v>6142</v>
      </c>
      <c r="BT344" t="str">
        <f>HYPERLINK("https%3A%2F%2Fwww.webofscience.com%2Fwos%2Fwoscc%2Ffull-record%2FWOS:000086352200009","View Full Record in Web of Science")</f>
        <v>View Full Record in Web of Science</v>
      </c>
    </row>
    <row r="345" spans="1:72" x14ac:dyDescent="0.25">
      <c r="A345" t="s">
        <v>72</v>
      </c>
      <c r="B345" t="s">
        <v>6143</v>
      </c>
      <c r="C345" t="s">
        <v>74</v>
      </c>
      <c r="D345" t="s">
        <v>74</v>
      </c>
      <c r="E345" t="s">
        <v>74</v>
      </c>
      <c r="F345" t="s">
        <v>6144</v>
      </c>
      <c r="G345" t="s">
        <v>74</v>
      </c>
      <c r="H345" t="s">
        <v>74</v>
      </c>
      <c r="I345" t="s">
        <v>6145</v>
      </c>
      <c r="J345" t="s">
        <v>6146</v>
      </c>
      <c r="K345" t="s">
        <v>74</v>
      </c>
      <c r="L345" t="s">
        <v>74</v>
      </c>
      <c r="M345" t="s">
        <v>77</v>
      </c>
      <c r="N345" t="s">
        <v>78</v>
      </c>
      <c r="O345" t="s">
        <v>74</v>
      </c>
      <c r="P345" t="s">
        <v>74</v>
      </c>
      <c r="Q345" t="s">
        <v>74</v>
      </c>
      <c r="R345" t="s">
        <v>74</v>
      </c>
      <c r="S345" t="s">
        <v>74</v>
      </c>
      <c r="T345" t="s">
        <v>6147</v>
      </c>
      <c r="U345" t="s">
        <v>6148</v>
      </c>
      <c r="V345" t="s">
        <v>6149</v>
      </c>
      <c r="W345" t="s">
        <v>6150</v>
      </c>
      <c r="X345" t="s">
        <v>6151</v>
      </c>
      <c r="Y345" t="s">
        <v>6152</v>
      </c>
      <c r="Z345" t="s">
        <v>6153</v>
      </c>
      <c r="AA345" t="s">
        <v>74</v>
      </c>
      <c r="AB345" t="s">
        <v>6154</v>
      </c>
      <c r="AC345" t="s">
        <v>74</v>
      </c>
      <c r="AD345" t="s">
        <v>74</v>
      </c>
      <c r="AE345" t="s">
        <v>74</v>
      </c>
      <c r="AF345" t="s">
        <v>74</v>
      </c>
      <c r="AG345">
        <v>97</v>
      </c>
      <c r="AH345">
        <v>25</v>
      </c>
      <c r="AI345">
        <v>25</v>
      </c>
      <c r="AJ345">
        <v>2</v>
      </c>
      <c r="AK345">
        <v>39</v>
      </c>
      <c r="AL345" t="s">
        <v>350</v>
      </c>
      <c r="AM345" t="s">
        <v>351</v>
      </c>
      <c r="AN345" t="s">
        <v>352</v>
      </c>
      <c r="AO345" t="s">
        <v>6155</v>
      </c>
      <c r="AP345" t="s">
        <v>6156</v>
      </c>
      <c r="AQ345" t="s">
        <v>74</v>
      </c>
      <c r="AR345" t="s">
        <v>6157</v>
      </c>
      <c r="AS345" t="s">
        <v>6158</v>
      </c>
      <c r="AT345" t="s">
        <v>165</v>
      </c>
      <c r="AU345">
        <v>2021</v>
      </c>
      <c r="AV345">
        <v>62</v>
      </c>
      <c r="AW345">
        <v>2</v>
      </c>
      <c r="AX345" t="s">
        <v>74</v>
      </c>
      <c r="AY345" t="s">
        <v>74</v>
      </c>
      <c r="AZ345" t="s">
        <v>74</v>
      </c>
      <c r="BA345" t="s">
        <v>74</v>
      </c>
      <c r="BB345">
        <v>261</v>
      </c>
      <c r="BC345">
        <v>275</v>
      </c>
      <c r="BD345">
        <v>1938965520910119</v>
      </c>
      <c r="BE345" t="s">
        <v>6159</v>
      </c>
      <c r="BF345" t="str">
        <f>HYPERLINK("http://dx.doi.org/10.1177/1938965520910119","http://dx.doi.org/10.1177/1938965520910119")</f>
        <v>http://dx.doi.org/10.1177/1938965520910119</v>
      </c>
      <c r="BG345" t="s">
        <v>74</v>
      </c>
      <c r="BH345" t="s">
        <v>6160</v>
      </c>
      <c r="BI345">
        <v>15</v>
      </c>
      <c r="BJ345" t="s">
        <v>6161</v>
      </c>
      <c r="BK345" t="s">
        <v>94</v>
      </c>
      <c r="BL345" t="s">
        <v>6162</v>
      </c>
      <c r="BM345" t="s">
        <v>6163</v>
      </c>
      <c r="BN345" t="s">
        <v>74</v>
      </c>
      <c r="BO345" t="s">
        <v>74</v>
      </c>
      <c r="BP345" t="s">
        <v>74</v>
      </c>
      <c r="BQ345" t="s">
        <v>74</v>
      </c>
      <c r="BR345" t="s">
        <v>97</v>
      </c>
      <c r="BS345" t="s">
        <v>6164</v>
      </c>
      <c r="BT345" t="str">
        <f>HYPERLINK("https%3A%2F%2Fwww.webofscience.com%2Fwos%2Fwoscc%2Ffull-record%2FWOS:000523799500001","View Full Record in Web of Science")</f>
        <v>View Full Record in Web of Science</v>
      </c>
    </row>
    <row r="346" spans="1:72" x14ac:dyDescent="0.25">
      <c r="A346" t="s">
        <v>72</v>
      </c>
      <c r="B346" t="s">
        <v>6165</v>
      </c>
      <c r="C346" t="s">
        <v>74</v>
      </c>
      <c r="D346" t="s">
        <v>74</v>
      </c>
      <c r="E346" t="s">
        <v>74</v>
      </c>
      <c r="F346" t="s">
        <v>6166</v>
      </c>
      <c r="G346" t="s">
        <v>74</v>
      </c>
      <c r="H346" t="s">
        <v>74</v>
      </c>
      <c r="I346" t="s">
        <v>6167</v>
      </c>
      <c r="J346" t="s">
        <v>6168</v>
      </c>
      <c r="K346" t="s">
        <v>74</v>
      </c>
      <c r="L346" t="s">
        <v>74</v>
      </c>
      <c r="M346" t="s">
        <v>77</v>
      </c>
      <c r="N346" t="s">
        <v>78</v>
      </c>
      <c r="O346" t="s">
        <v>74</v>
      </c>
      <c r="P346" t="s">
        <v>74</v>
      </c>
      <c r="Q346" t="s">
        <v>74</v>
      </c>
      <c r="R346" t="s">
        <v>74</v>
      </c>
      <c r="S346" t="s">
        <v>74</v>
      </c>
      <c r="T346" t="s">
        <v>6169</v>
      </c>
      <c r="U346" t="s">
        <v>6170</v>
      </c>
      <c r="V346" t="s">
        <v>6171</v>
      </c>
      <c r="W346" t="s">
        <v>6172</v>
      </c>
      <c r="X346" t="s">
        <v>6173</v>
      </c>
      <c r="Y346" t="s">
        <v>6174</v>
      </c>
      <c r="Z346" t="s">
        <v>6175</v>
      </c>
      <c r="AA346" t="s">
        <v>74</v>
      </c>
      <c r="AB346" t="s">
        <v>6176</v>
      </c>
      <c r="AC346" t="s">
        <v>6177</v>
      </c>
      <c r="AD346" t="s">
        <v>6178</v>
      </c>
      <c r="AE346" t="s">
        <v>6179</v>
      </c>
      <c r="AF346" t="s">
        <v>74</v>
      </c>
      <c r="AG346">
        <v>103</v>
      </c>
      <c r="AH346">
        <v>25</v>
      </c>
      <c r="AI346">
        <v>26</v>
      </c>
      <c r="AJ346">
        <v>7</v>
      </c>
      <c r="AK346">
        <v>68</v>
      </c>
      <c r="AL346" t="s">
        <v>350</v>
      </c>
      <c r="AM346" t="s">
        <v>351</v>
      </c>
      <c r="AN346" t="s">
        <v>352</v>
      </c>
      <c r="AO346" t="s">
        <v>6180</v>
      </c>
      <c r="AP346" t="s">
        <v>6181</v>
      </c>
      <c r="AQ346" t="s">
        <v>74</v>
      </c>
      <c r="AR346" t="s">
        <v>6182</v>
      </c>
      <c r="AS346" t="s">
        <v>6183</v>
      </c>
      <c r="AT346" t="s">
        <v>405</v>
      </c>
      <c r="AU346">
        <v>2020</v>
      </c>
      <c r="AV346">
        <v>44</v>
      </c>
      <c r="AW346">
        <v>2</v>
      </c>
      <c r="AX346" t="s">
        <v>74</v>
      </c>
      <c r="AY346" t="s">
        <v>74</v>
      </c>
      <c r="AZ346" t="s">
        <v>74</v>
      </c>
      <c r="BA346" t="s">
        <v>74</v>
      </c>
      <c r="BB346">
        <v>351</v>
      </c>
      <c r="BC346">
        <v>376</v>
      </c>
      <c r="BD346">
        <v>1096348019893043</v>
      </c>
      <c r="BE346" t="s">
        <v>6184</v>
      </c>
      <c r="BF346" t="str">
        <f>HYPERLINK("http://dx.doi.org/10.1177/1096348019893043","http://dx.doi.org/10.1177/1096348019893043")</f>
        <v>http://dx.doi.org/10.1177/1096348019893043</v>
      </c>
      <c r="BG346" t="s">
        <v>74</v>
      </c>
      <c r="BH346" t="s">
        <v>6185</v>
      </c>
      <c r="BI346">
        <v>26</v>
      </c>
      <c r="BJ346" t="s">
        <v>630</v>
      </c>
      <c r="BK346" t="s">
        <v>94</v>
      </c>
      <c r="BL346" t="s">
        <v>631</v>
      </c>
      <c r="BM346" t="s">
        <v>6186</v>
      </c>
      <c r="BN346" t="s">
        <v>74</v>
      </c>
      <c r="BO346" t="s">
        <v>718</v>
      </c>
      <c r="BP346" t="s">
        <v>74</v>
      </c>
      <c r="BQ346" t="s">
        <v>74</v>
      </c>
      <c r="BR346" t="s">
        <v>97</v>
      </c>
      <c r="BS346" t="s">
        <v>6187</v>
      </c>
      <c r="BT346" t="str">
        <f>HYPERLINK("https%3A%2F%2Fwww.webofscience.com%2Fwos%2Fwoscc%2Ffull-record%2FWOS:000501961600001","View Full Record in Web of Science")</f>
        <v>View Full Record in Web of Science</v>
      </c>
    </row>
    <row r="347" spans="1:72" x14ac:dyDescent="0.25">
      <c r="A347" t="s">
        <v>72</v>
      </c>
      <c r="B347" t="s">
        <v>6188</v>
      </c>
      <c r="C347" t="s">
        <v>74</v>
      </c>
      <c r="D347" t="s">
        <v>74</v>
      </c>
      <c r="E347" t="s">
        <v>74</v>
      </c>
      <c r="F347" t="s">
        <v>6189</v>
      </c>
      <c r="G347" t="s">
        <v>74</v>
      </c>
      <c r="H347" t="s">
        <v>74</v>
      </c>
      <c r="I347" t="s">
        <v>6190</v>
      </c>
      <c r="J347" t="s">
        <v>1739</v>
      </c>
      <c r="K347" t="s">
        <v>74</v>
      </c>
      <c r="L347" t="s">
        <v>74</v>
      </c>
      <c r="M347" t="s">
        <v>77</v>
      </c>
      <c r="N347" t="s">
        <v>78</v>
      </c>
      <c r="O347" t="s">
        <v>74</v>
      </c>
      <c r="P347" t="s">
        <v>74</v>
      </c>
      <c r="Q347" t="s">
        <v>74</v>
      </c>
      <c r="R347" t="s">
        <v>74</v>
      </c>
      <c r="S347" t="s">
        <v>74</v>
      </c>
      <c r="T347" t="s">
        <v>6191</v>
      </c>
      <c r="U347" t="s">
        <v>6192</v>
      </c>
      <c r="V347" t="s">
        <v>6193</v>
      </c>
      <c r="W347" t="s">
        <v>6194</v>
      </c>
      <c r="X347" t="s">
        <v>6195</v>
      </c>
      <c r="Y347" t="s">
        <v>6196</v>
      </c>
      <c r="Z347" t="s">
        <v>6197</v>
      </c>
      <c r="AA347" t="s">
        <v>74</v>
      </c>
      <c r="AB347" t="s">
        <v>74</v>
      </c>
      <c r="AC347" t="s">
        <v>6198</v>
      </c>
      <c r="AD347" t="s">
        <v>6199</v>
      </c>
      <c r="AE347" t="s">
        <v>6200</v>
      </c>
      <c r="AF347" t="s">
        <v>74</v>
      </c>
      <c r="AG347">
        <v>67</v>
      </c>
      <c r="AH347">
        <v>25</v>
      </c>
      <c r="AI347">
        <v>25</v>
      </c>
      <c r="AJ347">
        <v>11</v>
      </c>
      <c r="AK347">
        <v>93</v>
      </c>
      <c r="AL347" t="s">
        <v>665</v>
      </c>
      <c r="AM347" t="s">
        <v>666</v>
      </c>
      <c r="AN347" t="s">
        <v>667</v>
      </c>
      <c r="AO347" t="s">
        <v>1749</v>
      </c>
      <c r="AP347" t="s">
        <v>1750</v>
      </c>
      <c r="AQ347" t="s">
        <v>74</v>
      </c>
      <c r="AR347" t="s">
        <v>1751</v>
      </c>
      <c r="AS347" t="s">
        <v>1752</v>
      </c>
      <c r="AT347" t="s">
        <v>6201</v>
      </c>
      <c r="AU347">
        <v>2019</v>
      </c>
      <c r="AV347">
        <v>23</v>
      </c>
      <c r="AW347">
        <v>8</v>
      </c>
      <c r="AX347" t="s">
        <v>74</v>
      </c>
      <c r="AY347" t="s">
        <v>74</v>
      </c>
      <c r="AZ347" t="s">
        <v>74</v>
      </c>
      <c r="BA347" t="s">
        <v>74</v>
      </c>
      <c r="BB347">
        <v>1652</v>
      </c>
      <c r="BC347">
        <v>1672</v>
      </c>
      <c r="BD347" t="s">
        <v>74</v>
      </c>
      <c r="BE347" t="s">
        <v>6202</v>
      </c>
      <c r="BF347" t="str">
        <f>HYPERLINK("http://dx.doi.org/10.1108/JKM-12-2018-0753","http://dx.doi.org/10.1108/JKM-12-2018-0753")</f>
        <v>http://dx.doi.org/10.1108/JKM-12-2018-0753</v>
      </c>
      <c r="BG347" t="s">
        <v>74</v>
      </c>
      <c r="BH347" t="s">
        <v>74</v>
      </c>
      <c r="BI347">
        <v>21</v>
      </c>
      <c r="BJ347" t="s">
        <v>1754</v>
      </c>
      <c r="BK347" t="s">
        <v>94</v>
      </c>
      <c r="BL347" t="s">
        <v>1755</v>
      </c>
      <c r="BM347" t="s">
        <v>6203</v>
      </c>
      <c r="BN347" t="s">
        <v>74</v>
      </c>
      <c r="BO347" t="s">
        <v>74</v>
      </c>
      <c r="BP347" t="s">
        <v>74</v>
      </c>
      <c r="BQ347" t="s">
        <v>74</v>
      </c>
      <c r="BR347" t="s">
        <v>97</v>
      </c>
      <c r="BS347" t="s">
        <v>6204</v>
      </c>
      <c r="BT347" t="str">
        <f>HYPERLINK("https%3A%2F%2Fwww.webofscience.com%2Fwos%2Fwoscc%2Ffull-record%2FWOS:000497220900009","View Full Record in Web of Science")</f>
        <v>View Full Record in Web of Science</v>
      </c>
    </row>
    <row r="348" spans="1:72" x14ac:dyDescent="0.25">
      <c r="A348" t="s">
        <v>72</v>
      </c>
      <c r="B348" t="s">
        <v>6205</v>
      </c>
      <c r="C348" t="s">
        <v>74</v>
      </c>
      <c r="D348" t="s">
        <v>74</v>
      </c>
      <c r="E348" t="s">
        <v>74</v>
      </c>
      <c r="F348" t="s">
        <v>6206</v>
      </c>
      <c r="G348" t="s">
        <v>74</v>
      </c>
      <c r="H348" t="s">
        <v>74</v>
      </c>
      <c r="I348" t="s">
        <v>6207</v>
      </c>
      <c r="J348" t="s">
        <v>186</v>
      </c>
      <c r="K348" t="s">
        <v>74</v>
      </c>
      <c r="L348" t="s">
        <v>74</v>
      </c>
      <c r="M348" t="s">
        <v>77</v>
      </c>
      <c r="N348" t="s">
        <v>78</v>
      </c>
      <c r="O348" t="s">
        <v>74</v>
      </c>
      <c r="P348" t="s">
        <v>74</v>
      </c>
      <c r="Q348" t="s">
        <v>74</v>
      </c>
      <c r="R348" t="s">
        <v>74</v>
      </c>
      <c r="S348" t="s">
        <v>74</v>
      </c>
      <c r="T348" t="s">
        <v>6208</v>
      </c>
      <c r="U348" t="s">
        <v>6209</v>
      </c>
      <c r="V348" t="s">
        <v>6210</v>
      </c>
      <c r="W348" t="s">
        <v>6211</v>
      </c>
      <c r="X348" t="s">
        <v>6212</v>
      </c>
      <c r="Y348" t="s">
        <v>6213</v>
      </c>
      <c r="Z348" t="s">
        <v>873</v>
      </c>
      <c r="AA348" t="s">
        <v>6214</v>
      </c>
      <c r="AB348" t="s">
        <v>6215</v>
      </c>
      <c r="AC348" t="s">
        <v>6216</v>
      </c>
      <c r="AD348" t="s">
        <v>6217</v>
      </c>
      <c r="AE348" t="s">
        <v>6218</v>
      </c>
      <c r="AF348" t="s">
        <v>74</v>
      </c>
      <c r="AG348">
        <v>139</v>
      </c>
      <c r="AH348">
        <v>25</v>
      </c>
      <c r="AI348">
        <v>28</v>
      </c>
      <c r="AJ348">
        <v>20</v>
      </c>
      <c r="AK348">
        <v>283</v>
      </c>
      <c r="AL348" t="s">
        <v>194</v>
      </c>
      <c r="AM348" t="s">
        <v>195</v>
      </c>
      <c r="AN348" t="s">
        <v>196</v>
      </c>
      <c r="AO348" t="s">
        <v>197</v>
      </c>
      <c r="AP348" t="s">
        <v>939</v>
      </c>
      <c r="AQ348" t="s">
        <v>74</v>
      </c>
      <c r="AR348" t="s">
        <v>198</v>
      </c>
      <c r="AS348" t="s">
        <v>199</v>
      </c>
      <c r="AT348" t="s">
        <v>496</v>
      </c>
      <c r="AU348">
        <v>2019</v>
      </c>
      <c r="AV348">
        <v>104</v>
      </c>
      <c r="AW348">
        <v>9</v>
      </c>
      <c r="AX348" t="s">
        <v>74</v>
      </c>
      <c r="AY348" t="s">
        <v>74</v>
      </c>
      <c r="AZ348" t="s">
        <v>74</v>
      </c>
      <c r="BA348" t="s">
        <v>74</v>
      </c>
      <c r="BB348">
        <v>1144</v>
      </c>
      <c r="BC348">
        <v>1163</v>
      </c>
      <c r="BD348" t="s">
        <v>74</v>
      </c>
      <c r="BE348" t="s">
        <v>6219</v>
      </c>
      <c r="BF348" t="str">
        <f>HYPERLINK("http://dx.doi.org/10.1037/apl0000397","http://dx.doi.org/10.1037/apl0000397")</f>
        <v>http://dx.doi.org/10.1037/apl0000397</v>
      </c>
      <c r="BG348" t="s">
        <v>74</v>
      </c>
      <c r="BH348" t="s">
        <v>74</v>
      </c>
      <c r="BI348">
        <v>20</v>
      </c>
      <c r="BJ348" t="s">
        <v>202</v>
      </c>
      <c r="BK348" t="s">
        <v>94</v>
      </c>
      <c r="BL348" t="s">
        <v>203</v>
      </c>
      <c r="BM348" t="s">
        <v>6220</v>
      </c>
      <c r="BN348">
        <v>30762380</v>
      </c>
      <c r="BO348" t="s">
        <v>74</v>
      </c>
      <c r="BP348" t="s">
        <v>74</v>
      </c>
      <c r="BQ348" t="s">
        <v>74</v>
      </c>
      <c r="BR348" t="s">
        <v>97</v>
      </c>
      <c r="BS348" t="s">
        <v>6221</v>
      </c>
      <c r="BT348" t="str">
        <f>HYPERLINK("https%3A%2F%2Fwww.webofscience.com%2Fwos%2Fwoscc%2Ffull-record%2FWOS:000482568800004","View Full Record in Web of Science")</f>
        <v>View Full Record in Web of Science</v>
      </c>
    </row>
    <row r="349" spans="1:72" x14ac:dyDescent="0.25">
      <c r="A349" t="s">
        <v>72</v>
      </c>
      <c r="B349" t="s">
        <v>6222</v>
      </c>
      <c r="C349" t="s">
        <v>74</v>
      </c>
      <c r="D349" t="s">
        <v>74</v>
      </c>
      <c r="E349" t="s">
        <v>74</v>
      </c>
      <c r="F349" t="s">
        <v>6223</v>
      </c>
      <c r="G349" t="s">
        <v>74</v>
      </c>
      <c r="H349" t="s">
        <v>74</v>
      </c>
      <c r="I349" t="s">
        <v>6224</v>
      </c>
      <c r="J349" t="s">
        <v>3683</v>
      </c>
      <c r="K349" t="s">
        <v>74</v>
      </c>
      <c r="L349" t="s">
        <v>74</v>
      </c>
      <c r="M349" t="s">
        <v>77</v>
      </c>
      <c r="N349" t="s">
        <v>78</v>
      </c>
      <c r="O349" t="s">
        <v>74</v>
      </c>
      <c r="P349" t="s">
        <v>74</v>
      </c>
      <c r="Q349" t="s">
        <v>74</v>
      </c>
      <c r="R349" t="s">
        <v>74</v>
      </c>
      <c r="S349" t="s">
        <v>74</v>
      </c>
      <c r="T349" t="s">
        <v>6225</v>
      </c>
      <c r="U349" t="s">
        <v>6226</v>
      </c>
      <c r="V349" t="s">
        <v>6227</v>
      </c>
      <c r="W349" t="s">
        <v>6228</v>
      </c>
      <c r="X349" t="s">
        <v>6229</v>
      </c>
      <c r="Y349" t="s">
        <v>6230</v>
      </c>
      <c r="Z349" t="s">
        <v>6231</v>
      </c>
      <c r="AA349" t="s">
        <v>6232</v>
      </c>
      <c r="AB349" t="s">
        <v>6233</v>
      </c>
      <c r="AC349" t="s">
        <v>74</v>
      </c>
      <c r="AD349" t="s">
        <v>74</v>
      </c>
      <c r="AE349" t="s">
        <v>74</v>
      </c>
      <c r="AF349" t="s">
        <v>74</v>
      </c>
      <c r="AG349">
        <v>91</v>
      </c>
      <c r="AH349">
        <v>25</v>
      </c>
      <c r="AI349">
        <v>25</v>
      </c>
      <c r="AJ349">
        <v>8</v>
      </c>
      <c r="AK349">
        <v>79</v>
      </c>
      <c r="AL349" t="s">
        <v>1533</v>
      </c>
      <c r="AM349" t="s">
        <v>1534</v>
      </c>
      <c r="AN349" t="s">
        <v>1535</v>
      </c>
      <c r="AO349" t="s">
        <v>3693</v>
      </c>
      <c r="AP349" t="s">
        <v>3694</v>
      </c>
      <c r="AQ349" t="s">
        <v>74</v>
      </c>
      <c r="AR349" t="s">
        <v>3695</v>
      </c>
      <c r="AS349" t="s">
        <v>3696</v>
      </c>
      <c r="AT349" t="s">
        <v>496</v>
      </c>
      <c r="AU349">
        <v>2018</v>
      </c>
      <c r="AV349">
        <v>8</v>
      </c>
      <c r="AW349">
        <v>3</v>
      </c>
      <c r="AX349" t="s">
        <v>74</v>
      </c>
      <c r="AY349" t="s">
        <v>74</v>
      </c>
      <c r="AZ349" t="s">
        <v>74</v>
      </c>
      <c r="BA349" t="s">
        <v>74</v>
      </c>
      <c r="BB349">
        <v>299</v>
      </c>
      <c r="BC349">
        <v>321</v>
      </c>
      <c r="BD349" t="s">
        <v>74</v>
      </c>
      <c r="BE349" t="s">
        <v>6234</v>
      </c>
      <c r="BF349" t="str">
        <f>HYPERLINK("http://dx.doi.org/10.1007/s40821-017-0084-6","http://dx.doi.org/10.1007/s40821-017-0084-6")</f>
        <v>http://dx.doi.org/10.1007/s40821-017-0084-6</v>
      </c>
      <c r="BG349" t="s">
        <v>74</v>
      </c>
      <c r="BH349" t="s">
        <v>74</v>
      </c>
      <c r="BI349">
        <v>23</v>
      </c>
      <c r="BJ349" t="s">
        <v>1199</v>
      </c>
      <c r="BK349" t="s">
        <v>94</v>
      </c>
      <c r="BL349" t="s">
        <v>95</v>
      </c>
      <c r="BM349" t="s">
        <v>6235</v>
      </c>
      <c r="BN349" t="s">
        <v>74</v>
      </c>
      <c r="BO349" t="s">
        <v>74</v>
      </c>
      <c r="BP349" t="s">
        <v>74</v>
      </c>
      <c r="BQ349" t="s">
        <v>74</v>
      </c>
      <c r="BR349" t="s">
        <v>97</v>
      </c>
      <c r="BS349" t="s">
        <v>6236</v>
      </c>
      <c r="BT349" t="str">
        <f>HYPERLINK("https%3A%2F%2Fwww.webofscience.com%2Fwos%2Fwoscc%2Ffull-record%2FWOS:000441616000004","View Full Record in Web of Science")</f>
        <v>View Full Record in Web of Science</v>
      </c>
    </row>
    <row r="350" spans="1:72" x14ac:dyDescent="0.25">
      <c r="A350" t="s">
        <v>72</v>
      </c>
      <c r="B350" t="s">
        <v>6237</v>
      </c>
      <c r="C350" t="s">
        <v>74</v>
      </c>
      <c r="D350" t="s">
        <v>74</v>
      </c>
      <c r="E350" t="s">
        <v>74</v>
      </c>
      <c r="F350" t="s">
        <v>6238</v>
      </c>
      <c r="G350" t="s">
        <v>74</v>
      </c>
      <c r="H350" t="s">
        <v>74</v>
      </c>
      <c r="I350" t="s">
        <v>6239</v>
      </c>
      <c r="J350" t="s">
        <v>3931</v>
      </c>
      <c r="K350" t="s">
        <v>74</v>
      </c>
      <c r="L350" t="s">
        <v>74</v>
      </c>
      <c r="M350" t="s">
        <v>77</v>
      </c>
      <c r="N350" t="s">
        <v>78</v>
      </c>
      <c r="O350" t="s">
        <v>74</v>
      </c>
      <c r="P350" t="s">
        <v>74</v>
      </c>
      <c r="Q350" t="s">
        <v>74</v>
      </c>
      <c r="R350" t="s">
        <v>74</v>
      </c>
      <c r="S350" t="s">
        <v>74</v>
      </c>
      <c r="T350" t="s">
        <v>6240</v>
      </c>
      <c r="U350" t="s">
        <v>6241</v>
      </c>
      <c r="V350" t="s">
        <v>6242</v>
      </c>
      <c r="W350" t="s">
        <v>6243</v>
      </c>
      <c r="X350" t="s">
        <v>6244</v>
      </c>
      <c r="Y350" t="s">
        <v>6245</v>
      </c>
      <c r="Z350" t="s">
        <v>6246</v>
      </c>
      <c r="AA350" t="s">
        <v>6247</v>
      </c>
      <c r="AB350" t="s">
        <v>6248</v>
      </c>
      <c r="AC350" t="s">
        <v>74</v>
      </c>
      <c r="AD350" t="s">
        <v>74</v>
      </c>
      <c r="AE350" t="s">
        <v>74</v>
      </c>
      <c r="AF350" t="s">
        <v>74</v>
      </c>
      <c r="AG350">
        <v>105</v>
      </c>
      <c r="AH350">
        <v>25</v>
      </c>
      <c r="AI350">
        <v>25</v>
      </c>
      <c r="AJ350">
        <v>12</v>
      </c>
      <c r="AK350">
        <v>103</v>
      </c>
      <c r="AL350" t="s">
        <v>665</v>
      </c>
      <c r="AM350" t="s">
        <v>666</v>
      </c>
      <c r="AN350" t="s">
        <v>667</v>
      </c>
      <c r="AO350" t="s">
        <v>3939</v>
      </c>
      <c r="AP350" t="s">
        <v>3940</v>
      </c>
      <c r="AQ350" t="s">
        <v>74</v>
      </c>
      <c r="AR350" t="s">
        <v>3941</v>
      </c>
      <c r="AS350" t="s">
        <v>3942</v>
      </c>
      <c r="AT350" t="s">
        <v>74</v>
      </c>
      <c r="AU350">
        <v>2018</v>
      </c>
      <c r="AV350">
        <v>39</v>
      </c>
      <c r="AW350">
        <v>6</v>
      </c>
      <c r="AX350" t="s">
        <v>74</v>
      </c>
      <c r="AY350" t="s">
        <v>74</v>
      </c>
      <c r="AZ350" t="s">
        <v>74</v>
      </c>
      <c r="BA350" t="s">
        <v>74</v>
      </c>
      <c r="BB350">
        <v>775</v>
      </c>
      <c r="BC350">
        <v>793</v>
      </c>
      <c r="BD350" t="s">
        <v>74</v>
      </c>
      <c r="BE350" t="s">
        <v>6249</v>
      </c>
      <c r="BF350" t="str">
        <f>HYPERLINK("http://dx.doi.org/10.1108/LODJ-01-2018-0015","http://dx.doi.org/10.1108/LODJ-01-2018-0015")</f>
        <v>http://dx.doi.org/10.1108/LODJ-01-2018-0015</v>
      </c>
      <c r="BG350" t="s">
        <v>74</v>
      </c>
      <c r="BH350" t="s">
        <v>74</v>
      </c>
      <c r="BI350">
        <v>19</v>
      </c>
      <c r="BJ350" t="s">
        <v>442</v>
      </c>
      <c r="BK350" t="s">
        <v>94</v>
      </c>
      <c r="BL350" t="s">
        <v>95</v>
      </c>
      <c r="BM350" t="s">
        <v>6250</v>
      </c>
      <c r="BN350" t="s">
        <v>74</v>
      </c>
      <c r="BO350" t="s">
        <v>74</v>
      </c>
      <c r="BP350" t="s">
        <v>74</v>
      </c>
      <c r="BQ350" t="s">
        <v>74</v>
      </c>
      <c r="BR350" t="s">
        <v>97</v>
      </c>
      <c r="BS350" t="s">
        <v>6251</v>
      </c>
      <c r="BT350" t="str">
        <f>HYPERLINK("https%3A%2F%2Fwww.webofscience.com%2Fwos%2Fwoscc%2Ffull-record%2FWOS:000439576300006","View Full Record in Web of Science")</f>
        <v>View Full Record in Web of Science</v>
      </c>
    </row>
    <row r="351" spans="1:72" x14ac:dyDescent="0.25">
      <c r="A351" t="s">
        <v>72</v>
      </c>
      <c r="B351" t="s">
        <v>6252</v>
      </c>
      <c r="C351" t="s">
        <v>74</v>
      </c>
      <c r="D351" t="s">
        <v>74</v>
      </c>
      <c r="E351" t="s">
        <v>74</v>
      </c>
      <c r="F351" t="s">
        <v>6253</v>
      </c>
      <c r="G351" t="s">
        <v>74</v>
      </c>
      <c r="H351" t="s">
        <v>74</v>
      </c>
      <c r="I351" t="s">
        <v>6254</v>
      </c>
      <c r="J351" t="s">
        <v>466</v>
      </c>
      <c r="K351" t="s">
        <v>74</v>
      </c>
      <c r="L351" t="s">
        <v>74</v>
      </c>
      <c r="M351" t="s">
        <v>77</v>
      </c>
      <c r="N351" t="s">
        <v>78</v>
      </c>
      <c r="O351" t="s">
        <v>74</v>
      </c>
      <c r="P351" t="s">
        <v>74</v>
      </c>
      <c r="Q351" t="s">
        <v>74</v>
      </c>
      <c r="R351" t="s">
        <v>74</v>
      </c>
      <c r="S351" t="s">
        <v>74</v>
      </c>
      <c r="T351" t="s">
        <v>6255</v>
      </c>
      <c r="U351" t="s">
        <v>6256</v>
      </c>
      <c r="V351" t="s">
        <v>6257</v>
      </c>
      <c r="W351" t="s">
        <v>6258</v>
      </c>
      <c r="X351" t="s">
        <v>6259</v>
      </c>
      <c r="Y351" t="s">
        <v>6260</v>
      </c>
      <c r="Z351" t="s">
        <v>6261</v>
      </c>
      <c r="AA351" t="s">
        <v>2733</v>
      </c>
      <c r="AB351" t="s">
        <v>74</v>
      </c>
      <c r="AC351" t="s">
        <v>74</v>
      </c>
      <c r="AD351" t="s">
        <v>74</v>
      </c>
      <c r="AE351" t="s">
        <v>74</v>
      </c>
      <c r="AF351" t="s">
        <v>74</v>
      </c>
      <c r="AG351">
        <v>109</v>
      </c>
      <c r="AH351">
        <v>25</v>
      </c>
      <c r="AI351">
        <v>26</v>
      </c>
      <c r="AJ351">
        <v>2</v>
      </c>
      <c r="AK351">
        <v>66</v>
      </c>
      <c r="AL351" t="s">
        <v>218</v>
      </c>
      <c r="AM351" t="s">
        <v>219</v>
      </c>
      <c r="AN351" t="s">
        <v>220</v>
      </c>
      <c r="AO351" t="s">
        <v>476</v>
      </c>
      <c r="AP351" t="s">
        <v>477</v>
      </c>
      <c r="AQ351" t="s">
        <v>74</v>
      </c>
      <c r="AR351" t="s">
        <v>478</v>
      </c>
      <c r="AS351" t="s">
        <v>479</v>
      </c>
      <c r="AT351" t="s">
        <v>91</v>
      </c>
      <c r="AU351">
        <v>2017</v>
      </c>
      <c r="AV351">
        <v>51</v>
      </c>
      <c r="AW351">
        <v>2</v>
      </c>
      <c r="AX351" t="s">
        <v>74</v>
      </c>
      <c r="AY351" t="s">
        <v>74</v>
      </c>
      <c r="AZ351" t="s">
        <v>74</v>
      </c>
      <c r="BA351" t="s">
        <v>74</v>
      </c>
      <c r="BB351">
        <v>107</v>
      </c>
      <c r="BC351">
        <v>127</v>
      </c>
      <c r="BD351" t="s">
        <v>74</v>
      </c>
      <c r="BE351" t="s">
        <v>6262</v>
      </c>
      <c r="BF351" t="str">
        <f>HYPERLINK("http://dx.doi.org/10.1002/jocb.89","http://dx.doi.org/10.1002/jocb.89")</f>
        <v>http://dx.doi.org/10.1002/jocb.89</v>
      </c>
      <c r="BG351" t="s">
        <v>74</v>
      </c>
      <c r="BH351" t="s">
        <v>74</v>
      </c>
      <c r="BI351">
        <v>21</v>
      </c>
      <c r="BJ351" t="s">
        <v>481</v>
      </c>
      <c r="BK351" t="s">
        <v>94</v>
      </c>
      <c r="BL351" t="s">
        <v>460</v>
      </c>
      <c r="BM351" t="s">
        <v>3118</v>
      </c>
      <c r="BN351" t="s">
        <v>74</v>
      </c>
      <c r="BO351" t="s">
        <v>74</v>
      </c>
      <c r="BP351" t="s">
        <v>74</v>
      </c>
      <c r="BQ351" t="s">
        <v>74</v>
      </c>
      <c r="BR351" t="s">
        <v>97</v>
      </c>
      <c r="BS351" t="s">
        <v>6263</v>
      </c>
      <c r="BT351" t="str">
        <f>HYPERLINK("https%3A%2F%2Fwww.webofscience.com%2Fwos%2Fwoscc%2Ffull-record%2FWOS:000402619800002","View Full Record in Web of Science")</f>
        <v>View Full Record in Web of Science</v>
      </c>
    </row>
    <row r="352" spans="1:72" x14ac:dyDescent="0.25">
      <c r="A352" t="s">
        <v>72</v>
      </c>
      <c r="B352" t="s">
        <v>6264</v>
      </c>
      <c r="C352" t="s">
        <v>74</v>
      </c>
      <c r="D352" t="s">
        <v>74</v>
      </c>
      <c r="E352" t="s">
        <v>74</v>
      </c>
      <c r="F352" t="s">
        <v>6265</v>
      </c>
      <c r="G352" t="s">
        <v>74</v>
      </c>
      <c r="H352" t="s">
        <v>74</v>
      </c>
      <c r="I352" t="s">
        <v>6266</v>
      </c>
      <c r="J352" t="s">
        <v>6267</v>
      </c>
      <c r="K352" t="s">
        <v>74</v>
      </c>
      <c r="L352" t="s">
        <v>74</v>
      </c>
      <c r="M352" t="s">
        <v>77</v>
      </c>
      <c r="N352" t="s">
        <v>78</v>
      </c>
      <c r="O352" t="s">
        <v>74</v>
      </c>
      <c r="P352" t="s">
        <v>74</v>
      </c>
      <c r="Q352" t="s">
        <v>74</v>
      </c>
      <c r="R352" t="s">
        <v>74</v>
      </c>
      <c r="S352" t="s">
        <v>74</v>
      </c>
      <c r="T352" t="s">
        <v>6268</v>
      </c>
      <c r="U352" t="s">
        <v>6269</v>
      </c>
      <c r="V352" t="s">
        <v>6270</v>
      </c>
      <c r="W352" t="s">
        <v>6271</v>
      </c>
      <c r="X352" t="s">
        <v>6272</v>
      </c>
      <c r="Y352" t="s">
        <v>6273</v>
      </c>
      <c r="Z352" t="s">
        <v>6274</v>
      </c>
      <c r="AA352" t="s">
        <v>74</v>
      </c>
      <c r="AB352" t="s">
        <v>6275</v>
      </c>
      <c r="AC352" t="s">
        <v>74</v>
      </c>
      <c r="AD352" t="s">
        <v>74</v>
      </c>
      <c r="AE352" t="s">
        <v>74</v>
      </c>
      <c r="AF352" t="s">
        <v>74</v>
      </c>
      <c r="AG352">
        <v>67</v>
      </c>
      <c r="AH352">
        <v>25</v>
      </c>
      <c r="AI352">
        <v>25</v>
      </c>
      <c r="AJ352">
        <v>1</v>
      </c>
      <c r="AK352">
        <v>49</v>
      </c>
      <c r="AL352" t="s">
        <v>304</v>
      </c>
      <c r="AM352" t="s">
        <v>305</v>
      </c>
      <c r="AN352" t="s">
        <v>306</v>
      </c>
      <c r="AO352" t="s">
        <v>6276</v>
      </c>
      <c r="AP352" t="s">
        <v>6277</v>
      </c>
      <c r="AQ352" t="s">
        <v>74</v>
      </c>
      <c r="AR352" t="s">
        <v>6278</v>
      </c>
      <c r="AS352" t="s">
        <v>6279</v>
      </c>
      <c r="AT352" t="s">
        <v>74</v>
      </c>
      <c r="AU352">
        <v>2017</v>
      </c>
      <c r="AV352">
        <v>36</v>
      </c>
      <c r="AW352">
        <v>12</v>
      </c>
      <c r="AX352" t="s">
        <v>74</v>
      </c>
      <c r="AY352" t="s">
        <v>74</v>
      </c>
      <c r="AZ352" t="s">
        <v>74</v>
      </c>
      <c r="BA352" t="s">
        <v>74</v>
      </c>
      <c r="BB352">
        <v>1235</v>
      </c>
      <c r="BC352">
        <v>1243</v>
      </c>
      <c r="BD352" t="s">
        <v>74</v>
      </c>
      <c r="BE352" t="s">
        <v>6280</v>
      </c>
      <c r="BF352" t="str">
        <f>HYPERLINK("http://dx.doi.org/10.1080/0144929X.2017.1369568","http://dx.doi.org/10.1080/0144929X.2017.1369568")</f>
        <v>http://dx.doi.org/10.1080/0144929X.2017.1369568</v>
      </c>
      <c r="BG352" t="s">
        <v>74</v>
      </c>
      <c r="BH352" t="s">
        <v>74</v>
      </c>
      <c r="BI352">
        <v>9</v>
      </c>
      <c r="BJ352" t="s">
        <v>6281</v>
      </c>
      <c r="BK352" t="s">
        <v>147</v>
      </c>
      <c r="BL352" t="s">
        <v>4544</v>
      </c>
      <c r="BM352" t="s">
        <v>6282</v>
      </c>
      <c r="BN352" t="s">
        <v>74</v>
      </c>
      <c r="BO352" t="s">
        <v>74</v>
      </c>
      <c r="BP352" t="s">
        <v>74</v>
      </c>
      <c r="BQ352" t="s">
        <v>74</v>
      </c>
      <c r="BR352" t="s">
        <v>97</v>
      </c>
      <c r="BS352" t="s">
        <v>6283</v>
      </c>
      <c r="BT352" t="str">
        <f>HYPERLINK("https%3A%2F%2Fwww.webofscience.com%2Fwos%2Fwoscc%2Ffull-record%2FWOS:000419947900002","View Full Record in Web of Science")</f>
        <v>View Full Record in Web of Science</v>
      </c>
    </row>
    <row r="353" spans="1:72" x14ac:dyDescent="0.25">
      <c r="A353" t="s">
        <v>72</v>
      </c>
      <c r="B353" t="s">
        <v>6284</v>
      </c>
      <c r="C353" t="s">
        <v>74</v>
      </c>
      <c r="D353" t="s">
        <v>74</v>
      </c>
      <c r="E353" t="s">
        <v>74</v>
      </c>
      <c r="F353" t="s">
        <v>6285</v>
      </c>
      <c r="G353" t="s">
        <v>74</v>
      </c>
      <c r="H353" t="s">
        <v>74</v>
      </c>
      <c r="I353" t="s">
        <v>6286</v>
      </c>
      <c r="J353" t="s">
        <v>1951</v>
      </c>
      <c r="K353" t="s">
        <v>74</v>
      </c>
      <c r="L353" t="s">
        <v>74</v>
      </c>
      <c r="M353" t="s">
        <v>77</v>
      </c>
      <c r="N353" t="s">
        <v>78</v>
      </c>
      <c r="O353" t="s">
        <v>74</v>
      </c>
      <c r="P353" t="s">
        <v>74</v>
      </c>
      <c r="Q353" t="s">
        <v>74</v>
      </c>
      <c r="R353" t="s">
        <v>74</v>
      </c>
      <c r="S353" t="s">
        <v>74</v>
      </c>
      <c r="T353" t="s">
        <v>6287</v>
      </c>
      <c r="U353" t="s">
        <v>6288</v>
      </c>
      <c r="V353" t="s">
        <v>6289</v>
      </c>
      <c r="W353" t="s">
        <v>6290</v>
      </c>
      <c r="X353" t="s">
        <v>6291</v>
      </c>
      <c r="Y353" t="s">
        <v>6292</v>
      </c>
      <c r="Z353" t="s">
        <v>6293</v>
      </c>
      <c r="AA353" t="s">
        <v>6294</v>
      </c>
      <c r="AB353" t="s">
        <v>6295</v>
      </c>
      <c r="AC353" t="s">
        <v>6296</v>
      </c>
      <c r="AD353" t="s">
        <v>6297</v>
      </c>
      <c r="AE353" t="s">
        <v>6298</v>
      </c>
      <c r="AF353" t="s">
        <v>74</v>
      </c>
      <c r="AG353">
        <v>74</v>
      </c>
      <c r="AH353">
        <v>25</v>
      </c>
      <c r="AI353">
        <v>26</v>
      </c>
      <c r="AJ353">
        <v>9</v>
      </c>
      <c r="AK353">
        <v>78</v>
      </c>
      <c r="AL353" t="s">
        <v>1099</v>
      </c>
      <c r="AM353" t="s">
        <v>305</v>
      </c>
      <c r="AN353" t="s">
        <v>1100</v>
      </c>
      <c r="AO353" t="s">
        <v>1963</v>
      </c>
      <c r="AP353" t="s">
        <v>1964</v>
      </c>
      <c r="AQ353" t="s">
        <v>74</v>
      </c>
      <c r="AR353" t="s">
        <v>1965</v>
      </c>
      <c r="AS353" t="s">
        <v>1966</v>
      </c>
      <c r="AT353" t="s">
        <v>74</v>
      </c>
      <c r="AU353">
        <v>2016</v>
      </c>
      <c r="AV353">
        <v>25</v>
      </c>
      <c r="AW353">
        <v>4</v>
      </c>
      <c r="AX353" t="s">
        <v>74</v>
      </c>
      <c r="AY353" t="s">
        <v>74</v>
      </c>
      <c r="AZ353" t="s">
        <v>860</v>
      </c>
      <c r="BA353" t="s">
        <v>74</v>
      </c>
      <c r="BB353">
        <v>525</v>
      </c>
      <c r="BC353">
        <v>539</v>
      </c>
      <c r="BD353" t="s">
        <v>74</v>
      </c>
      <c r="BE353" t="s">
        <v>6299</v>
      </c>
      <c r="BF353" t="str">
        <f>HYPERLINK("http://dx.doi.org/10.1080/1359432X.2016.1186012","http://dx.doi.org/10.1080/1359432X.2016.1186012")</f>
        <v>http://dx.doi.org/10.1080/1359432X.2016.1186012</v>
      </c>
      <c r="BG353" t="s">
        <v>74</v>
      </c>
      <c r="BH353" t="s">
        <v>74</v>
      </c>
      <c r="BI353">
        <v>15</v>
      </c>
      <c r="BJ353" t="s">
        <v>202</v>
      </c>
      <c r="BK353" t="s">
        <v>94</v>
      </c>
      <c r="BL353" t="s">
        <v>203</v>
      </c>
      <c r="BM353" t="s">
        <v>6300</v>
      </c>
      <c r="BN353" t="s">
        <v>74</v>
      </c>
      <c r="BO353" t="s">
        <v>378</v>
      </c>
      <c r="BP353" t="s">
        <v>74</v>
      </c>
      <c r="BQ353" t="s">
        <v>74</v>
      </c>
      <c r="BR353" t="s">
        <v>97</v>
      </c>
      <c r="BS353" t="s">
        <v>6301</v>
      </c>
      <c r="BT353" t="str">
        <f>HYPERLINK("https%3A%2F%2Fwww.webofscience.com%2Fwos%2Fwoscc%2Ffull-record%2FWOS:000378743900005","View Full Record in Web of Science")</f>
        <v>View Full Record in Web of Science</v>
      </c>
    </row>
    <row r="354" spans="1:72" x14ac:dyDescent="0.25">
      <c r="A354" t="s">
        <v>72</v>
      </c>
      <c r="B354" t="s">
        <v>6302</v>
      </c>
      <c r="C354" t="s">
        <v>74</v>
      </c>
      <c r="D354" t="s">
        <v>74</v>
      </c>
      <c r="E354" t="s">
        <v>74</v>
      </c>
      <c r="F354" t="s">
        <v>6303</v>
      </c>
      <c r="G354" t="s">
        <v>74</v>
      </c>
      <c r="H354" t="s">
        <v>74</v>
      </c>
      <c r="I354" t="s">
        <v>6304</v>
      </c>
      <c r="J354" t="s">
        <v>1951</v>
      </c>
      <c r="K354" t="s">
        <v>74</v>
      </c>
      <c r="L354" t="s">
        <v>74</v>
      </c>
      <c r="M354" t="s">
        <v>77</v>
      </c>
      <c r="N354" t="s">
        <v>78</v>
      </c>
      <c r="O354" t="s">
        <v>74</v>
      </c>
      <c r="P354" t="s">
        <v>74</v>
      </c>
      <c r="Q354" t="s">
        <v>74</v>
      </c>
      <c r="R354" t="s">
        <v>74</v>
      </c>
      <c r="S354" t="s">
        <v>74</v>
      </c>
      <c r="T354" t="s">
        <v>6305</v>
      </c>
      <c r="U354" t="s">
        <v>6306</v>
      </c>
      <c r="V354" t="s">
        <v>6307</v>
      </c>
      <c r="W354" t="s">
        <v>6308</v>
      </c>
      <c r="X354" t="s">
        <v>6309</v>
      </c>
      <c r="Y354" t="s">
        <v>6310</v>
      </c>
      <c r="Z354" t="s">
        <v>556</v>
      </c>
      <c r="AA354" t="s">
        <v>74</v>
      </c>
      <c r="AB354" t="s">
        <v>74</v>
      </c>
      <c r="AC354" t="s">
        <v>74</v>
      </c>
      <c r="AD354" t="s">
        <v>74</v>
      </c>
      <c r="AE354" t="s">
        <v>74</v>
      </c>
      <c r="AF354" t="s">
        <v>74</v>
      </c>
      <c r="AG354">
        <v>52</v>
      </c>
      <c r="AH354">
        <v>25</v>
      </c>
      <c r="AI354">
        <v>27</v>
      </c>
      <c r="AJ354">
        <v>4</v>
      </c>
      <c r="AK354">
        <v>81</v>
      </c>
      <c r="AL354" t="s">
        <v>1099</v>
      </c>
      <c r="AM354" t="s">
        <v>305</v>
      </c>
      <c r="AN354" t="s">
        <v>1100</v>
      </c>
      <c r="AO354" t="s">
        <v>1963</v>
      </c>
      <c r="AP354" t="s">
        <v>1964</v>
      </c>
      <c r="AQ354" t="s">
        <v>74</v>
      </c>
      <c r="AR354" t="s">
        <v>1965</v>
      </c>
      <c r="AS354" t="s">
        <v>1966</v>
      </c>
      <c r="AT354" t="s">
        <v>6311</v>
      </c>
      <c r="AU354">
        <v>2013</v>
      </c>
      <c r="AV354">
        <v>22</v>
      </c>
      <c r="AW354">
        <v>5</v>
      </c>
      <c r="AX354" t="s">
        <v>74</v>
      </c>
      <c r="AY354" t="s">
        <v>74</v>
      </c>
      <c r="AZ354" t="s">
        <v>74</v>
      </c>
      <c r="BA354" t="s">
        <v>74</v>
      </c>
      <c r="BB354">
        <v>574</v>
      </c>
      <c r="BC354">
        <v>587</v>
      </c>
      <c r="BD354" t="s">
        <v>74</v>
      </c>
      <c r="BE354" t="s">
        <v>6312</v>
      </c>
      <c r="BF354" t="str">
        <f>HYPERLINK("http://dx.doi.org/10.1080/1359432X.2012.669524","http://dx.doi.org/10.1080/1359432X.2012.669524")</f>
        <v>http://dx.doi.org/10.1080/1359432X.2012.669524</v>
      </c>
      <c r="BG354" t="s">
        <v>74</v>
      </c>
      <c r="BH354" t="s">
        <v>74</v>
      </c>
      <c r="BI354">
        <v>14</v>
      </c>
      <c r="BJ354" t="s">
        <v>202</v>
      </c>
      <c r="BK354" t="s">
        <v>94</v>
      </c>
      <c r="BL354" t="s">
        <v>203</v>
      </c>
      <c r="BM354" t="s">
        <v>6313</v>
      </c>
      <c r="BN354" t="s">
        <v>74</v>
      </c>
      <c r="BO354" t="s">
        <v>74</v>
      </c>
      <c r="BP354" t="s">
        <v>74</v>
      </c>
      <c r="BQ354" t="s">
        <v>74</v>
      </c>
      <c r="BR354" t="s">
        <v>97</v>
      </c>
      <c r="BS354" t="s">
        <v>6314</v>
      </c>
      <c r="BT354" t="str">
        <f>HYPERLINK("https%3A%2F%2Fwww.webofscience.com%2Fwos%2Fwoscc%2Ffull-record%2FWOS:000326014300006","View Full Record in Web of Science")</f>
        <v>View Full Record in Web of Science</v>
      </c>
    </row>
    <row r="355" spans="1:72" x14ac:dyDescent="0.25">
      <c r="A355" t="s">
        <v>72</v>
      </c>
      <c r="B355" t="s">
        <v>6315</v>
      </c>
      <c r="C355" t="s">
        <v>74</v>
      </c>
      <c r="D355" t="s">
        <v>74</v>
      </c>
      <c r="E355" t="s">
        <v>74</v>
      </c>
      <c r="F355" t="s">
        <v>6316</v>
      </c>
      <c r="G355" t="s">
        <v>74</v>
      </c>
      <c r="H355" t="s">
        <v>74</v>
      </c>
      <c r="I355" t="s">
        <v>6317</v>
      </c>
      <c r="J355" t="s">
        <v>6318</v>
      </c>
      <c r="K355" t="s">
        <v>74</v>
      </c>
      <c r="L355" t="s">
        <v>74</v>
      </c>
      <c r="M355" t="s">
        <v>77</v>
      </c>
      <c r="N355" t="s">
        <v>78</v>
      </c>
      <c r="O355" t="s">
        <v>74</v>
      </c>
      <c r="P355" t="s">
        <v>74</v>
      </c>
      <c r="Q355" t="s">
        <v>74</v>
      </c>
      <c r="R355" t="s">
        <v>74</v>
      </c>
      <c r="S355" t="s">
        <v>74</v>
      </c>
      <c r="T355" t="s">
        <v>6319</v>
      </c>
      <c r="U355" t="s">
        <v>6320</v>
      </c>
      <c r="V355" t="s">
        <v>6321</v>
      </c>
      <c r="W355" t="s">
        <v>6322</v>
      </c>
      <c r="X355" t="s">
        <v>6323</v>
      </c>
      <c r="Y355" t="s">
        <v>6324</v>
      </c>
      <c r="Z355" t="s">
        <v>6325</v>
      </c>
      <c r="AA355" t="s">
        <v>6326</v>
      </c>
      <c r="AB355" t="s">
        <v>6327</v>
      </c>
      <c r="AC355" t="s">
        <v>74</v>
      </c>
      <c r="AD355" t="s">
        <v>74</v>
      </c>
      <c r="AE355" t="s">
        <v>74</v>
      </c>
      <c r="AF355" t="s">
        <v>74</v>
      </c>
      <c r="AG355">
        <v>72</v>
      </c>
      <c r="AH355">
        <v>25</v>
      </c>
      <c r="AI355">
        <v>25</v>
      </c>
      <c r="AJ355">
        <v>0</v>
      </c>
      <c r="AK355">
        <v>43</v>
      </c>
      <c r="AL355" t="s">
        <v>350</v>
      </c>
      <c r="AM355" t="s">
        <v>351</v>
      </c>
      <c r="AN355" t="s">
        <v>352</v>
      </c>
      <c r="AO355" t="s">
        <v>6328</v>
      </c>
      <c r="AP355" t="s">
        <v>6329</v>
      </c>
      <c r="AQ355" t="s">
        <v>74</v>
      </c>
      <c r="AR355" t="s">
        <v>6330</v>
      </c>
      <c r="AS355" t="s">
        <v>6331</v>
      </c>
      <c r="AT355" t="s">
        <v>496</v>
      </c>
      <c r="AU355">
        <v>2013</v>
      </c>
      <c r="AV355">
        <v>26</v>
      </c>
      <c r="AW355">
        <v>3</v>
      </c>
      <c r="AX355" t="s">
        <v>74</v>
      </c>
      <c r="AY355" t="s">
        <v>74</v>
      </c>
      <c r="AZ355" t="s">
        <v>860</v>
      </c>
      <c r="BA355" t="s">
        <v>74</v>
      </c>
      <c r="BB355">
        <v>215</v>
      </c>
      <c r="BC355">
        <v>234</v>
      </c>
      <c r="BD355" t="s">
        <v>74</v>
      </c>
      <c r="BE355" t="s">
        <v>6332</v>
      </c>
      <c r="BF355" t="str">
        <f>HYPERLINK("http://dx.doi.org/10.1177/0894486513484351","http://dx.doi.org/10.1177/0894486513484351")</f>
        <v>http://dx.doi.org/10.1177/0894486513484351</v>
      </c>
      <c r="BG355" t="s">
        <v>74</v>
      </c>
      <c r="BH355" t="s">
        <v>74</v>
      </c>
      <c r="BI355">
        <v>20</v>
      </c>
      <c r="BJ355" t="s">
        <v>337</v>
      </c>
      <c r="BK355" t="s">
        <v>94</v>
      </c>
      <c r="BL355" t="s">
        <v>95</v>
      </c>
      <c r="BM355" t="s">
        <v>6333</v>
      </c>
      <c r="BN355" t="s">
        <v>74</v>
      </c>
      <c r="BO355" t="s">
        <v>74</v>
      </c>
      <c r="BP355" t="s">
        <v>74</v>
      </c>
      <c r="BQ355" t="s">
        <v>74</v>
      </c>
      <c r="BR355" t="s">
        <v>97</v>
      </c>
      <c r="BS355" t="s">
        <v>6334</v>
      </c>
      <c r="BT355" t="str">
        <f>HYPERLINK("https%3A%2F%2Fwww.webofscience.com%2Fwos%2Fwoscc%2Ffull-record%2FWOS:000323112200002","View Full Record in Web of Science")</f>
        <v>View Full Record in Web of Science</v>
      </c>
    </row>
    <row r="356" spans="1:72" x14ac:dyDescent="0.25">
      <c r="A356" t="s">
        <v>72</v>
      </c>
      <c r="B356" t="s">
        <v>6335</v>
      </c>
      <c r="C356" t="s">
        <v>74</v>
      </c>
      <c r="D356" t="s">
        <v>74</v>
      </c>
      <c r="E356" t="s">
        <v>74</v>
      </c>
      <c r="F356" t="s">
        <v>6336</v>
      </c>
      <c r="G356" t="s">
        <v>74</v>
      </c>
      <c r="H356" t="s">
        <v>74</v>
      </c>
      <c r="I356" t="s">
        <v>6337</v>
      </c>
      <c r="J356" t="s">
        <v>4134</v>
      </c>
      <c r="K356" t="s">
        <v>74</v>
      </c>
      <c r="L356" t="s">
        <v>74</v>
      </c>
      <c r="M356" t="s">
        <v>77</v>
      </c>
      <c r="N356" t="s">
        <v>78</v>
      </c>
      <c r="O356" t="s">
        <v>74</v>
      </c>
      <c r="P356" t="s">
        <v>74</v>
      </c>
      <c r="Q356" t="s">
        <v>74</v>
      </c>
      <c r="R356" t="s">
        <v>74</v>
      </c>
      <c r="S356" t="s">
        <v>74</v>
      </c>
      <c r="T356" t="s">
        <v>6338</v>
      </c>
      <c r="U356" t="s">
        <v>6339</v>
      </c>
      <c r="V356" t="s">
        <v>6340</v>
      </c>
      <c r="W356" t="s">
        <v>6341</v>
      </c>
      <c r="X356" t="s">
        <v>6342</v>
      </c>
      <c r="Y356" t="s">
        <v>6343</v>
      </c>
      <c r="Z356" t="s">
        <v>6344</v>
      </c>
      <c r="AA356" t="s">
        <v>6345</v>
      </c>
      <c r="AB356" t="s">
        <v>6346</v>
      </c>
      <c r="AC356" t="s">
        <v>74</v>
      </c>
      <c r="AD356" t="s">
        <v>74</v>
      </c>
      <c r="AE356" t="s">
        <v>74</v>
      </c>
      <c r="AF356" t="s">
        <v>74</v>
      </c>
      <c r="AG356">
        <v>86</v>
      </c>
      <c r="AH356">
        <v>24</v>
      </c>
      <c r="AI356">
        <v>24</v>
      </c>
      <c r="AJ356">
        <v>16</v>
      </c>
      <c r="AK356">
        <v>64</v>
      </c>
      <c r="AL356" t="s">
        <v>665</v>
      </c>
      <c r="AM356" t="s">
        <v>666</v>
      </c>
      <c r="AN356" t="s">
        <v>667</v>
      </c>
      <c r="AO356" t="s">
        <v>4144</v>
      </c>
      <c r="AP356" t="s">
        <v>4145</v>
      </c>
      <c r="AQ356" t="s">
        <v>74</v>
      </c>
      <c r="AR356" t="s">
        <v>4146</v>
      </c>
      <c r="AS356" t="s">
        <v>4147</v>
      </c>
      <c r="AT356" t="s">
        <v>6347</v>
      </c>
      <c r="AU356">
        <v>2022</v>
      </c>
      <c r="AV356">
        <v>25</v>
      </c>
      <c r="AW356">
        <v>1</v>
      </c>
      <c r="AX356" t="s">
        <v>74</v>
      </c>
      <c r="AY356" t="s">
        <v>74</v>
      </c>
      <c r="AZ356" t="s">
        <v>74</v>
      </c>
      <c r="BA356" t="s">
        <v>74</v>
      </c>
      <c r="BB356">
        <v>173</v>
      </c>
      <c r="BC356">
        <v>190</v>
      </c>
      <c r="BD356" t="s">
        <v>74</v>
      </c>
      <c r="BE356" t="s">
        <v>6348</v>
      </c>
      <c r="BF356" t="str">
        <f>HYPERLINK("http://dx.doi.org/10.1108/EJIM-06-2020-0212","http://dx.doi.org/10.1108/EJIM-06-2020-0212")</f>
        <v>http://dx.doi.org/10.1108/EJIM-06-2020-0212</v>
      </c>
      <c r="BG356" t="s">
        <v>74</v>
      </c>
      <c r="BH356" t="s">
        <v>6349</v>
      </c>
      <c r="BI356">
        <v>18</v>
      </c>
      <c r="BJ356" t="s">
        <v>93</v>
      </c>
      <c r="BK356" t="s">
        <v>94</v>
      </c>
      <c r="BL356" t="s">
        <v>95</v>
      </c>
      <c r="BM356" t="s">
        <v>6350</v>
      </c>
      <c r="BN356" t="s">
        <v>74</v>
      </c>
      <c r="BO356" t="s">
        <v>74</v>
      </c>
      <c r="BP356" t="s">
        <v>74</v>
      </c>
      <c r="BQ356" t="s">
        <v>74</v>
      </c>
      <c r="BR356" t="s">
        <v>97</v>
      </c>
      <c r="BS356" t="s">
        <v>6351</v>
      </c>
      <c r="BT356" t="str">
        <f>HYPERLINK("https%3A%2F%2Fwww.webofscience.com%2Fwos%2Fwoscc%2Ffull-record%2FWOS:000589786900001","View Full Record in Web of Science")</f>
        <v>View Full Record in Web of Science</v>
      </c>
    </row>
    <row r="357" spans="1:72" x14ac:dyDescent="0.25">
      <c r="A357" t="s">
        <v>72</v>
      </c>
      <c r="B357" t="s">
        <v>6352</v>
      </c>
      <c r="C357" t="s">
        <v>74</v>
      </c>
      <c r="D357" t="s">
        <v>74</v>
      </c>
      <c r="E357" t="s">
        <v>74</v>
      </c>
      <c r="F357" t="s">
        <v>6353</v>
      </c>
      <c r="G357" t="s">
        <v>74</v>
      </c>
      <c r="H357" t="s">
        <v>74</v>
      </c>
      <c r="I357" t="s">
        <v>6354</v>
      </c>
      <c r="J357" t="s">
        <v>758</v>
      </c>
      <c r="K357" t="s">
        <v>74</v>
      </c>
      <c r="L357" t="s">
        <v>74</v>
      </c>
      <c r="M357" t="s">
        <v>77</v>
      </c>
      <c r="N357" t="s">
        <v>78</v>
      </c>
      <c r="O357" t="s">
        <v>74</v>
      </c>
      <c r="P357" t="s">
        <v>74</v>
      </c>
      <c r="Q357" t="s">
        <v>74</v>
      </c>
      <c r="R357" t="s">
        <v>74</v>
      </c>
      <c r="S357" t="s">
        <v>74</v>
      </c>
      <c r="T357" t="s">
        <v>6355</v>
      </c>
      <c r="U357" t="s">
        <v>6356</v>
      </c>
      <c r="V357" t="s">
        <v>6357</v>
      </c>
      <c r="W357" t="s">
        <v>6358</v>
      </c>
      <c r="X357" t="s">
        <v>6359</v>
      </c>
      <c r="Y357" t="s">
        <v>6360</v>
      </c>
      <c r="Z357" t="s">
        <v>6361</v>
      </c>
      <c r="AA357" t="s">
        <v>6362</v>
      </c>
      <c r="AB357" t="s">
        <v>6363</v>
      </c>
      <c r="AC357" t="s">
        <v>6364</v>
      </c>
      <c r="AD357" t="s">
        <v>575</v>
      </c>
      <c r="AE357" t="s">
        <v>6365</v>
      </c>
      <c r="AF357" t="s">
        <v>74</v>
      </c>
      <c r="AG357">
        <v>86</v>
      </c>
      <c r="AH357">
        <v>24</v>
      </c>
      <c r="AI357">
        <v>24</v>
      </c>
      <c r="AJ357">
        <v>15</v>
      </c>
      <c r="AK357">
        <v>76</v>
      </c>
      <c r="AL357" t="s">
        <v>766</v>
      </c>
      <c r="AM357" t="s">
        <v>330</v>
      </c>
      <c r="AN357" t="s">
        <v>1452</v>
      </c>
      <c r="AO357" t="s">
        <v>768</v>
      </c>
      <c r="AP357" t="s">
        <v>769</v>
      </c>
      <c r="AQ357" t="s">
        <v>74</v>
      </c>
      <c r="AR357" t="s">
        <v>770</v>
      </c>
      <c r="AS357" t="s">
        <v>771</v>
      </c>
      <c r="AT357" t="s">
        <v>122</v>
      </c>
      <c r="AU357">
        <v>2021</v>
      </c>
      <c r="AV357">
        <v>36</v>
      </c>
      <c r="AW357">
        <v>2</v>
      </c>
      <c r="AX357" t="s">
        <v>74</v>
      </c>
      <c r="AY357" t="s">
        <v>74</v>
      </c>
      <c r="AZ357" t="s">
        <v>74</v>
      </c>
      <c r="BA357" t="s">
        <v>74</v>
      </c>
      <c r="BB357">
        <v>333</v>
      </c>
      <c r="BC357">
        <v>346</v>
      </c>
      <c r="BD357" t="s">
        <v>74</v>
      </c>
      <c r="BE357" t="s">
        <v>6366</v>
      </c>
      <c r="BF357" t="str">
        <f>HYPERLINK("http://dx.doi.org/10.1007/s10869-019-09663-6","http://dx.doi.org/10.1007/s10869-019-09663-6")</f>
        <v>http://dx.doi.org/10.1007/s10869-019-09663-6</v>
      </c>
      <c r="BG357" t="s">
        <v>74</v>
      </c>
      <c r="BH357" t="s">
        <v>4876</v>
      </c>
      <c r="BI357">
        <v>14</v>
      </c>
      <c r="BJ357" t="s">
        <v>773</v>
      </c>
      <c r="BK357" t="s">
        <v>94</v>
      </c>
      <c r="BL357" t="s">
        <v>227</v>
      </c>
      <c r="BM357" t="s">
        <v>6367</v>
      </c>
      <c r="BN357" t="s">
        <v>74</v>
      </c>
      <c r="BO357" t="s">
        <v>74</v>
      </c>
      <c r="BP357" t="s">
        <v>74</v>
      </c>
      <c r="BQ357" t="s">
        <v>74</v>
      </c>
      <c r="BR357" t="s">
        <v>97</v>
      </c>
      <c r="BS357" t="s">
        <v>6368</v>
      </c>
      <c r="BT357" t="str">
        <f>HYPERLINK("https%3A%2F%2Fwww.webofscience.com%2Fwos%2Fwoscc%2Ffull-record%2FWOS:000552948400001","View Full Record in Web of Science")</f>
        <v>View Full Record in Web of Science</v>
      </c>
    </row>
    <row r="358" spans="1:72" x14ac:dyDescent="0.25">
      <c r="A358" t="s">
        <v>72</v>
      </c>
      <c r="B358" t="s">
        <v>6369</v>
      </c>
      <c r="C358" t="s">
        <v>74</v>
      </c>
      <c r="D358" t="s">
        <v>74</v>
      </c>
      <c r="E358" t="s">
        <v>74</v>
      </c>
      <c r="F358" t="s">
        <v>6370</v>
      </c>
      <c r="G358" t="s">
        <v>74</v>
      </c>
      <c r="H358" t="s">
        <v>74</v>
      </c>
      <c r="I358" t="s">
        <v>6371</v>
      </c>
      <c r="J358" t="s">
        <v>6372</v>
      </c>
      <c r="K358" t="s">
        <v>74</v>
      </c>
      <c r="L358" t="s">
        <v>74</v>
      </c>
      <c r="M358" t="s">
        <v>77</v>
      </c>
      <c r="N358" t="s">
        <v>78</v>
      </c>
      <c r="O358" t="s">
        <v>74</v>
      </c>
      <c r="P358" t="s">
        <v>74</v>
      </c>
      <c r="Q358" t="s">
        <v>74</v>
      </c>
      <c r="R358" t="s">
        <v>74</v>
      </c>
      <c r="S358" t="s">
        <v>74</v>
      </c>
      <c r="T358" t="s">
        <v>6373</v>
      </c>
      <c r="U358" t="s">
        <v>6374</v>
      </c>
      <c r="V358" t="s">
        <v>6375</v>
      </c>
      <c r="W358" t="s">
        <v>6376</v>
      </c>
      <c r="X358" t="s">
        <v>6377</v>
      </c>
      <c r="Y358" t="s">
        <v>6378</v>
      </c>
      <c r="Z358" t="s">
        <v>6379</v>
      </c>
      <c r="AA358" t="s">
        <v>6380</v>
      </c>
      <c r="AB358" t="s">
        <v>6381</v>
      </c>
      <c r="AC358" t="s">
        <v>6382</v>
      </c>
      <c r="AD358" t="s">
        <v>6382</v>
      </c>
      <c r="AE358" t="s">
        <v>6383</v>
      </c>
      <c r="AF358" t="s">
        <v>74</v>
      </c>
      <c r="AG358">
        <v>91</v>
      </c>
      <c r="AH358">
        <v>24</v>
      </c>
      <c r="AI358">
        <v>24</v>
      </c>
      <c r="AJ358">
        <v>7</v>
      </c>
      <c r="AK358">
        <v>49</v>
      </c>
      <c r="AL358" t="s">
        <v>2473</v>
      </c>
      <c r="AM358" t="s">
        <v>2102</v>
      </c>
      <c r="AN358" t="s">
        <v>2474</v>
      </c>
      <c r="AO358" t="s">
        <v>74</v>
      </c>
      <c r="AP358" t="s">
        <v>6384</v>
      </c>
      <c r="AQ358" t="s">
        <v>74</v>
      </c>
      <c r="AR358" t="s">
        <v>6385</v>
      </c>
      <c r="AS358" t="s">
        <v>6386</v>
      </c>
      <c r="AT358" t="s">
        <v>2734</v>
      </c>
      <c r="AU358">
        <v>2020</v>
      </c>
      <c r="AV358">
        <v>17</v>
      </c>
      <c r="AW358">
        <v>3</v>
      </c>
      <c r="AX358" t="s">
        <v>74</v>
      </c>
      <c r="AY358" t="s">
        <v>74</v>
      </c>
      <c r="AZ358" t="s">
        <v>74</v>
      </c>
      <c r="BA358" t="s">
        <v>74</v>
      </c>
      <c r="BB358" t="s">
        <v>74</v>
      </c>
      <c r="BC358" t="s">
        <v>74</v>
      </c>
      <c r="BD358">
        <v>776</v>
      </c>
      <c r="BE358" t="s">
        <v>6387</v>
      </c>
      <c r="BF358" t="str">
        <f>HYPERLINK("http://dx.doi.org/10.3390/ijerph17030776","http://dx.doi.org/10.3390/ijerph17030776")</f>
        <v>http://dx.doi.org/10.3390/ijerph17030776</v>
      </c>
      <c r="BG358" t="s">
        <v>74</v>
      </c>
      <c r="BH358" t="s">
        <v>74</v>
      </c>
      <c r="BI358">
        <v>21</v>
      </c>
      <c r="BJ358" t="s">
        <v>6388</v>
      </c>
      <c r="BK358" t="s">
        <v>147</v>
      </c>
      <c r="BL358" t="s">
        <v>6389</v>
      </c>
      <c r="BM358" t="s">
        <v>6390</v>
      </c>
      <c r="BN358">
        <v>31991897</v>
      </c>
      <c r="BO358" t="s">
        <v>4398</v>
      </c>
      <c r="BP358" t="s">
        <v>74</v>
      </c>
      <c r="BQ358" t="s">
        <v>74</v>
      </c>
      <c r="BR358" t="s">
        <v>97</v>
      </c>
      <c r="BS358" t="s">
        <v>6391</v>
      </c>
      <c r="BT358" t="str">
        <f>HYPERLINK("https%3A%2F%2Fwww.webofscience.com%2Fwos%2Fwoscc%2Ffull-record%2FWOS:000517783300101","View Full Record in Web of Science")</f>
        <v>View Full Record in Web of Science</v>
      </c>
    </row>
    <row r="359" spans="1:72" x14ac:dyDescent="0.25">
      <c r="A359" t="s">
        <v>72</v>
      </c>
      <c r="B359" t="s">
        <v>6392</v>
      </c>
      <c r="C359" t="s">
        <v>74</v>
      </c>
      <c r="D359" t="s">
        <v>74</v>
      </c>
      <c r="E359" t="s">
        <v>74</v>
      </c>
      <c r="F359" t="s">
        <v>6393</v>
      </c>
      <c r="G359" t="s">
        <v>74</v>
      </c>
      <c r="H359" t="s">
        <v>74</v>
      </c>
      <c r="I359" t="s">
        <v>6394</v>
      </c>
      <c r="J359" t="s">
        <v>6395</v>
      </c>
      <c r="K359" t="s">
        <v>74</v>
      </c>
      <c r="L359" t="s">
        <v>74</v>
      </c>
      <c r="M359" t="s">
        <v>77</v>
      </c>
      <c r="N359" t="s">
        <v>78</v>
      </c>
      <c r="O359" t="s">
        <v>74</v>
      </c>
      <c r="P359" t="s">
        <v>74</v>
      </c>
      <c r="Q359" t="s">
        <v>74</v>
      </c>
      <c r="R359" t="s">
        <v>74</v>
      </c>
      <c r="S359" t="s">
        <v>74</v>
      </c>
      <c r="T359" t="s">
        <v>6396</v>
      </c>
      <c r="U359" t="s">
        <v>6397</v>
      </c>
      <c r="V359" t="s">
        <v>6398</v>
      </c>
      <c r="W359" t="s">
        <v>6399</v>
      </c>
      <c r="X359" t="s">
        <v>6400</v>
      </c>
      <c r="Y359" t="s">
        <v>6401</v>
      </c>
      <c r="Z359" t="s">
        <v>6402</v>
      </c>
      <c r="AA359" t="s">
        <v>6403</v>
      </c>
      <c r="AB359" t="s">
        <v>74</v>
      </c>
      <c r="AC359" t="s">
        <v>6404</v>
      </c>
      <c r="AD359" t="s">
        <v>6405</v>
      </c>
      <c r="AE359" t="s">
        <v>6406</v>
      </c>
      <c r="AF359" t="s">
        <v>74</v>
      </c>
      <c r="AG359">
        <v>166</v>
      </c>
      <c r="AH359">
        <v>24</v>
      </c>
      <c r="AI359">
        <v>25</v>
      </c>
      <c r="AJ359">
        <v>18</v>
      </c>
      <c r="AK359">
        <v>85</v>
      </c>
      <c r="AL359" t="s">
        <v>6407</v>
      </c>
      <c r="AM359" t="s">
        <v>6408</v>
      </c>
      <c r="AN359" t="s">
        <v>6409</v>
      </c>
      <c r="AO359" t="s">
        <v>6410</v>
      </c>
      <c r="AP359" t="s">
        <v>74</v>
      </c>
      <c r="AQ359" t="s">
        <v>74</v>
      </c>
      <c r="AR359" t="s">
        <v>6411</v>
      </c>
      <c r="AS359" t="s">
        <v>6412</v>
      </c>
      <c r="AT359" t="s">
        <v>74</v>
      </c>
      <c r="AU359">
        <v>2020</v>
      </c>
      <c r="AV359">
        <v>13</v>
      </c>
      <c r="AW359" t="s">
        <v>74</v>
      </c>
      <c r="AX359" t="s">
        <v>74</v>
      </c>
      <c r="AY359" t="s">
        <v>74</v>
      </c>
      <c r="AZ359" t="s">
        <v>74</v>
      </c>
      <c r="BA359" t="s">
        <v>74</v>
      </c>
      <c r="BB359">
        <v>105</v>
      </c>
      <c r="BC359">
        <v>118</v>
      </c>
      <c r="BD359" t="s">
        <v>74</v>
      </c>
      <c r="BE359" t="s">
        <v>6413</v>
      </c>
      <c r="BF359" t="str">
        <f>HYPERLINK("http://dx.doi.org/10.2147/PRBM.S236876","http://dx.doi.org/10.2147/PRBM.S236876")</f>
        <v>http://dx.doi.org/10.2147/PRBM.S236876</v>
      </c>
      <c r="BG359" t="s">
        <v>74</v>
      </c>
      <c r="BH359" t="s">
        <v>74</v>
      </c>
      <c r="BI359">
        <v>14</v>
      </c>
      <c r="BJ359" t="s">
        <v>6414</v>
      </c>
      <c r="BK359" t="s">
        <v>94</v>
      </c>
      <c r="BL359" t="s">
        <v>6415</v>
      </c>
      <c r="BM359" t="s">
        <v>6416</v>
      </c>
      <c r="BN359">
        <v>32099488</v>
      </c>
      <c r="BO359" t="s">
        <v>4398</v>
      </c>
      <c r="BP359" t="s">
        <v>74</v>
      </c>
      <c r="BQ359" t="s">
        <v>74</v>
      </c>
      <c r="BR359" t="s">
        <v>97</v>
      </c>
      <c r="BS359" t="s">
        <v>6417</v>
      </c>
      <c r="BT359" t="str">
        <f>HYPERLINK("https%3A%2F%2Fwww.webofscience.com%2Fwos%2Fwoscc%2Ffull-record%2FWOS:000510713000001","View Full Record in Web of Science")</f>
        <v>View Full Record in Web of Science</v>
      </c>
    </row>
    <row r="360" spans="1:72" x14ac:dyDescent="0.25">
      <c r="A360" t="s">
        <v>72</v>
      </c>
      <c r="B360" t="s">
        <v>6418</v>
      </c>
      <c r="C360" t="s">
        <v>74</v>
      </c>
      <c r="D360" t="s">
        <v>74</v>
      </c>
      <c r="E360" t="s">
        <v>74</v>
      </c>
      <c r="F360" t="s">
        <v>6419</v>
      </c>
      <c r="G360" t="s">
        <v>74</v>
      </c>
      <c r="H360" t="s">
        <v>74</v>
      </c>
      <c r="I360" t="s">
        <v>6420</v>
      </c>
      <c r="J360" t="s">
        <v>3184</v>
      </c>
      <c r="K360" t="s">
        <v>74</v>
      </c>
      <c r="L360" t="s">
        <v>74</v>
      </c>
      <c r="M360" t="s">
        <v>77</v>
      </c>
      <c r="N360" t="s">
        <v>78</v>
      </c>
      <c r="O360" t="s">
        <v>74</v>
      </c>
      <c r="P360" t="s">
        <v>74</v>
      </c>
      <c r="Q360" t="s">
        <v>74</v>
      </c>
      <c r="R360" t="s">
        <v>74</v>
      </c>
      <c r="S360" t="s">
        <v>74</v>
      </c>
      <c r="T360" t="s">
        <v>6421</v>
      </c>
      <c r="U360" t="s">
        <v>6422</v>
      </c>
      <c r="V360" t="s">
        <v>6423</v>
      </c>
      <c r="W360" t="s">
        <v>6424</v>
      </c>
      <c r="X360" t="s">
        <v>6425</v>
      </c>
      <c r="Y360" t="s">
        <v>6426</v>
      </c>
      <c r="Z360" t="s">
        <v>6427</v>
      </c>
      <c r="AA360" t="s">
        <v>74</v>
      </c>
      <c r="AB360" t="s">
        <v>6428</v>
      </c>
      <c r="AC360" t="s">
        <v>6429</v>
      </c>
      <c r="AD360" t="s">
        <v>6430</v>
      </c>
      <c r="AE360" t="s">
        <v>6431</v>
      </c>
      <c r="AF360" t="s">
        <v>74</v>
      </c>
      <c r="AG360">
        <v>84</v>
      </c>
      <c r="AH360">
        <v>24</v>
      </c>
      <c r="AI360">
        <v>24</v>
      </c>
      <c r="AJ360">
        <v>6</v>
      </c>
      <c r="AK360">
        <v>47</v>
      </c>
      <c r="AL360" t="s">
        <v>3195</v>
      </c>
      <c r="AM360" t="s">
        <v>3196</v>
      </c>
      <c r="AN360" t="s">
        <v>3197</v>
      </c>
      <c r="AO360" t="s">
        <v>3198</v>
      </c>
      <c r="AP360" t="s">
        <v>74</v>
      </c>
      <c r="AQ360" t="s">
        <v>74</v>
      </c>
      <c r="AR360" t="s">
        <v>3199</v>
      </c>
      <c r="AS360" t="s">
        <v>3200</v>
      </c>
      <c r="AT360" t="s">
        <v>6432</v>
      </c>
      <c r="AU360">
        <v>2019</v>
      </c>
      <c r="AV360">
        <v>10</v>
      </c>
      <c r="AW360" t="s">
        <v>74</v>
      </c>
      <c r="AX360" t="s">
        <v>74</v>
      </c>
      <c r="AY360" t="s">
        <v>74</v>
      </c>
      <c r="AZ360" t="s">
        <v>74</v>
      </c>
      <c r="BA360" t="s">
        <v>74</v>
      </c>
      <c r="BB360" t="s">
        <v>74</v>
      </c>
      <c r="BC360" t="s">
        <v>74</v>
      </c>
      <c r="BD360">
        <v>2699</v>
      </c>
      <c r="BE360" t="s">
        <v>6433</v>
      </c>
      <c r="BF360" t="str">
        <f>HYPERLINK("http://dx.doi.org/10.3389/fpsyg.2019.02699","http://dx.doi.org/10.3389/fpsyg.2019.02699")</f>
        <v>http://dx.doi.org/10.3389/fpsyg.2019.02699</v>
      </c>
      <c r="BG360" t="s">
        <v>74</v>
      </c>
      <c r="BH360" t="s">
        <v>74</v>
      </c>
      <c r="BI360">
        <v>12</v>
      </c>
      <c r="BJ360" t="s">
        <v>3203</v>
      </c>
      <c r="BK360" t="s">
        <v>94</v>
      </c>
      <c r="BL360" t="s">
        <v>460</v>
      </c>
      <c r="BM360" t="s">
        <v>6434</v>
      </c>
      <c r="BN360">
        <v>31920781</v>
      </c>
      <c r="BO360" t="s">
        <v>4398</v>
      </c>
      <c r="BP360" t="s">
        <v>74</v>
      </c>
      <c r="BQ360" t="s">
        <v>74</v>
      </c>
      <c r="BR360" t="s">
        <v>97</v>
      </c>
      <c r="BS360" t="s">
        <v>6435</v>
      </c>
      <c r="BT360" t="str">
        <f>HYPERLINK("https%3A%2F%2Fwww.webofscience.com%2Fwos%2Fwoscc%2Ffull-record%2FWOS:000504976200001","View Full Record in Web of Science")</f>
        <v>View Full Record in Web of Science</v>
      </c>
    </row>
    <row r="361" spans="1:72" x14ac:dyDescent="0.25">
      <c r="A361" t="s">
        <v>72</v>
      </c>
      <c r="B361" t="s">
        <v>6436</v>
      </c>
      <c r="C361" t="s">
        <v>74</v>
      </c>
      <c r="D361" t="s">
        <v>74</v>
      </c>
      <c r="E361" t="s">
        <v>74</v>
      </c>
      <c r="F361" t="s">
        <v>6437</v>
      </c>
      <c r="G361" t="s">
        <v>74</v>
      </c>
      <c r="H361" t="s">
        <v>74</v>
      </c>
      <c r="I361" t="s">
        <v>6438</v>
      </c>
      <c r="J361" t="s">
        <v>2463</v>
      </c>
      <c r="K361" t="s">
        <v>74</v>
      </c>
      <c r="L361" t="s">
        <v>74</v>
      </c>
      <c r="M361" t="s">
        <v>77</v>
      </c>
      <c r="N361" t="s">
        <v>78</v>
      </c>
      <c r="O361" t="s">
        <v>74</v>
      </c>
      <c r="P361" t="s">
        <v>74</v>
      </c>
      <c r="Q361" t="s">
        <v>74</v>
      </c>
      <c r="R361" t="s">
        <v>74</v>
      </c>
      <c r="S361" t="s">
        <v>74</v>
      </c>
      <c r="T361" t="s">
        <v>6439</v>
      </c>
      <c r="U361" t="s">
        <v>6440</v>
      </c>
      <c r="V361" t="s">
        <v>6441</v>
      </c>
      <c r="W361" t="s">
        <v>6442</v>
      </c>
      <c r="X361" t="s">
        <v>6443</v>
      </c>
      <c r="Y361" t="s">
        <v>6444</v>
      </c>
      <c r="Z361" t="s">
        <v>6445</v>
      </c>
      <c r="AA361" t="s">
        <v>6446</v>
      </c>
      <c r="AB361" t="s">
        <v>6447</v>
      </c>
      <c r="AC361" t="s">
        <v>6448</v>
      </c>
      <c r="AD361" t="s">
        <v>6449</v>
      </c>
      <c r="AE361" t="s">
        <v>6450</v>
      </c>
      <c r="AF361" t="s">
        <v>74</v>
      </c>
      <c r="AG361">
        <v>95</v>
      </c>
      <c r="AH361">
        <v>24</v>
      </c>
      <c r="AI361">
        <v>24</v>
      </c>
      <c r="AJ361">
        <v>25</v>
      </c>
      <c r="AK361">
        <v>74</v>
      </c>
      <c r="AL361" t="s">
        <v>2473</v>
      </c>
      <c r="AM361" t="s">
        <v>2102</v>
      </c>
      <c r="AN361" t="s">
        <v>2474</v>
      </c>
      <c r="AO361" t="s">
        <v>74</v>
      </c>
      <c r="AP361" t="s">
        <v>2475</v>
      </c>
      <c r="AQ361" t="s">
        <v>74</v>
      </c>
      <c r="AR361" t="s">
        <v>2476</v>
      </c>
      <c r="AS361" t="s">
        <v>2477</v>
      </c>
      <c r="AT361" t="s">
        <v>6451</v>
      </c>
      <c r="AU361">
        <v>2019</v>
      </c>
      <c r="AV361">
        <v>11</v>
      </c>
      <c r="AW361">
        <v>6</v>
      </c>
      <c r="AX361" t="s">
        <v>74</v>
      </c>
      <c r="AY361" t="s">
        <v>74</v>
      </c>
      <c r="AZ361" t="s">
        <v>74</v>
      </c>
      <c r="BA361" t="s">
        <v>74</v>
      </c>
      <c r="BB361" t="s">
        <v>74</v>
      </c>
      <c r="BC361" t="s">
        <v>74</v>
      </c>
      <c r="BD361">
        <v>1770</v>
      </c>
      <c r="BE361" t="s">
        <v>6452</v>
      </c>
      <c r="BF361" t="str">
        <f>HYPERLINK("http://dx.doi.org/10.3390/su11061770","http://dx.doi.org/10.3390/su11061770")</f>
        <v>http://dx.doi.org/10.3390/su11061770</v>
      </c>
      <c r="BG361" t="s">
        <v>74</v>
      </c>
      <c r="BH361" t="s">
        <v>74</v>
      </c>
      <c r="BI361">
        <v>14</v>
      </c>
      <c r="BJ361" t="s">
        <v>2479</v>
      </c>
      <c r="BK361" t="s">
        <v>147</v>
      </c>
      <c r="BL361" t="s">
        <v>2480</v>
      </c>
      <c r="BM361" t="s">
        <v>6453</v>
      </c>
      <c r="BN361" t="s">
        <v>74</v>
      </c>
      <c r="BO361" t="s">
        <v>2694</v>
      </c>
      <c r="BP361" t="s">
        <v>74</v>
      </c>
      <c r="BQ361" t="s">
        <v>74</v>
      </c>
      <c r="BR361" t="s">
        <v>97</v>
      </c>
      <c r="BS361" t="s">
        <v>6454</v>
      </c>
      <c r="BT361" t="str">
        <f>HYPERLINK("https%3A%2F%2Fwww.webofscience.com%2Fwos%2Fwoscc%2Ffull-record%2FWOS:000464346200002","View Full Record in Web of Science")</f>
        <v>View Full Record in Web of Science</v>
      </c>
    </row>
    <row r="362" spans="1:72" x14ac:dyDescent="0.25">
      <c r="A362" t="s">
        <v>72</v>
      </c>
      <c r="B362" t="s">
        <v>6455</v>
      </c>
      <c r="C362" t="s">
        <v>74</v>
      </c>
      <c r="D362" t="s">
        <v>74</v>
      </c>
      <c r="E362" t="s">
        <v>74</v>
      </c>
      <c r="F362" t="s">
        <v>6456</v>
      </c>
      <c r="G362" t="s">
        <v>74</v>
      </c>
      <c r="H362" t="s">
        <v>74</v>
      </c>
      <c r="I362" t="s">
        <v>6457</v>
      </c>
      <c r="J362" t="s">
        <v>4134</v>
      </c>
      <c r="K362" t="s">
        <v>74</v>
      </c>
      <c r="L362" t="s">
        <v>74</v>
      </c>
      <c r="M362" t="s">
        <v>77</v>
      </c>
      <c r="N362" t="s">
        <v>78</v>
      </c>
      <c r="O362" t="s">
        <v>74</v>
      </c>
      <c r="P362" t="s">
        <v>74</v>
      </c>
      <c r="Q362" t="s">
        <v>74</v>
      </c>
      <c r="R362" t="s">
        <v>74</v>
      </c>
      <c r="S362" t="s">
        <v>74</v>
      </c>
      <c r="T362" t="s">
        <v>6458</v>
      </c>
      <c r="U362" t="s">
        <v>6459</v>
      </c>
      <c r="V362" t="s">
        <v>6460</v>
      </c>
      <c r="W362" t="s">
        <v>6461</v>
      </c>
      <c r="X362" t="s">
        <v>6244</v>
      </c>
      <c r="Y362" t="s">
        <v>6462</v>
      </c>
      <c r="Z362" t="s">
        <v>6463</v>
      </c>
      <c r="AA362" t="s">
        <v>6464</v>
      </c>
      <c r="AB362" t="s">
        <v>74</v>
      </c>
      <c r="AC362" t="s">
        <v>74</v>
      </c>
      <c r="AD362" t="s">
        <v>74</v>
      </c>
      <c r="AE362" t="s">
        <v>74</v>
      </c>
      <c r="AF362" t="s">
        <v>74</v>
      </c>
      <c r="AG362">
        <v>76</v>
      </c>
      <c r="AH362">
        <v>24</v>
      </c>
      <c r="AI362">
        <v>24</v>
      </c>
      <c r="AJ362">
        <v>0</v>
      </c>
      <c r="AK362">
        <v>27</v>
      </c>
      <c r="AL362" t="s">
        <v>665</v>
      </c>
      <c r="AM362" t="s">
        <v>666</v>
      </c>
      <c r="AN362" t="s">
        <v>667</v>
      </c>
      <c r="AO362" t="s">
        <v>4144</v>
      </c>
      <c r="AP362" t="s">
        <v>4145</v>
      </c>
      <c r="AQ362" t="s">
        <v>74</v>
      </c>
      <c r="AR362" t="s">
        <v>4146</v>
      </c>
      <c r="AS362" t="s">
        <v>4147</v>
      </c>
      <c r="AT362" t="s">
        <v>4636</v>
      </c>
      <c r="AU362">
        <v>2019</v>
      </c>
      <c r="AV362">
        <v>22</v>
      </c>
      <c r="AW362">
        <v>1</v>
      </c>
      <c r="AX362" t="s">
        <v>74</v>
      </c>
      <c r="AY362" t="s">
        <v>74</v>
      </c>
      <c r="AZ362" t="s">
        <v>74</v>
      </c>
      <c r="BA362" t="s">
        <v>74</v>
      </c>
      <c r="BB362">
        <v>2</v>
      </c>
      <c r="BC362">
        <v>22</v>
      </c>
      <c r="BD362" t="s">
        <v>74</v>
      </c>
      <c r="BE362" t="s">
        <v>6465</v>
      </c>
      <c r="BF362" t="str">
        <f>HYPERLINK("http://dx.doi.org/10.1108/EJIM-02-2018-0035","http://dx.doi.org/10.1108/EJIM-02-2018-0035")</f>
        <v>http://dx.doi.org/10.1108/EJIM-02-2018-0035</v>
      </c>
      <c r="BG362" t="s">
        <v>74</v>
      </c>
      <c r="BH362" t="s">
        <v>74</v>
      </c>
      <c r="BI362">
        <v>21</v>
      </c>
      <c r="BJ362" t="s">
        <v>93</v>
      </c>
      <c r="BK362" t="s">
        <v>94</v>
      </c>
      <c r="BL362" t="s">
        <v>95</v>
      </c>
      <c r="BM362" t="s">
        <v>4638</v>
      </c>
      <c r="BN362" t="s">
        <v>74</v>
      </c>
      <c r="BO362" t="s">
        <v>74</v>
      </c>
      <c r="BP362" t="s">
        <v>74</v>
      </c>
      <c r="BQ362" t="s">
        <v>74</v>
      </c>
      <c r="BR362" t="s">
        <v>97</v>
      </c>
      <c r="BS362" t="s">
        <v>6466</v>
      </c>
      <c r="BT362" t="str">
        <f>HYPERLINK("https%3A%2F%2Fwww.webofscience.com%2Fwos%2Fwoscc%2Ffull-record%2FWOS:000454910000001","View Full Record in Web of Science")</f>
        <v>View Full Record in Web of Science</v>
      </c>
    </row>
    <row r="363" spans="1:72" x14ac:dyDescent="0.25">
      <c r="A363" t="s">
        <v>72</v>
      </c>
      <c r="B363" t="s">
        <v>6467</v>
      </c>
      <c r="C363" t="s">
        <v>74</v>
      </c>
      <c r="D363" t="s">
        <v>74</v>
      </c>
      <c r="E363" t="s">
        <v>74</v>
      </c>
      <c r="F363" t="s">
        <v>6468</v>
      </c>
      <c r="G363" t="s">
        <v>74</v>
      </c>
      <c r="H363" t="s">
        <v>74</v>
      </c>
      <c r="I363" t="s">
        <v>6469</v>
      </c>
      <c r="J363" t="s">
        <v>5442</v>
      </c>
      <c r="K363" t="s">
        <v>74</v>
      </c>
      <c r="L363" t="s">
        <v>74</v>
      </c>
      <c r="M363" t="s">
        <v>77</v>
      </c>
      <c r="N363" t="s">
        <v>78</v>
      </c>
      <c r="O363" t="s">
        <v>74</v>
      </c>
      <c r="P363" t="s">
        <v>74</v>
      </c>
      <c r="Q363" t="s">
        <v>74</v>
      </c>
      <c r="R363" t="s">
        <v>74</v>
      </c>
      <c r="S363" t="s">
        <v>74</v>
      </c>
      <c r="T363" t="s">
        <v>6470</v>
      </c>
      <c r="U363" t="s">
        <v>6471</v>
      </c>
      <c r="V363" t="s">
        <v>6472</v>
      </c>
      <c r="W363" t="s">
        <v>6473</v>
      </c>
      <c r="X363" t="s">
        <v>6474</v>
      </c>
      <c r="Y363" t="s">
        <v>6475</v>
      </c>
      <c r="Z363" t="s">
        <v>6476</v>
      </c>
      <c r="AA363" t="s">
        <v>74</v>
      </c>
      <c r="AB363" t="s">
        <v>74</v>
      </c>
      <c r="AC363" t="s">
        <v>74</v>
      </c>
      <c r="AD363" t="s">
        <v>74</v>
      </c>
      <c r="AE363" t="s">
        <v>74</v>
      </c>
      <c r="AF363" t="s">
        <v>74</v>
      </c>
      <c r="AG363">
        <v>61</v>
      </c>
      <c r="AH363">
        <v>24</v>
      </c>
      <c r="AI363">
        <v>26</v>
      </c>
      <c r="AJ363">
        <v>14</v>
      </c>
      <c r="AK363">
        <v>84</v>
      </c>
      <c r="AL363" t="s">
        <v>5452</v>
      </c>
      <c r="AM363" t="s">
        <v>5453</v>
      </c>
      <c r="AN363" t="s">
        <v>5454</v>
      </c>
      <c r="AO363" t="s">
        <v>5455</v>
      </c>
      <c r="AP363" t="s">
        <v>5456</v>
      </c>
      <c r="AQ363" t="s">
        <v>74</v>
      </c>
      <c r="AR363" t="s">
        <v>5457</v>
      </c>
      <c r="AS363" t="s">
        <v>5458</v>
      </c>
      <c r="AT363" t="s">
        <v>892</v>
      </c>
      <c r="AU363">
        <v>2019</v>
      </c>
      <c r="AV363">
        <v>25</v>
      </c>
      <c r="AW363">
        <v>1</v>
      </c>
      <c r="AX363" t="s">
        <v>74</v>
      </c>
      <c r="AY363" t="s">
        <v>74</v>
      </c>
      <c r="AZ363" t="s">
        <v>74</v>
      </c>
      <c r="BA363" t="s">
        <v>74</v>
      </c>
      <c r="BB363">
        <v>81</v>
      </c>
      <c r="BC363">
        <v>95</v>
      </c>
      <c r="BD363" t="s">
        <v>74</v>
      </c>
      <c r="BE363" t="s">
        <v>6477</v>
      </c>
      <c r="BF363" t="str">
        <f>HYPERLINK("http://dx.doi.org/10.1017/jmo.2017.18","http://dx.doi.org/10.1017/jmo.2017.18")</f>
        <v>http://dx.doi.org/10.1017/jmo.2017.18</v>
      </c>
      <c r="BG363" t="s">
        <v>74</v>
      </c>
      <c r="BH363" t="s">
        <v>74</v>
      </c>
      <c r="BI363">
        <v>15</v>
      </c>
      <c r="BJ363" t="s">
        <v>442</v>
      </c>
      <c r="BK363" t="s">
        <v>94</v>
      </c>
      <c r="BL363" t="s">
        <v>95</v>
      </c>
      <c r="BM363" t="s">
        <v>6478</v>
      </c>
      <c r="BN363" t="s">
        <v>74</v>
      </c>
      <c r="BO363" t="s">
        <v>74</v>
      </c>
      <c r="BP363" t="s">
        <v>74</v>
      </c>
      <c r="BQ363" t="s">
        <v>74</v>
      </c>
      <c r="BR363" t="s">
        <v>97</v>
      </c>
      <c r="BS363" t="s">
        <v>6479</v>
      </c>
      <c r="BT363" t="str">
        <f>HYPERLINK("https%3A%2F%2Fwww.webofscience.com%2Fwos%2Fwoscc%2Ffull-record%2FWOS:000459894400006","View Full Record in Web of Science")</f>
        <v>View Full Record in Web of Science</v>
      </c>
    </row>
    <row r="364" spans="1:72" x14ac:dyDescent="0.25">
      <c r="A364" t="s">
        <v>72</v>
      </c>
      <c r="B364" t="s">
        <v>6480</v>
      </c>
      <c r="C364" t="s">
        <v>74</v>
      </c>
      <c r="D364" t="s">
        <v>74</v>
      </c>
      <c r="E364" t="s">
        <v>74</v>
      </c>
      <c r="F364" t="s">
        <v>6481</v>
      </c>
      <c r="G364" t="s">
        <v>74</v>
      </c>
      <c r="H364" t="s">
        <v>74</v>
      </c>
      <c r="I364" t="s">
        <v>6482</v>
      </c>
      <c r="J364" t="s">
        <v>592</v>
      </c>
      <c r="K364" t="s">
        <v>74</v>
      </c>
      <c r="L364" t="s">
        <v>74</v>
      </c>
      <c r="M364" t="s">
        <v>77</v>
      </c>
      <c r="N364" t="s">
        <v>78</v>
      </c>
      <c r="O364" t="s">
        <v>74</v>
      </c>
      <c r="P364" t="s">
        <v>74</v>
      </c>
      <c r="Q364" t="s">
        <v>74</v>
      </c>
      <c r="R364" t="s">
        <v>74</v>
      </c>
      <c r="S364" t="s">
        <v>74</v>
      </c>
      <c r="T364" t="s">
        <v>6483</v>
      </c>
      <c r="U364" t="s">
        <v>6484</v>
      </c>
      <c r="V364" t="s">
        <v>6485</v>
      </c>
      <c r="W364" t="s">
        <v>6486</v>
      </c>
      <c r="X364" t="s">
        <v>6487</v>
      </c>
      <c r="Y364" t="s">
        <v>6488</v>
      </c>
      <c r="Z364" t="s">
        <v>6006</v>
      </c>
      <c r="AA364" t="s">
        <v>6007</v>
      </c>
      <c r="AB364" t="s">
        <v>74</v>
      </c>
      <c r="AC364" t="s">
        <v>6489</v>
      </c>
      <c r="AD364" t="s">
        <v>6489</v>
      </c>
      <c r="AE364" t="s">
        <v>6490</v>
      </c>
      <c r="AF364" t="s">
        <v>74</v>
      </c>
      <c r="AG364">
        <v>100</v>
      </c>
      <c r="AH364">
        <v>24</v>
      </c>
      <c r="AI364">
        <v>24</v>
      </c>
      <c r="AJ364">
        <v>7</v>
      </c>
      <c r="AK364">
        <v>142</v>
      </c>
      <c r="AL364" t="s">
        <v>602</v>
      </c>
      <c r="AM364" t="s">
        <v>160</v>
      </c>
      <c r="AN364" t="s">
        <v>603</v>
      </c>
      <c r="AO364" t="s">
        <v>604</v>
      </c>
      <c r="AP364" t="s">
        <v>605</v>
      </c>
      <c r="AQ364" t="s">
        <v>74</v>
      </c>
      <c r="AR364" t="s">
        <v>606</v>
      </c>
      <c r="AS364" t="s">
        <v>607</v>
      </c>
      <c r="AT364" t="s">
        <v>375</v>
      </c>
      <c r="AU364">
        <v>2018</v>
      </c>
      <c r="AV364">
        <v>69</v>
      </c>
      <c r="AW364" t="s">
        <v>74</v>
      </c>
      <c r="AX364" t="s">
        <v>74</v>
      </c>
      <c r="AY364" t="s">
        <v>74</v>
      </c>
      <c r="AZ364" t="s">
        <v>74</v>
      </c>
      <c r="BA364" t="s">
        <v>74</v>
      </c>
      <c r="BB364">
        <v>23</v>
      </c>
      <c r="BC364">
        <v>37</v>
      </c>
      <c r="BD364" t="s">
        <v>74</v>
      </c>
      <c r="BE364" t="s">
        <v>6491</v>
      </c>
      <c r="BF364" t="str">
        <f>HYPERLINK("http://dx.doi.org/10.1016/j.tourman.2018.05.004","http://dx.doi.org/10.1016/j.tourman.2018.05.004")</f>
        <v>http://dx.doi.org/10.1016/j.tourman.2018.05.004</v>
      </c>
      <c r="BG364" t="s">
        <v>74</v>
      </c>
      <c r="BH364" t="s">
        <v>74</v>
      </c>
      <c r="BI364">
        <v>15</v>
      </c>
      <c r="BJ364" t="s">
        <v>609</v>
      </c>
      <c r="BK364" t="s">
        <v>94</v>
      </c>
      <c r="BL364" t="s">
        <v>610</v>
      </c>
      <c r="BM364" t="s">
        <v>3894</v>
      </c>
      <c r="BN364" t="s">
        <v>74</v>
      </c>
      <c r="BO364" t="s">
        <v>74</v>
      </c>
      <c r="BP364" t="s">
        <v>74</v>
      </c>
      <c r="BQ364" t="s">
        <v>74</v>
      </c>
      <c r="BR364" t="s">
        <v>97</v>
      </c>
      <c r="BS364" t="s">
        <v>6492</v>
      </c>
      <c r="BT364" t="str">
        <f>HYPERLINK("https%3A%2F%2Fwww.webofscience.com%2Fwos%2Fwoscc%2Ffull-record%2FWOS:000441681400003","View Full Record in Web of Science")</f>
        <v>View Full Record in Web of Science</v>
      </c>
    </row>
    <row r="365" spans="1:72" x14ac:dyDescent="0.25">
      <c r="A365" t="s">
        <v>72</v>
      </c>
      <c r="B365" t="s">
        <v>6493</v>
      </c>
      <c r="C365" t="s">
        <v>74</v>
      </c>
      <c r="D365" t="s">
        <v>74</v>
      </c>
      <c r="E365" t="s">
        <v>74</v>
      </c>
      <c r="F365" t="s">
        <v>6494</v>
      </c>
      <c r="G365" t="s">
        <v>74</v>
      </c>
      <c r="H365" t="s">
        <v>74</v>
      </c>
      <c r="I365" t="s">
        <v>6495</v>
      </c>
      <c r="J365" t="s">
        <v>6496</v>
      </c>
      <c r="K365" t="s">
        <v>74</v>
      </c>
      <c r="L365" t="s">
        <v>74</v>
      </c>
      <c r="M365" t="s">
        <v>77</v>
      </c>
      <c r="N365" t="s">
        <v>78</v>
      </c>
      <c r="O365" t="s">
        <v>74</v>
      </c>
      <c r="P365" t="s">
        <v>74</v>
      </c>
      <c r="Q365" t="s">
        <v>74</v>
      </c>
      <c r="R365" t="s">
        <v>74</v>
      </c>
      <c r="S365" t="s">
        <v>74</v>
      </c>
      <c r="T365" t="s">
        <v>6497</v>
      </c>
      <c r="U365" t="s">
        <v>6498</v>
      </c>
      <c r="V365" t="s">
        <v>6499</v>
      </c>
      <c r="W365" t="s">
        <v>6500</v>
      </c>
      <c r="X365" t="s">
        <v>6501</v>
      </c>
      <c r="Y365" t="s">
        <v>6502</v>
      </c>
      <c r="Z365" t="s">
        <v>6503</v>
      </c>
      <c r="AA365" t="s">
        <v>74</v>
      </c>
      <c r="AB365" t="s">
        <v>6504</v>
      </c>
      <c r="AC365" t="s">
        <v>6505</v>
      </c>
      <c r="AD365" t="s">
        <v>575</v>
      </c>
      <c r="AE365" t="s">
        <v>6506</v>
      </c>
      <c r="AF365" t="s">
        <v>74</v>
      </c>
      <c r="AG365">
        <v>47</v>
      </c>
      <c r="AH365">
        <v>24</v>
      </c>
      <c r="AI365">
        <v>25</v>
      </c>
      <c r="AJ365">
        <v>5</v>
      </c>
      <c r="AK365">
        <v>66</v>
      </c>
      <c r="AL365" t="s">
        <v>218</v>
      </c>
      <c r="AM365" t="s">
        <v>219</v>
      </c>
      <c r="AN365" t="s">
        <v>220</v>
      </c>
      <c r="AO365" t="s">
        <v>6507</v>
      </c>
      <c r="AP365" t="s">
        <v>6508</v>
      </c>
      <c r="AQ365" t="s">
        <v>74</v>
      </c>
      <c r="AR365" t="s">
        <v>6509</v>
      </c>
      <c r="AS365" t="s">
        <v>6510</v>
      </c>
      <c r="AT365" t="s">
        <v>256</v>
      </c>
      <c r="AU365">
        <v>2018</v>
      </c>
      <c r="AV365">
        <v>24</v>
      </c>
      <c r="AW365">
        <v>5</v>
      </c>
      <c r="AX365" t="s">
        <v>74</v>
      </c>
      <c r="AY365" t="s">
        <v>74</v>
      </c>
      <c r="AZ365" t="s">
        <v>74</v>
      </c>
      <c r="BA365" t="s">
        <v>74</v>
      </c>
      <c r="BB365" t="s">
        <v>74</v>
      </c>
      <c r="BC365" t="s">
        <v>74</v>
      </c>
      <c r="BD365" t="s">
        <v>6511</v>
      </c>
      <c r="BE365" t="s">
        <v>6512</v>
      </c>
      <c r="BF365" t="str">
        <f>HYPERLINK("http://dx.doi.org/10.1111/ijn.12674","http://dx.doi.org/10.1111/ijn.12674")</f>
        <v>http://dx.doi.org/10.1111/ijn.12674</v>
      </c>
      <c r="BG365" t="s">
        <v>74</v>
      </c>
      <c r="BH365" t="s">
        <v>74</v>
      </c>
      <c r="BI365">
        <v>9</v>
      </c>
      <c r="BJ365" t="s">
        <v>980</v>
      </c>
      <c r="BK365" t="s">
        <v>147</v>
      </c>
      <c r="BL365" t="s">
        <v>980</v>
      </c>
      <c r="BM365" t="s">
        <v>6513</v>
      </c>
      <c r="BN365">
        <v>30003632</v>
      </c>
      <c r="BO365" t="s">
        <v>74</v>
      </c>
      <c r="BP365" t="s">
        <v>74</v>
      </c>
      <c r="BQ365" t="s">
        <v>74</v>
      </c>
      <c r="BR365" t="s">
        <v>97</v>
      </c>
      <c r="BS365" t="s">
        <v>6514</v>
      </c>
      <c r="BT365" t="str">
        <f>HYPERLINK("https%3A%2F%2Fwww.webofscience.com%2Fwos%2Fwoscc%2Ffull-record%2FWOS:000446264000008","View Full Record in Web of Science")</f>
        <v>View Full Record in Web of Science</v>
      </c>
    </row>
    <row r="366" spans="1:72" x14ac:dyDescent="0.25">
      <c r="A366" t="s">
        <v>72</v>
      </c>
      <c r="B366" t="s">
        <v>6515</v>
      </c>
      <c r="C366" t="s">
        <v>74</v>
      </c>
      <c r="D366" t="s">
        <v>74</v>
      </c>
      <c r="E366" t="s">
        <v>74</v>
      </c>
      <c r="F366" t="s">
        <v>6516</v>
      </c>
      <c r="G366" t="s">
        <v>74</v>
      </c>
      <c r="H366" t="s">
        <v>74</v>
      </c>
      <c r="I366" t="s">
        <v>6517</v>
      </c>
      <c r="J366" t="s">
        <v>657</v>
      </c>
      <c r="K366" t="s">
        <v>74</v>
      </c>
      <c r="L366" t="s">
        <v>74</v>
      </c>
      <c r="M366" t="s">
        <v>77</v>
      </c>
      <c r="N366" t="s">
        <v>78</v>
      </c>
      <c r="O366" t="s">
        <v>74</v>
      </c>
      <c r="P366" t="s">
        <v>74</v>
      </c>
      <c r="Q366" t="s">
        <v>74</v>
      </c>
      <c r="R366" t="s">
        <v>74</v>
      </c>
      <c r="S366" t="s">
        <v>74</v>
      </c>
      <c r="T366" t="s">
        <v>6518</v>
      </c>
      <c r="U366" t="s">
        <v>6519</v>
      </c>
      <c r="V366" t="s">
        <v>6520</v>
      </c>
      <c r="W366" t="s">
        <v>6521</v>
      </c>
      <c r="X366" t="s">
        <v>6522</v>
      </c>
      <c r="Y366" t="s">
        <v>6523</v>
      </c>
      <c r="Z366" t="s">
        <v>6524</v>
      </c>
      <c r="AA366" t="s">
        <v>6525</v>
      </c>
      <c r="AB366" t="s">
        <v>6526</v>
      </c>
      <c r="AC366" t="s">
        <v>74</v>
      </c>
      <c r="AD366" t="s">
        <v>74</v>
      </c>
      <c r="AE366" t="s">
        <v>74</v>
      </c>
      <c r="AF366" t="s">
        <v>74</v>
      </c>
      <c r="AG366">
        <v>64</v>
      </c>
      <c r="AH366">
        <v>24</v>
      </c>
      <c r="AI366">
        <v>26</v>
      </c>
      <c r="AJ366">
        <v>0</v>
      </c>
      <c r="AK366">
        <v>30</v>
      </c>
      <c r="AL366" t="s">
        <v>665</v>
      </c>
      <c r="AM366" t="s">
        <v>666</v>
      </c>
      <c r="AN366" t="s">
        <v>667</v>
      </c>
      <c r="AO366" t="s">
        <v>668</v>
      </c>
      <c r="AP366" t="s">
        <v>669</v>
      </c>
      <c r="AQ366" t="s">
        <v>74</v>
      </c>
      <c r="AR366" t="s">
        <v>670</v>
      </c>
      <c r="AS366" t="s">
        <v>671</v>
      </c>
      <c r="AT366" t="s">
        <v>74</v>
      </c>
      <c r="AU366">
        <v>2017</v>
      </c>
      <c r="AV366">
        <v>38</v>
      </c>
      <c r="AW366">
        <v>2</v>
      </c>
      <c r="AX366" t="s">
        <v>74</v>
      </c>
      <c r="AY366" t="s">
        <v>74</v>
      </c>
      <c r="AZ366" t="s">
        <v>74</v>
      </c>
      <c r="BA366" t="s">
        <v>74</v>
      </c>
      <c r="BB366">
        <v>274</v>
      </c>
      <c r="BC366">
        <v>287</v>
      </c>
      <c r="BD366" t="s">
        <v>74</v>
      </c>
      <c r="BE366" t="s">
        <v>6527</v>
      </c>
      <c r="BF366" t="str">
        <f>HYPERLINK("http://dx.doi.org/10.1108/IJM-06-2015-0090","http://dx.doi.org/10.1108/IJM-06-2015-0090")</f>
        <v>http://dx.doi.org/10.1108/IJM-06-2015-0090</v>
      </c>
      <c r="BG366" t="s">
        <v>74</v>
      </c>
      <c r="BH366" t="s">
        <v>74</v>
      </c>
      <c r="BI366">
        <v>14</v>
      </c>
      <c r="BJ366" t="s">
        <v>673</v>
      </c>
      <c r="BK366" t="s">
        <v>94</v>
      </c>
      <c r="BL366" t="s">
        <v>95</v>
      </c>
      <c r="BM366" t="s">
        <v>2223</v>
      </c>
      <c r="BN366" t="s">
        <v>74</v>
      </c>
      <c r="BO366" t="s">
        <v>74</v>
      </c>
      <c r="BP366" t="s">
        <v>74</v>
      </c>
      <c r="BQ366" t="s">
        <v>74</v>
      </c>
      <c r="BR366" t="s">
        <v>97</v>
      </c>
      <c r="BS366" t="s">
        <v>6528</v>
      </c>
      <c r="BT366" t="str">
        <f>HYPERLINK("https%3A%2F%2Fwww.webofscience.com%2Fwos%2Fwoscc%2Ffull-record%2FWOS:000401027000010","View Full Record in Web of Science")</f>
        <v>View Full Record in Web of Science</v>
      </c>
    </row>
    <row r="367" spans="1:72" x14ac:dyDescent="0.25">
      <c r="A367" t="s">
        <v>72</v>
      </c>
      <c r="B367" t="s">
        <v>6529</v>
      </c>
      <c r="C367" t="s">
        <v>74</v>
      </c>
      <c r="D367" t="s">
        <v>74</v>
      </c>
      <c r="E367" t="s">
        <v>74</v>
      </c>
      <c r="F367" t="s">
        <v>6530</v>
      </c>
      <c r="G367" t="s">
        <v>74</v>
      </c>
      <c r="H367" t="s">
        <v>74</v>
      </c>
      <c r="I367" t="s">
        <v>6531</v>
      </c>
      <c r="J367" t="s">
        <v>209</v>
      </c>
      <c r="K367" t="s">
        <v>74</v>
      </c>
      <c r="L367" t="s">
        <v>74</v>
      </c>
      <c r="M367" t="s">
        <v>77</v>
      </c>
      <c r="N367" t="s">
        <v>78</v>
      </c>
      <c r="O367" t="s">
        <v>74</v>
      </c>
      <c r="P367" t="s">
        <v>74</v>
      </c>
      <c r="Q367" t="s">
        <v>74</v>
      </c>
      <c r="R367" t="s">
        <v>74</v>
      </c>
      <c r="S367" t="s">
        <v>74</v>
      </c>
      <c r="T367" t="s">
        <v>6532</v>
      </c>
      <c r="U367" t="s">
        <v>6533</v>
      </c>
      <c r="V367" t="s">
        <v>6534</v>
      </c>
      <c r="W367" t="s">
        <v>6535</v>
      </c>
      <c r="X367" t="s">
        <v>6536</v>
      </c>
      <c r="Y367" t="s">
        <v>6537</v>
      </c>
      <c r="Z367" t="s">
        <v>6538</v>
      </c>
      <c r="AA367" t="s">
        <v>74</v>
      </c>
      <c r="AB367" t="s">
        <v>74</v>
      </c>
      <c r="AC367" t="s">
        <v>6539</v>
      </c>
      <c r="AD367" t="s">
        <v>6540</v>
      </c>
      <c r="AE367" t="s">
        <v>6541</v>
      </c>
      <c r="AF367" t="s">
        <v>74</v>
      </c>
      <c r="AG367">
        <v>88</v>
      </c>
      <c r="AH367">
        <v>24</v>
      </c>
      <c r="AI367">
        <v>24</v>
      </c>
      <c r="AJ367">
        <v>5</v>
      </c>
      <c r="AK367">
        <v>86</v>
      </c>
      <c r="AL367" t="s">
        <v>218</v>
      </c>
      <c r="AM367" t="s">
        <v>219</v>
      </c>
      <c r="AN367" t="s">
        <v>220</v>
      </c>
      <c r="AO367" t="s">
        <v>221</v>
      </c>
      <c r="AP367" t="s">
        <v>222</v>
      </c>
      <c r="AQ367" t="s">
        <v>74</v>
      </c>
      <c r="AR367" t="s">
        <v>223</v>
      </c>
      <c r="AS367" t="s">
        <v>224</v>
      </c>
      <c r="AT367" t="s">
        <v>256</v>
      </c>
      <c r="AU367">
        <v>2015</v>
      </c>
      <c r="AV367">
        <v>36</v>
      </c>
      <c r="AW367">
        <v>7</v>
      </c>
      <c r="AX367" t="s">
        <v>74</v>
      </c>
      <c r="AY367" t="s">
        <v>74</v>
      </c>
      <c r="AZ367" t="s">
        <v>74</v>
      </c>
      <c r="BA367" t="s">
        <v>74</v>
      </c>
      <c r="BB367">
        <v>919</v>
      </c>
      <c r="BC367">
        <v>943</v>
      </c>
      <c r="BD367" t="s">
        <v>74</v>
      </c>
      <c r="BE367" t="s">
        <v>6542</v>
      </c>
      <c r="BF367" t="str">
        <f>HYPERLINK("http://dx.doi.org/10.1002/job.2029","http://dx.doi.org/10.1002/job.2029")</f>
        <v>http://dx.doi.org/10.1002/job.2029</v>
      </c>
      <c r="BG367" t="s">
        <v>74</v>
      </c>
      <c r="BH367" t="s">
        <v>74</v>
      </c>
      <c r="BI367">
        <v>25</v>
      </c>
      <c r="BJ367" t="s">
        <v>226</v>
      </c>
      <c r="BK367" t="s">
        <v>94</v>
      </c>
      <c r="BL367" t="s">
        <v>227</v>
      </c>
      <c r="BM367" t="s">
        <v>6543</v>
      </c>
      <c r="BN367" t="s">
        <v>74</v>
      </c>
      <c r="BO367" t="s">
        <v>74</v>
      </c>
      <c r="BP367" t="s">
        <v>74</v>
      </c>
      <c r="BQ367" t="s">
        <v>74</v>
      </c>
      <c r="BR367" t="s">
        <v>97</v>
      </c>
      <c r="BS367" t="s">
        <v>6544</v>
      </c>
      <c r="BT367" t="str">
        <f>HYPERLINK("https%3A%2F%2Fwww.webofscience.com%2Fwos%2Fwoscc%2Ffull-record%2FWOS:000362396900003","View Full Record in Web of Science")</f>
        <v>View Full Record in Web of Science</v>
      </c>
    </row>
    <row r="368" spans="1:72" x14ac:dyDescent="0.25">
      <c r="A368" t="s">
        <v>72</v>
      </c>
      <c r="B368" t="s">
        <v>6545</v>
      </c>
      <c r="C368" t="s">
        <v>74</v>
      </c>
      <c r="D368" t="s">
        <v>74</v>
      </c>
      <c r="E368" t="s">
        <v>74</v>
      </c>
      <c r="F368" t="s">
        <v>6546</v>
      </c>
      <c r="G368" t="s">
        <v>74</v>
      </c>
      <c r="H368" t="s">
        <v>74</v>
      </c>
      <c r="I368" t="s">
        <v>6547</v>
      </c>
      <c r="J368" t="s">
        <v>1951</v>
      </c>
      <c r="K368" t="s">
        <v>74</v>
      </c>
      <c r="L368" t="s">
        <v>74</v>
      </c>
      <c r="M368" t="s">
        <v>77</v>
      </c>
      <c r="N368" t="s">
        <v>78</v>
      </c>
      <c r="O368" t="s">
        <v>74</v>
      </c>
      <c r="P368" t="s">
        <v>74</v>
      </c>
      <c r="Q368" t="s">
        <v>74</v>
      </c>
      <c r="R368" t="s">
        <v>74</v>
      </c>
      <c r="S368" t="s">
        <v>74</v>
      </c>
      <c r="T368" t="s">
        <v>6548</v>
      </c>
      <c r="U368" t="s">
        <v>6549</v>
      </c>
      <c r="V368" t="s">
        <v>6550</v>
      </c>
      <c r="W368" t="s">
        <v>6551</v>
      </c>
      <c r="X368" t="s">
        <v>6552</v>
      </c>
      <c r="Y368" t="s">
        <v>6553</v>
      </c>
      <c r="Z368" t="s">
        <v>6554</v>
      </c>
      <c r="AA368" t="s">
        <v>6555</v>
      </c>
      <c r="AB368" t="s">
        <v>6556</v>
      </c>
      <c r="AC368" t="s">
        <v>6557</v>
      </c>
      <c r="AD368" t="s">
        <v>6558</v>
      </c>
      <c r="AE368" t="s">
        <v>6559</v>
      </c>
      <c r="AF368" t="s">
        <v>74</v>
      </c>
      <c r="AG368">
        <v>108</v>
      </c>
      <c r="AH368">
        <v>24</v>
      </c>
      <c r="AI368">
        <v>26</v>
      </c>
      <c r="AJ368">
        <v>3</v>
      </c>
      <c r="AK368">
        <v>104</v>
      </c>
      <c r="AL368" t="s">
        <v>1099</v>
      </c>
      <c r="AM368" t="s">
        <v>305</v>
      </c>
      <c r="AN368" t="s">
        <v>1100</v>
      </c>
      <c r="AO368" t="s">
        <v>1963</v>
      </c>
      <c r="AP368" t="s">
        <v>1964</v>
      </c>
      <c r="AQ368" t="s">
        <v>74</v>
      </c>
      <c r="AR368" t="s">
        <v>1965</v>
      </c>
      <c r="AS368" t="s">
        <v>1966</v>
      </c>
      <c r="AT368" t="s">
        <v>6560</v>
      </c>
      <c r="AU368">
        <v>2015</v>
      </c>
      <c r="AV368">
        <v>24</v>
      </c>
      <c r="AW368">
        <v>3</v>
      </c>
      <c r="AX368" t="s">
        <v>74</v>
      </c>
      <c r="AY368" t="s">
        <v>74</v>
      </c>
      <c r="AZ368" t="s">
        <v>74</v>
      </c>
      <c r="BA368" t="s">
        <v>74</v>
      </c>
      <c r="BB368">
        <v>462</v>
      </c>
      <c r="BC368">
        <v>478</v>
      </c>
      <c r="BD368" t="s">
        <v>74</v>
      </c>
      <c r="BE368" t="s">
        <v>6561</v>
      </c>
      <c r="BF368" t="str">
        <f>HYPERLINK("http://dx.doi.org/10.1080/1359432X.2014.964215","http://dx.doi.org/10.1080/1359432X.2014.964215")</f>
        <v>http://dx.doi.org/10.1080/1359432X.2014.964215</v>
      </c>
      <c r="BG368" t="s">
        <v>74</v>
      </c>
      <c r="BH368" t="s">
        <v>74</v>
      </c>
      <c r="BI368">
        <v>17</v>
      </c>
      <c r="BJ368" t="s">
        <v>202</v>
      </c>
      <c r="BK368" t="s">
        <v>94</v>
      </c>
      <c r="BL368" t="s">
        <v>203</v>
      </c>
      <c r="BM368" t="s">
        <v>6562</v>
      </c>
      <c r="BN368" t="s">
        <v>74</v>
      </c>
      <c r="BO368" t="s">
        <v>718</v>
      </c>
      <c r="BP368" t="s">
        <v>74</v>
      </c>
      <c r="BQ368" t="s">
        <v>74</v>
      </c>
      <c r="BR368" t="s">
        <v>97</v>
      </c>
      <c r="BS368" t="s">
        <v>6563</v>
      </c>
      <c r="BT368" t="str">
        <f>HYPERLINK("https%3A%2F%2Fwww.webofscience.com%2Fwos%2Fwoscc%2Ffull-record%2FWOS:000350892100010","View Full Record in Web of Science")</f>
        <v>View Full Record in Web of Science</v>
      </c>
    </row>
    <row r="369" spans="1:72" x14ac:dyDescent="0.25">
      <c r="A369" t="s">
        <v>72</v>
      </c>
      <c r="B369" t="s">
        <v>6564</v>
      </c>
      <c r="C369" t="s">
        <v>74</v>
      </c>
      <c r="D369" t="s">
        <v>74</v>
      </c>
      <c r="E369" t="s">
        <v>74</v>
      </c>
      <c r="F369" t="s">
        <v>6565</v>
      </c>
      <c r="G369" t="s">
        <v>74</v>
      </c>
      <c r="H369" t="s">
        <v>74</v>
      </c>
      <c r="I369" t="s">
        <v>6566</v>
      </c>
      <c r="J369" t="s">
        <v>6567</v>
      </c>
      <c r="K369" t="s">
        <v>74</v>
      </c>
      <c r="L369" t="s">
        <v>74</v>
      </c>
      <c r="M369" t="s">
        <v>77</v>
      </c>
      <c r="N369" t="s">
        <v>78</v>
      </c>
      <c r="O369" t="s">
        <v>74</v>
      </c>
      <c r="P369" t="s">
        <v>74</v>
      </c>
      <c r="Q369" t="s">
        <v>74</v>
      </c>
      <c r="R369" t="s">
        <v>74</v>
      </c>
      <c r="S369" t="s">
        <v>74</v>
      </c>
      <c r="T369" t="s">
        <v>6568</v>
      </c>
      <c r="U369" t="s">
        <v>6569</v>
      </c>
      <c r="V369" t="s">
        <v>6570</v>
      </c>
      <c r="W369" t="s">
        <v>6571</v>
      </c>
      <c r="X369" t="s">
        <v>6572</v>
      </c>
      <c r="Y369" t="s">
        <v>6573</v>
      </c>
      <c r="Z369" t="s">
        <v>6574</v>
      </c>
      <c r="AA369" t="s">
        <v>6575</v>
      </c>
      <c r="AB369" t="s">
        <v>6576</v>
      </c>
      <c r="AC369" t="s">
        <v>74</v>
      </c>
      <c r="AD369" t="s">
        <v>74</v>
      </c>
      <c r="AE369" t="s">
        <v>74</v>
      </c>
      <c r="AF369" t="s">
        <v>74</v>
      </c>
      <c r="AG369">
        <v>36</v>
      </c>
      <c r="AH369">
        <v>24</v>
      </c>
      <c r="AI369">
        <v>24</v>
      </c>
      <c r="AJ369">
        <v>0</v>
      </c>
      <c r="AK369">
        <v>56</v>
      </c>
      <c r="AL369" t="s">
        <v>6577</v>
      </c>
      <c r="AM369" t="s">
        <v>6578</v>
      </c>
      <c r="AN369" t="s">
        <v>6579</v>
      </c>
      <c r="AO369" t="s">
        <v>6580</v>
      </c>
      <c r="AP369" t="s">
        <v>6581</v>
      </c>
      <c r="AQ369" t="s">
        <v>74</v>
      </c>
      <c r="AR369" t="s">
        <v>6582</v>
      </c>
      <c r="AS369" t="s">
        <v>6583</v>
      </c>
      <c r="AT369" t="s">
        <v>200</v>
      </c>
      <c r="AU369">
        <v>2013</v>
      </c>
      <c r="AV369">
        <v>22</v>
      </c>
      <c r="AW369">
        <v>1</v>
      </c>
      <c r="AX369" t="s">
        <v>74</v>
      </c>
      <c r="AY369" t="s">
        <v>74</v>
      </c>
      <c r="AZ369" t="s">
        <v>74</v>
      </c>
      <c r="BA369" t="s">
        <v>74</v>
      </c>
      <c r="BB369">
        <v>72</v>
      </c>
      <c r="BC369">
        <v>84</v>
      </c>
      <c r="BD369" t="s">
        <v>74</v>
      </c>
      <c r="BE369" t="s">
        <v>6584</v>
      </c>
      <c r="BF369" t="str">
        <f>HYPERLINK("http://dx.doi.org/10.18267/j.pep.441","http://dx.doi.org/10.18267/j.pep.441")</f>
        <v>http://dx.doi.org/10.18267/j.pep.441</v>
      </c>
      <c r="BG369" t="s">
        <v>74</v>
      </c>
      <c r="BH369" t="s">
        <v>74</v>
      </c>
      <c r="BI369">
        <v>13</v>
      </c>
      <c r="BJ369" t="s">
        <v>2599</v>
      </c>
      <c r="BK369" t="s">
        <v>94</v>
      </c>
      <c r="BL369" t="s">
        <v>95</v>
      </c>
      <c r="BM369" t="s">
        <v>6585</v>
      </c>
      <c r="BN369" t="s">
        <v>74</v>
      </c>
      <c r="BO369" t="s">
        <v>3513</v>
      </c>
      <c r="BP369" t="s">
        <v>74</v>
      </c>
      <c r="BQ369" t="s">
        <v>74</v>
      </c>
      <c r="BR369" t="s">
        <v>97</v>
      </c>
      <c r="BS369" t="s">
        <v>6586</v>
      </c>
      <c r="BT369" t="str">
        <f>HYPERLINK("https%3A%2F%2Fwww.webofscience.com%2Fwos%2Fwoscc%2Ffull-record%2FWOS:000317807200004","View Full Record in Web of Science")</f>
        <v>View Full Record in Web of Science</v>
      </c>
    </row>
    <row r="370" spans="1:72" x14ac:dyDescent="0.25">
      <c r="A370" t="s">
        <v>72</v>
      </c>
      <c r="B370" t="s">
        <v>6587</v>
      </c>
      <c r="C370" t="s">
        <v>74</v>
      </c>
      <c r="D370" t="s">
        <v>74</v>
      </c>
      <c r="E370" t="s">
        <v>74</v>
      </c>
      <c r="F370" t="s">
        <v>6588</v>
      </c>
      <c r="G370" t="s">
        <v>74</v>
      </c>
      <c r="H370" t="s">
        <v>74</v>
      </c>
      <c r="I370" t="s">
        <v>6589</v>
      </c>
      <c r="J370" t="s">
        <v>6590</v>
      </c>
      <c r="K370" t="s">
        <v>74</v>
      </c>
      <c r="L370" t="s">
        <v>74</v>
      </c>
      <c r="M370" t="s">
        <v>77</v>
      </c>
      <c r="N370" t="s">
        <v>78</v>
      </c>
      <c r="O370" t="s">
        <v>74</v>
      </c>
      <c r="P370" t="s">
        <v>74</v>
      </c>
      <c r="Q370" t="s">
        <v>74</v>
      </c>
      <c r="R370" t="s">
        <v>74</v>
      </c>
      <c r="S370" t="s">
        <v>74</v>
      </c>
      <c r="T370" t="s">
        <v>6591</v>
      </c>
      <c r="U370" t="s">
        <v>6592</v>
      </c>
      <c r="V370" t="s">
        <v>6593</v>
      </c>
      <c r="W370" t="s">
        <v>6594</v>
      </c>
      <c r="X370" t="s">
        <v>6595</v>
      </c>
      <c r="Y370" t="s">
        <v>6596</v>
      </c>
      <c r="Z370" t="s">
        <v>6597</v>
      </c>
      <c r="AA370" t="s">
        <v>6598</v>
      </c>
      <c r="AB370" t="s">
        <v>74</v>
      </c>
      <c r="AC370" t="s">
        <v>74</v>
      </c>
      <c r="AD370" t="s">
        <v>74</v>
      </c>
      <c r="AE370" t="s">
        <v>74</v>
      </c>
      <c r="AF370" t="s">
        <v>74</v>
      </c>
      <c r="AG370">
        <v>61</v>
      </c>
      <c r="AH370">
        <v>24</v>
      </c>
      <c r="AI370">
        <v>24</v>
      </c>
      <c r="AJ370">
        <v>5</v>
      </c>
      <c r="AK370">
        <v>164</v>
      </c>
      <c r="AL370" t="s">
        <v>1099</v>
      </c>
      <c r="AM370" t="s">
        <v>305</v>
      </c>
      <c r="AN370" t="s">
        <v>1100</v>
      </c>
      <c r="AO370" t="s">
        <v>6599</v>
      </c>
      <c r="AP370" t="s">
        <v>6600</v>
      </c>
      <c r="AQ370" t="s">
        <v>74</v>
      </c>
      <c r="AR370" t="s">
        <v>6601</v>
      </c>
      <c r="AS370" t="s">
        <v>6602</v>
      </c>
      <c r="AT370" t="s">
        <v>375</v>
      </c>
      <c r="AU370">
        <v>2011</v>
      </c>
      <c r="AV370">
        <v>19</v>
      </c>
      <c r="AW370">
        <v>2</v>
      </c>
      <c r="AX370" t="s">
        <v>74</v>
      </c>
      <c r="AY370" t="s">
        <v>74</v>
      </c>
      <c r="AZ370" t="s">
        <v>74</v>
      </c>
      <c r="BA370" t="s">
        <v>74</v>
      </c>
      <c r="BB370">
        <v>233</v>
      </c>
      <c r="BC370">
        <v>247</v>
      </c>
      <c r="BD370" t="s">
        <v>74</v>
      </c>
      <c r="BE370" t="s">
        <v>6603</v>
      </c>
      <c r="BF370" t="str">
        <f>HYPERLINK("http://dx.doi.org/10.1080/19761597.2011.632590","http://dx.doi.org/10.1080/19761597.2011.632590")</f>
        <v>http://dx.doi.org/10.1080/19761597.2011.632590</v>
      </c>
      <c r="BG370" t="s">
        <v>74</v>
      </c>
      <c r="BH370" t="s">
        <v>74</v>
      </c>
      <c r="BI370">
        <v>15</v>
      </c>
      <c r="BJ370" t="s">
        <v>6604</v>
      </c>
      <c r="BK370" t="s">
        <v>94</v>
      </c>
      <c r="BL370" t="s">
        <v>95</v>
      </c>
      <c r="BM370" t="s">
        <v>6605</v>
      </c>
      <c r="BN370" t="s">
        <v>74</v>
      </c>
      <c r="BO370" t="s">
        <v>74</v>
      </c>
      <c r="BP370" t="s">
        <v>74</v>
      </c>
      <c r="BQ370" t="s">
        <v>74</v>
      </c>
      <c r="BR370" t="s">
        <v>97</v>
      </c>
      <c r="BS370" t="s">
        <v>6606</v>
      </c>
      <c r="BT370" t="str">
        <f>HYPERLINK("https%3A%2F%2Fwww.webofscience.com%2Fwos%2Fwoscc%2Ffull-record%2FWOS:000300861800005","View Full Record in Web of Science")</f>
        <v>View Full Record in Web of Science</v>
      </c>
    </row>
    <row r="371" spans="1:72" x14ac:dyDescent="0.25">
      <c r="A371" t="s">
        <v>72</v>
      </c>
      <c r="B371" t="s">
        <v>6607</v>
      </c>
      <c r="C371" t="s">
        <v>74</v>
      </c>
      <c r="D371" t="s">
        <v>74</v>
      </c>
      <c r="E371" t="s">
        <v>74</v>
      </c>
      <c r="F371" t="s">
        <v>6608</v>
      </c>
      <c r="G371" t="s">
        <v>74</v>
      </c>
      <c r="H371" t="s">
        <v>74</v>
      </c>
      <c r="I371" t="s">
        <v>6609</v>
      </c>
      <c r="J371" t="s">
        <v>424</v>
      </c>
      <c r="K371" t="s">
        <v>74</v>
      </c>
      <c r="L371" t="s">
        <v>74</v>
      </c>
      <c r="M371" t="s">
        <v>77</v>
      </c>
      <c r="N371" t="s">
        <v>78</v>
      </c>
      <c r="O371" t="s">
        <v>74</v>
      </c>
      <c r="P371" t="s">
        <v>74</v>
      </c>
      <c r="Q371" t="s">
        <v>74</v>
      </c>
      <c r="R371" t="s">
        <v>74</v>
      </c>
      <c r="S371" t="s">
        <v>74</v>
      </c>
      <c r="T371" t="s">
        <v>6610</v>
      </c>
      <c r="U371" t="s">
        <v>6611</v>
      </c>
      <c r="V371" t="s">
        <v>6612</v>
      </c>
      <c r="W371" t="s">
        <v>6613</v>
      </c>
      <c r="X371" t="s">
        <v>6614</v>
      </c>
      <c r="Y371" t="s">
        <v>6615</v>
      </c>
      <c r="Z371" t="s">
        <v>6616</v>
      </c>
      <c r="AA371" t="s">
        <v>74</v>
      </c>
      <c r="AB371" t="s">
        <v>74</v>
      </c>
      <c r="AC371" t="s">
        <v>74</v>
      </c>
      <c r="AD371" t="s">
        <v>74</v>
      </c>
      <c r="AE371" t="s">
        <v>74</v>
      </c>
      <c r="AF371" t="s">
        <v>74</v>
      </c>
      <c r="AG371">
        <v>48</v>
      </c>
      <c r="AH371">
        <v>24</v>
      </c>
      <c r="AI371">
        <v>25</v>
      </c>
      <c r="AJ371">
        <v>1</v>
      </c>
      <c r="AK371">
        <v>41</v>
      </c>
      <c r="AL371" t="s">
        <v>511</v>
      </c>
      <c r="AM371" t="s">
        <v>435</v>
      </c>
      <c r="AN371" t="s">
        <v>512</v>
      </c>
      <c r="AO371" t="s">
        <v>437</v>
      </c>
      <c r="AP371" t="s">
        <v>438</v>
      </c>
      <c r="AQ371" t="s">
        <v>74</v>
      </c>
      <c r="AR371" t="s">
        <v>439</v>
      </c>
      <c r="AS371" t="s">
        <v>440</v>
      </c>
      <c r="AT371" t="s">
        <v>405</v>
      </c>
      <c r="AU371">
        <v>2009</v>
      </c>
      <c r="AV371">
        <v>38</v>
      </c>
      <c r="AW371">
        <v>1</v>
      </c>
      <c r="AX371" t="s">
        <v>74</v>
      </c>
      <c r="AY371" t="s">
        <v>74</v>
      </c>
      <c r="AZ371" t="s">
        <v>74</v>
      </c>
      <c r="BA371" t="s">
        <v>74</v>
      </c>
      <c r="BB371">
        <v>170</v>
      </c>
      <c r="BC371">
        <v>180</v>
      </c>
      <c r="BD371" t="s">
        <v>74</v>
      </c>
      <c r="BE371" t="s">
        <v>6617</v>
      </c>
      <c r="BF371" t="str">
        <f>HYPERLINK("http://dx.doi.org/10.1016/j.respol.2008.10.015","http://dx.doi.org/10.1016/j.respol.2008.10.015")</f>
        <v>http://dx.doi.org/10.1016/j.respol.2008.10.015</v>
      </c>
      <c r="BG371" t="s">
        <v>74</v>
      </c>
      <c r="BH371" t="s">
        <v>74</v>
      </c>
      <c r="BI371">
        <v>11</v>
      </c>
      <c r="BJ371" t="s">
        <v>442</v>
      </c>
      <c r="BK371" t="s">
        <v>94</v>
      </c>
      <c r="BL371" t="s">
        <v>95</v>
      </c>
      <c r="BM371" t="s">
        <v>6618</v>
      </c>
      <c r="BN371" t="s">
        <v>74</v>
      </c>
      <c r="BO371" t="s">
        <v>111</v>
      </c>
      <c r="BP371" t="s">
        <v>74</v>
      </c>
      <c r="BQ371" t="s">
        <v>74</v>
      </c>
      <c r="BR371" t="s">
        <v>97</v>
      </c>
      <c r="BS371" t="s">
        <v>6619</v>
      </c>
      <c r="BT371" t="str">
        <f>HYPERLINK("https%3A%2F%2Fwww.webofscience.com%2Fwos%2Fwoscc%2Ffull-record%2FWOS:000262897100015","View Full Record in Web of Science")</f>
        <v>View Full Record in Web of Science</v>
      </c>
    </row>
    <row r="372" spans="1:72" x14ac:dyDescent="0.25">
      <c r="A372" t="s">
        <v>72</v>
      </c>
      <c r="B372" t="s">
        <v>6620</v>
      </c>
      <c r="C372" t="s">
        <v>74</v>
      </c>
      <c r="D372" t="s">
        <v>74</v>
      </c>
      <c r="E372" t="s">
        <v>74</v>
      </c>
      <c r="F372" t="s">
        <v>6621</v>
      </c>
      <c r="G372" t="s">
        <v>74</v>
      </c>
      <c r="H372" t="s">
        <v>74</v>
      </c>
      <c r="I372" t="s">
        <v>6622</v>
      </c>
      <c r="J372" t="s">
        <v>6623</v>
      </c>
      <c r="K372" t="s">
        <v>74</v>
      </c>
      <c r="L372" t="s">
        <v>74</v>
      </c>
      <c r="M372" t="s">
        <v>77</v>
      </c>
      <c r="N372" t="s">
        <v>78</v>
      </c>
      <c r="O372" t="s">
        <v>74</v>
      </c>
      <c r="P372" t="s">
        <v>74</v>
      </c>
      <c r="Q372" t="s">
        <v>74</v>
      </c>
      <c r="R372" t="s">
        <v>74</v>
      </c>
      <c r="S372" t="s">
        <v>74</v>
      </c>
      <c r="T372" t="s">
        <v>6624</v>
      </c>
      <c r="U372" t="s">
        <v>6625</v>
      </c>
      <c r="V372" t="s">
        <v>6626</v>
      </c>
      <c r="W372" t="s">
        <v>6627</v>
      </c>
      <c r="X372" t="s">
        <v>6628</v>
      </c>
      <c r="Y372" t="s">
        <v>6629</v>
      </c>
      <c r="Z372" t="s">
        <v>6630</v>
      </c>
      <c r="AA372" t="s">
        <v>6631</v>
      </c>
      <c r="AB372" t="s">
        <v>6632</v>
      </c>
      <c r="AC372" t="s">
        <v>74</v>
      </c>
      <c r="AD372" t="s">
        <v>74</v>
      </c>
      <c r="AE372" t="s">
        <v>74</v>
      </c>
      <c r="AF372" t="s">
        <v>74</v>
      </c>
      <c r="AG372">
        <v>34</v>
      </c>
      <c r="AH372">
        <v>24</v>
      </c>
      <c r="AI372">
        <v>24</v>
      </c>
      <c r="AJ372">
        <v>0</v>
      </c>
      <c r="AK372">
        <v>5</v>
      </c>
      <c r="AL372" t="s">
        <v>577</v>
      </c>
      <c r="AM372" t="s">
        <v>578</v>
      </c>
      <c r="AN372" t="s">
        <v>579</v>
      </c>
      <c r="AO372" t="s">
        <v>6633</v>
      </c>
      <c r="AP372" t="s">
        <v>74</v>
      </c>
      <c r="AQ372" t="s">
        <v>74</v>
      </c>
      <c r="AR372" t="s">
        <v>6634</v>
      </c>
      <c r="AS372" t="s">
        <v>6635</v>
      </c>
      <c r="AT372" t="s">
        <v>375</v>
      </c>
      <c r="AU372">
        <v>2008</v>
      </c>
      <c r="AV372">
        <v>74</v>
      </c>
      <c r="AW372">
        <v>4</v>
      </c>
      <c r="AX372" t="s">
        <v>74</v>
      </c>
      <c r="AY372" t="s">
        <v>74</v>
      </c>
      <c r="AZ372" t="s">
        <v>74</v>
      </c>
      <c r="BA372" t="s">
        <v>74</v>
      </c>
      <c r="BB372">
        <v>356</v>
      </c>
      <c r="BC372">
        <v>368</v>
      </c>
      <c r="BD372" t="s">
        <v>74</v>
      </c>
      <c r="BE372" t="s">
        <v>6636</v>
      </c>
      <c r="BF372" t="str">
        <f>HYPERLINK("http://dx.doi.org/10.1016/j.tpb.2008.09.006","http://dx.doi.org/10.1016/j.tpb.2008.09.006")</f>
        <v>http://dx.doi.org/10.1016/j.tpb.2008.09.006</v>
      </c>
      <c r="BG372" t="s">
        <v>74</v>
      </c>
      <c r="BH372" t="s">
        <v>74</v>
      </c>
      <c r="BI372">
        <v>13</v>
      </c>
      <c r="BJ372" t="s">
        <v>6637</v>
      </c>
      <c r="BK372" t="s">
        <v>147</v>
      </c>
      <c r="BL372" t="s">
        <v>6638</v>
      </c>
      <c r="BM372" t="s">
        <v>6639</v>
      </c>
      <c r="BN372">
        <v>18938191</v>
      </c>
      <c r="BO372" t="s">
        <v>74</v>
      </c>
      <c r="BP372" t="s">
        <v>74</v>
      </c>
      <c r="BQ372" t="s">
        <v>74</v>
      </c>
      <c r="BR372" t="s">
        <v>97</v>
      </c>
      <c r="BS372" t="s">
        <v>6640</v>
      </c>
      <c r="BT372" t="str">
        <f>HYPERLINK("https%3A%2F%2Fwww.webofscience.com%2Fwos%2Fwoscc%2Ffull-record%2FWOS:000261533200008","View Full Record in Web of Science")</f>
        <v>View Full Record in Web of Science</v>
      </c>
    </row>
    <row r="373" spans="1:72" x14ac:dyDescent="0.25">
      <c r="A373" t="s">
        <v>72</v>
      </c>
      <c r="B373" t="s">
        <v>6641</v>
      </c>
      <c r="C373" t="s">
        <v>74</v>
      </c>
      <c r="D373" t="s">
        <v>74</v>
      </c>
      <c r="E373" t="s">
        <v>74</v>
      </c>
      <c r="F373" t="s">
        <v>6641</v>
      </c>
      <c r="G373" t="s">
        <v>74</v>
      </c>
      <c r="H373" t="s">
        <v>74</v>
      </c>
      <c r="I373" t="s">
        <v>6642</v>
      </c>
      <c r="J373" t="s">
        <v>2502</v>
      </c>
      <c r="K373" t="s">
        <v>74</v>
      </c>
      <c r="L373" t="s">
        <v>74</v>
      </c>
      <c r="M373" t="s">
        <v>77</v>
      </c>
      <c r="N373" t="s">
        <v>78</v>
      </c>
      <c r="O373" t="s">
        <v>74</v>
      </c>
      <c r="P373" t="s">
        <v>74</v>
      </c>
      <c r="Q373" t="s">
        <v>74</v>
      </c>
      <c r="R373" t="s">
        <v>74</v>
      </c>
      <c r="S373" t="s">
        <v>74</v>
      </c>
      <c r="T373" t="s">
        <v>6643</v>
      </c>
      <c r="U373" t="s">
        <v>6644</v>
      </c>
      <c r="V373" t="s">
        <v>6645</v>
      </c>
      <c r="W373" t="s">
        <v>6646</v>
      </c>
      <c r="X373" t="s">
        <v>6647</v>
      </c>
      <c r="Y373" t="s">
        <v>6648</v>
      </c>
      <c r="Z373" t="s">
        <v>74</v>
      </c>
      <c r="AA373" t="s">
        <v>74</v>
      </c>
      <c r="AB373" t="s">
        <v>74</v>
      </c>
      <c r="AC373" t="s">
        <v>74</v>
      </c>
      <c r="AD373" t="s">
        <v>74</v>
      </c>
      <c r="AE373" t="s">
        <v>74</v>
      </c>
      <c r="AF373" t="s">
        <v>74</v>
      </c>
      <c r="AG373">
        <v>50</v>
      </c>
      <c r="AH373">
        <v>24</v>
      </c>
      <c r="AI373">
        <v>24</v>
      </c>
      <c r="AJ373">
        <v>0</v>
      </c>
      <c r="AK373">
        <v>16</v>
      </c>
      <c r="AL373" t="s">
        <v>6649</v>
      </c>
      <c r="AM373" t="s">
        <v>6650</v>
      </c>
      <c r="AN373" t="s">
        <v>6651</v>
      </c>
      <c r="AO373" t="s">
        <v>2510</v>
      </c>
      <c r="AP373" t="s">
        <v>74</v>
      </c>
      <c r="AQ373" t="s">
        <v>74</v>
      </c>
      <c r="AR373" t="s">
        <v>2512</v>
      </c>
      <c r="AS373" t="s">
        <v>2513</v>
      </c>
      <c r="AT373" t="s">
        <v>74</v>
      </c>
      <c r="AU373">
        <v>2000</v>
      </c>
      <c r="AV373">
        <v>29</v>
      </c>
      <c r="AW373" t="s">
        <v>1930</v>
      </c>
      <c r="AX373" t="s">
        <v>74</v>
      </c>
      <c r="AY373" t="s">
        <v>74</v>
      </c>
      <c r="AZ373" t="s">
        <v>74</v>
      </c>
      <c r="BA373" t="s">
        <v>74</v>
      </c>
      <c r="BB373">
        <v>228</v>
      </c>
      <c r="BC373">
        <v>254</v>
      </c>
      <c r="BD373" t="s">
        <v>74</v>
      </c>
      <c r="BE373" t="s">
        <v>6652</v>
      </c>
      <c r="BF373" t="str">
        <f>HYPERLINK("http://dx.doi.org/10.1108/00483480010296014","http://dx.doi.org/10.1108/00483480010296014")</f>
        <v>http://dx.doi.org/10.1108/00483480010296014</v>
      </c>
      <c r="BG373" t="s">
        <v>74</v>
      </c>
      <c r="BH373" t="s">
        <v>74</v>
      </c>
      <c r="BI373">
        <v>27</v>
      </c>
      <c r="BJ373" t="s">
        <v>2515</v>
      </c>
      <c r="BK373" t="s">
        <v>94</v>
      </c>
      <c r="BL373" t="s">
        <v>227</v>
      </c>
      <c r="BM373" t="s">
        <v>6653</v>
      </c>
      <c r="BN373" t="s">
        <v>74</v>
      </c>
      <c r="BO373" t="s">
        <v>74</v>
      </c>
      <c r="BP373" t="s">
        <v>74</v>
      </c>
      <c r="BQ373" t="s">
        <v>74</v>
      </c>
      <c r="BR373" t="s">
        <v>97</v>
      </c>
      <c r="BS373" t="s">
        <v>6654</v>
      </c>
      <c r="BT373" t="str">
        <f>HYPERLINK("https%3A%2F%2Fwww.webofscience.com%2Fwos%2Fwoscc%2Ffull-record%2FWOS:000085837400014","View Full Record in Web of Science")</f>
        <v>View Full Record in Web of Science</v>
      </c>
    </row>
    <row r="374" spans="1:72" x14ac:dyDescent="0.25">
      <c r="A374" t="s">
        <v>72</v>
      </c>
      <c r="B374" t="s">
        <v>6655</v>
      </c>
      <c r="C374" t="s">
        <v>74</v>
      </c>
      <c r="D374" t="s">
        <v>74</v>
      </c>
      <c r="E374" t="s">
        <v>74</v>
      </c>
      <c r="F374" t="s">
        <v>6656</v>
      </c>
      <c r="G374" t="s">
        <v>74</v>
      </c>
      <c r="H374" t="s">
        <v>74</v>
      </c>
      <c r="I374" t="s">
        <v>6657</v>
      </c>
      <c r="J374" t="s">
        <v>4564</v>
      </c>
      <c r="K374" t="s">
        <v>74</v>
      </c>
      <c r="L374" t="s">
        <v>74</v>
      </c>
      <c r="M374" t="s">
        <v>77</v>
      </c>
      <c r="N374" t="s">
        <v>78</v>
      </c>
      <c r="O374" t="s">
        <v>74</v>
      </c>
      <c r="P374" t="s">
        <v>74</v>
      </c>
      <c r="Q374" t="s">
        <v>74</v>
      </c>
      <c r="R374" t="s">
        <v>74</v>
      </c>
      <c r="S374" t="s">
        <v>74</v>
      </c>
      <c r="T374" t="s">
        <v>6658</v>
      </c>
      <c r="U374" t="s">
        <v>74</v>
      </c>
      <c r="V374" t="s">
        <v>6659</v>
      </c>
      <c r="W374" t="s">
        <v>6660</v>
      </c>
      <c r="X374" t="s">
        <v>5203</v>
      </c>
      <c r="Y374" t="s">
        <v>6661</v>
      </c>
      <c r="Z374" t="s">
        <v>6662</v>
      </c>
      <c r="AA374" t="s">
        <v>74</v>
      </c>
      <c r="AB374" t="s">
        <v>5206</v>
      </c>
      <c r="AC374" t="s">
        <v>74</v>
      </c>
      <c r="AD374" t="s">
        <v>74</v>
      </c>
      <c r="AE374" t="s">
        <v>74</v>
      </c>
      <c r="AF374" t="s">
        <v>74</v>
      </c>
      <c r="AG374">
        <v>71</v>
      </c>
      <c r="AH374">
        <v>23</v>
      </c>
      <c r="AI374">
        <v>23</v>
      </c>
      <c r="AJ374">
        <v>14</v>
      </c>
      <c r="AK374">
        <v>66</v>
      </c>
      <c r="AL374" t="s">
        <v>1099</v>
      </c>
      <c r="AM374" t="s">
        <v>305</v>
      </c>
      <c r="AN374" t="s">
        <v>1100</v>
      </c>
      <c r="AO374" t="s">
        <v>4574</v>
      </c>
      <c r="AP374" t="s">
        <v>4575</v>
      </c>
      <c r="AQ374" t="s">
        <v>74</v>
      </c>
      <c r="AR374" t="s">
        <v>4576</v>
      </c>
      <c r="AS374" t="s">
        <v>4577</v>
      </c>
      <c r="AT374" t="s">
        <v>5161</v>
      </c>
      <c r="AU374">
        <v>2021</v>
      </c>
      <c r="AV374">
        <v>30</v>
      </c>
      <c r="AW374">
        <v>5</v>
      </c>
      <c r="AX374" t="s">
        <v>74</v>
      </c>
      <c r="AY374" t="s">
        <v>74</v>
      </c>
      <c r="AZ374" t="s">
        <v>74</v>
      </c>
      <c r="BA374" t="s">
        <v>74</v>
      </c>
      <c r="BB374">
        <v>611</v>
      </c>
      <c r="BC374">
        <v>629</v>
      </c>
      <c r="BD374" t="s">
        <v>74</v>
      </c>
      <c r="BE374" t="s">
        <v>6663</v>
      </c>
      <c r="BF374" t="str">
        <f>HYPERLINK("http://dx.doi.org/10.1080/19368623.2021.1860850","http://dx.doi.org/10.1080/19368623.2021.1860850")</f>
        <v>http://dx.doi.org/10.1080/19368623.2021.1860850</v>
      </c>
      <c r="BG374" t="s">
        <v>74</v>
      </c>
      <c r="BH374" t="s">
        <v>6664</v>
      </c>
      <c r="BI374">
        <v>19</v>
      </c>
      <c r="BJ374" t="s">
        <v>4581</v>
      </c>
      <c r="BK374" t="s">
        <v>94</v>
      </c>
      <c r="BL374" t="s">
        <v>2359</v>
      </c>
      <c r="BM374" t="s">
        <v>6665</v>
      </c>
      <c r="BN374" t="s">
        <v>74</v>
      </c>
      <c r="BO374" t="s">
        <v>74</v>
      </c>
      <c r="BP374" t="s">
        <v>74</v>
      </c>
      <c r="BQ374" t="s">
        <v>74</v>
      </c>
      <c r="BR374" t="s">
        <v>97</v>
      </c>
      <c r="BS374" t="s">
        <v>6666</v>
      </c>
      <c r="BT374" t="str">
        <f>HYPERLINK("https%3A%2F%2Fwww.webofscience.com%2Fwos%2Fwoscc%2Ffull-record%2FWOS:000605412000001","View Full Record in Web of Science")</f>
        <v>View Full Record in Web of Science</v>
      </c>
    </row>
    <row r="375" spans="1:72" x14ac:dyDescent="0.25">
      <c r="A375" t="s">
        <v>72</v>
      </c>
      <c r="B375" t="s">
        <v>6667</v>
      </c>
      <c r="C375" t="s">
        <v>74</v>
      </c>
      <c r="D375" t="s">
        <v>74</v>
      </c>
      <c r="E375" t="s">
        <v>74</v>
      </c>
      <c r="F375" t="s">
        <v>6668</v>
      </c>
      <c r="G375" t="s">
        <v>74</v>
      </c>
      <c r="H375" t="s">
        <v>74</v>
      </c>
      <c r="I375" t="s">
        <v>6669</v>
      </c>
      <c r="J375" t="s">
        <v>5262</v>
      </c>
      <c r="K375" t="s">
        <v>74</v>
      </c>
      <c r="L375" t="s">
        <v>74</v>
      </c>
      <c r="M375" t="s">
        <v>77</v>
      </c>
      <c r="N375" t="s">
        <v>78</v>
      </c>
      <c r="O375" t="s">
        <v>74</v>
      </c>
      <c r="P375" t="s">
        <v>74</v>
      </c>
      <c r="Q375" t="s">
        <v>74</v>
      </c>
      <c r="R375" t="s">
        <v>74</v>
      </c>
      <c r="S375" t="s">
        <v>74</v>
      </c>
      <c r="T375" t="s">
        <v>6670</v>
      </c>
      <c r="U375" t="s">
        <v>6671</v>
      </c>
      <c r="V375" t="s">
        <v>6672</v>
      </c>
      <c r="W375" t="s">
        <v>6673</v>
      </c>
      <c r="X375" t="s">
        <v>6674</v>
      </c>
      <c r="Y375" t="s">
        <v>6675</v>
      </c>
      <c r="Z375" t="s">
        <v>6676</v>
      </c>
      <c r="AA375" t="s">
        <v>6677</v>
      </c>
      <c r="AB375" t="s">
        <v>6678</v>
      </c>
      <c r="AC375" t="s">
        <v>74</v>
      </c>
      <c r="AD375" t="s">
        <v>74</v>
      </c>
      <c r="AE375" t="s">
        <v>74</v>
      </c>
      <c r="AF375" t="s">
        <v>74</v>
      </c>
      <c r="AG375">
        <v>154</v>
      </c>
      <c r="AH375">
        <v>23</v>
      </c>
      <c r="AI375">
        <v>23</v>
      </c>
      <c r="AJ375">
        <v>15</v>
      </c>
      <c r="AK375">
        <v>58</v>
      </c>
      <c r="AL375" t="s">
        <v>665</v>
      </c>
      <c r="AM375" t="s">
        <v>666</v>
      </c>
      <c r="AN375" t="s">
        <v>667</v>
      </c>
      <c r="AO375" t="s">
        <v>5274</v>
      </c>
      <c r="AP375" t="s">
        <v>5275</v>
      </c>
      <c r="AQ375" t="s">
        <v>74</v>
      </c>
      <c r="AR375" t="s">
        <v>5276</v>
      </c>
      <c r="AS375" t="s">
        <v>5277</v>
      </c>
      <c r="AT375" t="s">
        <v>6679</v>
      </c>
      <c r="AU375">
        <v>2020</v>
      </c>
      <c r="AV375">
        <v>33</v>
      </c>
      <c r="AW375">
        <v>7</v>
      </c>
      <c r="AX375" t="s">
        <v>74</v>
      </c>
      <c r="AY375" t="s">
        <v>74</v>
      </c>
      <c r="AZ375" t="s">
        <v>74</v>
      </c>
      <c r="BA375" t="s">
        <v>74</v>
      </c>
      <c r="BB375">
        <v>1375</v>
      </c>
      <c r="BC375">
        <v>1400</v>
      </c>
      <c r="BD375" t="s">
        <v>74</v>
      </c>
      <c r="BE375" t="s">
        <v>6680</v>
      </c>
      <c r="BF375" t="str">
        <f>HYPERLINK("http://dx.doi.org/10.1108/JOCM-03-2020-0072","http://dx.doi.org/10.1108/JOCM-03-2020-0072")</f>
        <v>http://dx.doi.org/10.1108/JOCM-03-2020-0072</v>
      </c>
      <c r="BG375" t="s">
        <v>74</v>
      </c>
      <c r="BH375" t="s">
        <v>74</v>
      </c>
      <c r="BI375">
        <v>26</v>
      </c>
      <c r="BJ375" t="s">
        <v>442</v>
      </c>
      <c r="BK375" t="s">
        <v>94</v>
      </c>
      <c r="BL375" t="s">
        <v>95</v>
      </c>
      <c r="BM375" t="s">
        <v>6681</v>
      </c>
      <c r="BN375" t="s">
        <v>74</v>
      </c>
      <c r="BO375" t="s">
        <v>74</v>
      </c>
      <c r="BP375" t="s">
        <v>74</v>
      </c>
      <c r="BQ375" t="s">
        <v>74</v>
      </c>
      <c r="BR375" t="s">
        <v>97</v>
      </c>
      <c r="BS375" t="s">
        <v>6682</v>
      </c>
      <c r="BT375" t="str">
        <f>HYPERLINK("https%3A%2F%2Fwww.webofscience.com%2Fwos%2Fwoscc%2Ffull-record%2FWOS:000597915800008","View Full Record in Web of Science")</f>
        <v>View Full Record in Web of Science</v>
      </c>
    </row>
    <row r="376" spans="1:72" x14ac:dyDescent="0.25">
      <c r="A376" t="s">
        <v>72</v>
      </c>
      <c r="B376" t="s">
        <v>6683</v>
      </c>
      <c r="C376" t="s">
        <v>74</v>
      </c>
      <c r="D376" t="s">
        <v>74</v>
      </c>
      <c r="E376" t="s">
        <v>74</v>
      </c>
      <c r="F376" t="s">
        <v>6684</v>
      </c>
      <c r="G376" t="s">
        <v>74</v>
      </c>
      <c r="H376" t="s">
        <v>74</v>
      </c>
      <c r="I376" t="s">
        <v>6685</v>
      </c>
      <c r="J376" t="s">
        <v>2463</v>
      </c>
      <c r="K376" t="s">
        <v>74</v>
      </c>
      <c r="L376" t="s">
        <v>74</v>
      </c>
      <c r="M376" t="s">
        <v>77</v>
      </c>
      <c r="N376" t="s">
        <v>78</v>
      </c>
      <c r="O376" t="s">
        <v>74</v>
      </c>
      <c r="P376" t="s">
        <v>74</v>
      </c>
      <c r="Q376" t="s">
        <v>74</v>
      </c>
      <c r="R376" t="s">
        <v>74</v>
      </c>
      <c r="S376" t="s">
        <v>74</v>
      </c>
      <c r="T376" t="s">
        <v>6686</v>
      </c>
      <c r="U376" t="s">
        <v>6687</v>
      </c>
      <c r="V376" t="s">
        <v>6688</v>
      </c>
      <c r="W376" t="s">
        <v>6689</v>
      </c>
      <c r="X376" t="s">
        <v>6690</v>
      </c>
      <c r="Y376" t="s">
        <v>6691</v>
      </c>
      <c r="Z376" t="s">
        <v>6692</v>
      </c>
      <c r="AA376" t="s">
        <v>6693</v>
      </c>
      <c r="AB376" t="s">
        <v>6694</v>
      </c>
      <c r="AC376" t="s">
        <v>74</v>
      </c>
      <c r="AD376" t="s">
        <v>74</v>
      </c>
      <c r="AE376" t="s">
        <v>74</v>
      </c>
      <c r="AF376" t="s">
        <v>74</v>
      </c>
      <c r="AG376">
        <v>78</v>
      </c>
      <c r="AH376">
        <v>23</v>
      </c>
      <c r="AI376">
        <v>23</v>
      </c>
      <c r="AJ376">
        <v>9</v>
      </c>
      <c r="AK376">
        <v>34</v>
      </c>
      <c r="AL376" t="s">
        <v>2473</v>
      </c>
      <c r="AM376" t="s">
        <v>2102</v>
      </c>
      <c r="AN376" t="s">
        <v>2474</v>
      </c>
      <c r="AO376" t="s">
        <v>74</v>
      </c>
      <c r="AP376" t="s">
        <v>2475</v>
      </c>
      <c r="AQ376" t="s">
        <v>74</v>
      </c>
      <c r="AR376" t="s">
        <v>2476</v>
      </c>
      <c r="AS376" t="s">
        <v>2477</v>
      </c>
      <c r="AT376" t="s">
        <v>584</v>
      </c>
      <c r="AU376">
        <v>2019</v>
      </c>
      <c r="AV376">
        <v>11</v>
      </c>
      <c r="AW376">
        <v>22</v>
      </c>
      <c r="AX376" t="s">
        <v>74</v>
      </c>
      <c r="AY376" t="s">
        <v>74</v>
      </c>
      <c r="AZ376" t="s">
        <v>74</v>
      </c>
      <c r="BA376" t="s">
        <v>74</v>
      </c>
      <c r="BB376" t="s">
        <v>74</v>
      </c>
      <c r="BC376" t="s">
        <v>74</v>
      </c>
      <c r="BD376">
        <v>6273</v>
      </c>
      <c r="BE376" t="s">
        <v>6695</v>
      </c>
      <c r="BF376" t="str">
        <f>HYPERLINK("http://dx.doi.org/10.3390/su11226273","http://dx.doi.org/10.3390/su11226273")</f>
        <v>http://dx.doi.org/10.3390/su11226273</v>
      </c>
      <c r="BG376" t="s">
        <v>74</v>
      </c>
      <c r="BH376" t="s">
        <v>74</v>
      </c>
      <c r="BI376">
        <v>18</v>
      </c>
      <c r="BJ376" t="s">
        <v>2479</v>
      </c>
      <c r="BK376" t="s">
        <v>147</v>
      </c>
      <c r="BL376" t="s">
        <v>2480</v>
      </c>
      <c r="BM376" t="s">
        <v>6696</v>
      </c>
      <c r="BN376" t="s">
        <v>74</v>
      </c>
      <c r="BO376" t="s">
        <v>4398</v>
      </c>
      <c r="BP376" t="s">
        <v>74</v>
      </c>
      <c r="BQ376" t="s">
        <v>74</v>
      </c>
      <c r="BR376" t="s">
        <v>97</v>
      </c>
      <c r="BS376" t="s">
        <v>6697</v>
      </c>
      <c r="BT376" t="str">
        <f>HYPERLINK("https%3A%2F%2Fwww.webofscience.com%2Fwos%2Fwoscc%2Ffull-record%2FWOS:000503277900086","View Full Record in Web of Science")</f>
        <v>View Full Record in Web of Science</v>
      </c>
    </row>
    <row r="377" spans="1:72" x14ac:dyDescent="0.25">
      <c r="A377" t="s">
        <v>72</v>
      </c>
      <c r="B377" t="s">
        <v>6698</v>
      </c>
      <c r="C377" t="s">
        <v>74</v>
      </c>
      <c r="D377" t="s">
        <v>74</v>
      </c>
      <c r="E377" t="s">
        <v>74</v>
      </c>
      <c r="F377" t="s">
        <v>6699</v>
      </c>
      <c r="G377" t="s">
        <v>74</v>
      </c>
      <c r="H377" t="s">
        <v>74</v>
      </c>
      <c r="I377" t="s">
        <v>6700</v>
      </c>
      <c r="J377" t="s">
        <v>1186</v>
      </c>
      <c r="K377" t="s">
        <v>74</v>
      </c>
      <c r="L377" t="s">
        <v>74</v>
      </c>
      <c r="M377" t="s">
        <v>77</v>
      </c>
      <c r="N377" t="s">
        <v>78</v>
      </c>
      <c r="O377" t="s">
        <v>74</v>
      </c>
      <c r="P377" t="s">
        <v>74</v>
      </c>
      <c r="Q377" t="s">
        <v>74</v>
      </c>
      <c r="R377" t="s">
        <v>74</v>
      </c>
      <c r="S377" t="s">
        <v>74</v>
      </c>
      <c r="T377" t="s">
        <v>6701</v>
      </c>
      <c r="U377" t="s">
        <v>6702</v>
      </c>
      <c r="V377" t="s">
        <v>6703</v>
      </c>
      <c r="W377" t="s">
        <v>6704</v>
      </c>
      <c r="X377" t="s">
        <v>6705</v>
      </c>
      <c r="Y377" t="s">
        <v>6706</v>
      </c>
      <c r="Z377" t="s">
        <v>6707</v>
      </c>
      <c r="AA377" t="s">
        <v>74</v>
      </c>
      <c r="AB377" t="s">
        <v>6708</v>
      </c>
      <c r="AC377" t="s">
        <v>74</v>
      </c>
      <c r="AD377" t="s">
        <v>74</v>
      </c>
      <c r="AE377" t="s">
        <v>74</v>
      </c>
      <c r="AF377" t="s">
        <v>74</v>
      </c>
      <c r="AG377">
        <v>80</v>
      </c>
      <c r="AH377">
        <v>23</v>
      </c>
      <c r="AI377">
        <v>24</v>
      </c>
      <c r="AJ377">
        <v>4</v>
      </c>
      <c r="AK377">
        <v>36</v>
      </c>
      <c r="AL377" t="s">
        <v>766</v>
      </c>
      <c r="AM377" t="s">
        <v>1193</v>
      </c>
      <c r="AN377" t="s">
        <v>1498</v>
      </c>
      <c r="AO377" t="s">
        <v>1195</v>
      </c>
      <c r="AP377" t="s">
        <v>1499</v>
      </c>
      <c r="AQ377" t="s">
        <v>74</v>
      </c>
      <c r="AR377" t="s">
        <v>1196</v>
      </c>
      <c r="AS377" t="s">
        <v>1197</v>
      </c>
      <c r="AT377" t="s">
        <v>91</v>
      </c>
      <c r="AU377">
        <v>2019</v>
      </c>
      <c r="AV377">
        <v>53</v>
      </c>
      <c r="AW377">
        <v>1</v>
      </c>
      <c r="AX377" t="s">
        <v>74</v>
      </c>
      <c r="AY377" t="s">
        <v>74</v>
      </c>
      <c r="AZ377" t="s">
        <v>74</v>
      </c>
      <c r="BA377" t="s">
        <v>74</v>
      </c>
      <c r="BB377">
        <v>287</v>
      </c>
      <c r="BC377">
        <v>309</v>
      </c>
      <c r="BD377" t="s">
        <v>74</v>
      </c>
      <c r="BE377" t="s">
        <v>6709</v>
      </c>
      <c r="BF377" t="str">
        <f>HYPERLINK("http://dx.doi.org/10.1007/s11187-018-0026-4","http://dx.doi.org/10.1007/s11187-018-0026-4")</f>
        <v>http://dx.doi.org/10.1007/s11187-018-0026-4</v>
      </c>
      <c r="BG377" t="s">
        <v>74</v>
      </c>
      <c r="BH377" t="s">
        <v>74</v>
      </c>
      <c r="BI377">
        <v>23</v>
      </c>
      <c r="BJ377" t="s">
        <v>1199</v>
      </c>
      <c r="BK377" t="s">
        <v>94</v>
      </c>
      <c r="BL377" t="s">
        <v>95</v>
      </c>
      <c r="BM377" t="s">
        <v>6710</v>
      </c>
      <c r="BN377" t="s">
        <v>74</v>
      </c>
      <c r="BO377" t="s">
        <v>111</v>
      </c>
      <c r="BP377" t="s">
        <v>74</v>
      </c>
      <c r="BQ377" t="s">
        <v>74</v>
      </c>
      <c r="BR377" t="s">
        <v>97</v>
      </c>
      <c r="BS377" t="s">
        <v>6711</v>
      </c>
      <c r="BT377" t="str">
        <f>HYPERLINK("https%3A%2F%2Fwww.webofscience.com%2Fwos%2Fwoscc%2Ffull-record%2FWOS:000468505900014","View Full Record in Web of Science")</f>
        <v>View Full Record in Web of Science</v>
      </c>
    </row>
    <row r="378" spans="1:72" x14ac:dyDescent="0.25">
      <c r="A378" t="s">
        <v>72</v>
      </c>
      <c r="B378" t="s">
        <v>6712</v>
      </c>
      <c r="C378" t="s">
        <v>74</v>
      </c>
      <c r="D378" t="s">
        <v>74</v>
      </c>
      <c r="E378" t="s">
        <v>74</v>
      </c>
      <c r="F378" t="s">
        <v>6713</v>
      </c>
      <c r="G378" t="s">
        <v>74</v>
      </c>
      <c r="H378" t="s">
        <v>74</v>
      </c>
      <c r="I378" t="s">
        <v>6714</v>
      </c>
      <c r="J378" t="s">
        <v>2678</v>
      </c>
      <c r="K378" t="s">
        <v>74</v>
      </c>
      <c r="L378" t="s">
        <v>74</v>
      </c>
      <c r="M378" t="s">
        <v>77</v>
      </c>
      <c r="N378" t="s">
        <v>78</v>
      </c>
      <c r="O378" t="s">
        <v>74</v>
      </c>
      <c r="P378" t="s">
        <v>74</v>
      </c>
      <c r="Q378" t="s">
        <v>74</v>
      </c>
      <c r="R378" t="s">
        <v>74</v>
      </c>
      <c r="S378" t="s">
        <v>74</v>
      </c>
      <c r="T378" t="s">
        <v>74</v>
      </c>
      <c r="U378" t="s">
        <v>6715</v>
      </c>
      <c r="V378" t="s">
        <v>6716</v>
      </c>
      <c r="W378" t="s">
        <v>6717</v>
      </c>
      <c r="X378" t="s">
        <v>6718</v>
      </c>
      <c r="Y378" t="s">
        <v>6719</v>
      </c>
      <c r="Z378" t="s">
        <v>6720</v>
      </c>
      <c r="AA378" t="s">
        <v>6721</v>
      </c>
      <c r="AB378" t="s">
        <v>6722</v>
      </c>
      <c r="AC378" t="s">
        <v>6723</v>
      </c>
      <c r="AD378" t="s">
        <v>6724</v>
      </c>
      <c r="AE378" t="s">
        <v>6725</v>
      </c>
      <c r="AF378" t="s">
        <v>74</v>
      </c>
      <c r="AG378">
        <v>127</v>
      </c>
      <c r="AH378">
        <v>23</v>
      </c>
      <c r="AI378">
        <v>23</v>
      </c>
      <c r="AJ378">
        <v>0</v>
      </c>
      <c r="AK378">
        <v>4</v>
      </c>
      <c r="AL378" t="s">
        <v>1045</v>
      </c>
      <c r="AM378" t="s">
        <v>1046</v>
      </c>
      <c r="AN378" t="s">
        <v>1047</v>
      </c>
      <c r="AO378" t="s">
        <v>2688</v>
      </c>
      <c r="AP378" t="s">
        <v>74</v>
      </c>
      <c r="AQ378" t="s">
        <v>74</v>
      </c>
      <c r="AR378" t="s">
        <v>2678</v>
      </c>
      <c r="AS378" t="s">
        <v>2689</v>
      </c>
      <c r="AT378" t="s">
        <v>6726</v>
      </c>
      <c r="AU378">
        <v>2018</v>
      </c>
      <c r="AV378">
        <v>13</v>
      </c>
      <c r="AW378">
        <v>10</v>
      </c>
      <c r="AX378" t="s">
        <v>74</v>
      </c>
      <c r="AY378" t="s">
        <v>74</v>
      </c>
      <c r="AZ378" t="s">
        <v>74</v>
      </c>
      <c r="BA378" t="s">
        <v>74</v>
      </c>
      <c r="BB378" t="s">
        <v>74</v>
      </c>
      <c r="BC378" t="s">
        <v>74</v>
      </c>
      <c r="BD378" t="s">
        <v>6727</v>
      </c>
      <c r="BE378" t="s">
        <v>6728</v>
      </c>
      <c r="BF378" t="str">
        <f>HYPERLINK("http://dx.doi.org/10.1371/journal.pone.0202853","http://dx.doi.org/10.1371/journal.pone.0202853")</f>
        <v>http://dx.doi.org/10.1371/journal.pone.0202853</v>
      </c>
      <c r="BG378" t="s">
        <v>74</v>
      </c>
      <c r="BH378" t="s">
        <v>74</v>
      </c>
      <c r="BI378">
        <v>45</v>
      </c>
      <c r="BJ378" t="s">
        <v>282</v>
      </c>
      <c r="BK378" t="s">
        <v>147</v>
      </c>
      <c r="BL378" t="s">
        <v>284</v>
      </c>
      <c r="BM378" t="s">
        <v>6729</v>
      </c>
      <c r="BN378">
        <v>30303992</v>
      </c>
      <c r="BO378" t="s">
        <v>2694</v>
      </c>
      <c r="BP378" t="s">
        <v>74</v>
      </c>
      <c r="BQ378" t="s">
        <v>74</v>
      </c>
      <c r="BR378" t="s">
        <v>97</v>
      </c>
      <c r="BS378" t="s">
        <v>6730</v>
      </c>
      <c r="BT378" t="str">
        <f>HYPERLINK("https%3A%2F%2Fwww.webofscience.com%2Fwos%2Fwoscc%2Ffull-record%2FWOS:000446921100012","View Full Record in Web of Science")</f>
        <v>View Full Record in Web of Science</v>
      </c>
    </row>
    <row r="379" spans="1:72" x14ac:dyDescent="0.25">
      <c r="A379" t="s">
        <v>72</v>
      </c>
      <c r="B379" t="s">
        <v>6731</v>
      </c>
      <c r="C379" t="s">
        <v>74</v>
      </c>
      <c r="D379" t="s">
        <v>74</v>
      </c>
      <c r="E379" t="s">
        <v>74</v>
      </c>
      <c r="F379" t="s">
        <v>6732</v>
      </c>
      <c r="G379" t="s">
        <v>74</v>
      </c>
      <c r="H379" t="s">
        <v>74</v>
      </c>
      <c r="I379" t="s">
        <v>6733</v>
      </c>
      <c r="J379" t="s">
        <v>1739</v>
      </c>
      <c r="K379" t="s">
        <v>74</v>
      </c>
      <c r="L379" t="s">
        <v>74</v>
      </c>
      <c r="M379" t="s">
        <v>77</v>
      </c>
      <c r="N379" t="s">
        <v>78</v>
      </c>
      <c r="O379" t="s">
        <v>74</v>
      </c>
      <c r="P379" t="s">
        <v>74</v>
      </c>
      <c r="Q379" t="s">
        <v>74</v>
      </c>
      <c r="R379" t="s">
        <v>74</v>
      </c>
      <c r="S379" t="s">
        <v>74</v>
      </c>
      <c r="T379" t="s">
        <v>6734</v>
      </c>
      <c r="U379" t="s">
        <v>6735</v>
      </c>
      <c r="V379" t="s">
        <v>6736</v>
      </c>
      <c r="W379" t="s">
        <v>6737</v>
      </c>
      <c r="X379" t="s">
        <v>6738</v>
      </c>
      <c r="Y379" t="s">
        <v>6739</v>
      </c>
      <c r="Z379" t="s">
        <v>6740</v>
      </c>
      <c r="AA379" t="s">
        <v>74</v>
      </c>
      <c r="AB379" t="s">
        <v>74</v>
      </c>
      <c r="AC379" t="s">
        <v>74</v>
      </c>
      <c r="AD379" t="s">
        <v>74</v>
      </c>
      <c r="AE379" t="s">
        <v>74</v>
      </c>
      <c r="AF379" t="s">
        <v>74</v>
      </c>
      <c r="AG379">
        <v>128</v>
      </c>
      <c r="AH379">
        <v>23</v>
      </c>
      <c r="AI379">
        <v>24</v>
      </c>
      <c r="AJ379">
        <v>4</v>
      </c>
      <c r="AK379">
        <v>61</v>
      </c>
      <c r="AL379" t="s">
        <v>665</v>
      </c>
      <c r="AM379" t="s">
        <v>666</v>
      </c>
      <c r="AN379" t="s">
        <v>667</v>
      </c>
      <c r="AO379" t="s">
        <v>1749</v>
      </c>
      <c r="AP379" t="s">
        <v>1750</v>
      </c>
      <c r="AQ379" t="s">
        <v>74</v>
      </c>
      <c r="AR379" t="s">
        <v>1751</v>
      </c>
      <c r="AS379" t="s">
        <v>1752</v>
      </c>
      <c r="AT379" t="s">
        <v>74</v>
      </c>
      <c r="AU379">
        <v>2018</v>
      </c>
      <c r="AV379">
        <v>22</v>
      </c>
      <c r="AW379">
        <v>8</v>
      </c>
      <c r="AX379" t="s">
        <v>74</v>
      </c>
      <c r="AY379" t="s">
        <v>74</v>
      </c>
      <c r="AZ379" t="s">
        <v>74</v>
      </c>
      <c r="BA379" t="s">
        <v>74</v>
      </c>
      <c r="BB379">
        <v>1712</v>
      </c>
      <c r="BC379">
        <v>1735</v>
      </c>
      <c r="BD379" t="s">
        <v>74</v>
      </c>
      <c r="BE379" t="s">
        <v>6741</v>
      </c>
      <c r="BF379" t="str">
        <f>HYPERLINK("http://dx.doi.org/10.1108/JKM-07-2017-0293","http://dx.doi.org/10.1108/JKM-07-2017-0293")</f>
        <v>http://dx.doi.org/10.1108/JKM-07-2017-0293</v>
      </c>
      <c r="BG379" t="s">
        <v>74</v>
      </c>
      <c r="BH379" t="s">
        <v>74</v>
      </c>
      <c r="BI379">
        <v>24</v>
      </c>
      <c r="BJ379" t="s">
        <v>1754</v>
      </c>
      <c r="BK379" t="s">
        <v>94</v>
      </c>
      <c r="BL379" t="s">
        <v>1755</v>
      </c>
      <c r="BM379" t="s">
        <v>6742</v>
      </c>
      <c r="BN379" t="s">
        <v>74</v>
      </c>
      <c r="BO379" t="s">
        <v>74</v>
      </c>
      <c r="BP379" t="s">
        <v>74</v>
      </c>
      <c r="BQ379" t="s">
        <v>74</v>
      </c>
      <c r="BR379" t="s">
        <v>97</v>
      </c>
      <c r="BS379" t="s">
        <v>6743</v>
      </c>
      <c r="BT379" t="str">
        <f>HYPERLINK("https%3A%2F%2Fwww.webofscience.com%2Fwos%2Fwoscc%2Ffull-record%2FWOS:000447678900004","View Full Record in Web of Science")</f>
        <v>View Full Record in Web of Science</v>
      </c>
    </row>
    <row r="380" spans="1:72" x14ac:dyDescent="0.25">
      <c r="A380" t="s">
        <v>72</v>
      </c>
      <c r="B380" t="s">
        <v>6744</v>
      </c>
      <c r="C380" t="s">
        <v>74</v>
      </c>
      <c r="D380" t="s">
        <v>74</v>
      </c>
      <c r="E380" t="s">
        <v>74</v>
      </c>
      <c r="F380" t="s">
        <v>6745</v>
      </c>
      <c r="G380" t="s">
        <v>74</v>
      </c>
      <c r="H380" t="s">
        <v>74</v>
      </c>
      <c r="I380" t="s">
        <v>6746</v>
      </c>
      <c r="J380" t="s">
        <v>1290</v>
      </c>
      <c r="K380" t="s">
        <v>74</v>
      </c>
      <c r="L380" t="s">
        <v>74</v>
      </c>
      <c r="M380" t="s">
        <v>77</v>
      </c>
      <c r="N380" t="s">
        <v>78</v>
      </c>
      <c r="O380" t="s">
        <v>74</v>
      </c>
      <c r="P380" t="s">
        <v>74</v>
      </c>
      <c r="Q380" t="s">
        <v>74</v>
      </c>
      <c r="R380" t="s">
        <v>74</v>
      </c>
      <c r="S380" t="s">
        <v>74</v>
      </c>
      <c r="T380" t="s">
        <v>6747</v>
      </c>
      <c r="U380" t="s">
        <v>6748</v>
      </c>
      <c r="V380" t="s">
        <v>6749</v>
      </c>
      <c r="W380" t="s">
        <v>6750</v>
      </c>
      <c r="X380" t="s">
        <v>6751</v>
      </c>
      <c r="Y380" t="s">
        <v>6752</v>
      </c>
      <c r="Z380" t="s">
        <v>6753</v>
      </c>
      <c r="AA380" t="s">
        <v>74</v>
      </c>
      <c r="AB380" t="s">
        <v>74</v>
      </c>
      <c r="AC380" t="s">
        <v>6754</v>
      </c>
      <c r="AD380" t="s">
        <v>575</v>
      </c>
      <c r="AE380" t="s">
        <v>6755</v>
      </c>
      <c r="AF380" t="s">
        <v>74</v>
      </c>
      <c r="AG380">
        <v>83</v>
      </c>
      <c r="AH380">
        <v>22</v>
      </c>
      <c r="AI380">
        <v>22</v>
      </c>
      <c r="AJ380">
        <v>20</v>
      </c>
      <c r="AK380">
        <v>64</v>
      </c>
      <c r="AL380" t="s">
        <v>665</v>
      </c>
      <c r="AM380" t="s">
        <v>666</v>
      </c>
      <c r="AN380" t="s">
        <v>667</v>
      </c>
      <c r="AO380" t="s">
        <v>1300</v>
      </c>
      <c r="AP380" t="s">
        <v>1301</v>
      </c>
      <c r="AQ380" t="s">
        <v>74</v>
      </c>
      <c r="AR380" t="s">
        <v>1302</v>
      </c>
      <c r="AS380" t="s">
        <v>1303</v>
      </c>
      <c r="AT380" t="s">
        <v>6756</v>
      </c>
      <c r="AU380">
        <v>2021</v>
      </c>
      <c r="AV380">
        <v>33</v>
      </c>
      <c r="AW380">
        <v>10</v>
      </c>
      <c r="AX380" t="s">
        <v>74</v>
      </c>
      <c r="AY380" t="s">
        <v>74</v>
      </c>
      <c r="AZ380" t="s">
        <v>74</v>
      </c>
      <c r="BA380" t="s">
        <v>74</v>
      </c>
      <c r="BB380">
        <v>3685</v>
      </c>
      <c r="BC380">
        <v>3704</v>
      </c>
      <c r="BD380" t="s">
        <v>74</v>
      </c>
      <c r="BE380" t="s">
        <v>6757</v>
      </c>
      <c r="BF380" t="str">
        <f>HYPERLINK("http://dx.doi.org/10.1108/IJCHM-03-2021-0411","http://dx.doi.org/10.1108/IJCHM-03-2021-0411")</f>
        <v>http://dx.doi.org/10.1108/IJCHM-03-2021-0411</v>
      </c>
      <c r="BG380" t="s">
        <v>74</v>
      </c>
      <c r="BH380" t="s">
        <v>6758</v>
      </c>
      <c r="BI380">
        <v>20</v>
      </c>
      <c r="BJ380" t="s">
        <v>1305</v>
      </c>
      <c r="BK380" t="s">
        <v>94</v>
      </c>
      <c r="BL380" t="s">
        <v>1306</v>
      </c>
      <c r="BM380" t="s">
        <v>6759</v>
      </c>
      <c r="BN380" t="s">
        <v>74</v>
      </c>
      <c r="BO380" t="s">
        <v>74</v>
      </c>
      <c r="BP380" t="s">
        <v>74</v>
      </c>
      <c r="BQ380" t="s">
        <v>74</v>
      </c>
      <c r="BR380" t="s">
        <v>97</v>
      </c>
      <c r="BS380" t="s">
        <v>6760</v>
      </c>
      <c r="BT380" t="str">
        <f>HYPERLINK("https%3A%2F%2Fwww.webofscience.com%2Fwos%2Fwoscc%2Ffull-record%2FWOS:000692139300001","View Full Record in Web of Science")</f>
        <v>View Full Record in Web of Science</v>
      </c>
    </row>
    <row r="381" spans="1:72" x14ac:dyDescent="0.25">
      <c r="A381" t="s">
        <v>72</v>
      </c>
      <c r="B381" t="s">
        <v>6761</v>
      </c>
      <c r="C381" t="s">
        <v>74</v>
      </c>
      <c r="D381" t="s">
        <v>74</v>
      </c>
      <c r="E381" t="s">
        <v>74</v>
      </c>
      <c r="F381" t="s">
        <v>6762</v>
      </c>
      <c r="G381" t="s">
        <v>74</v>
      </c>
      <c r="H381" t="s">
        <v>74</v>
      </c>
      <c r="I381" t="s">
        <v>6763</v>
      </c>
      <c r="J381" t="s">
        <v>1739</v>
      </c>
      <c r="K381" t="s">
        <v>74</v>
      </c>
      <c r="L381" t="s">
        <v>74</v>
      </c>
      <c r="M381" t="s">
        <v>77</v>
      </c>
      <c r="N381" t="s">
        <v>78</v>
      </c>
      <c r="O381" t="s">
        <v>74</v>
      </c>
      <c r="P381" t="s">
        <v>74</v>
      </c>
      <c r="Q381" t="s">
        <v>74</v>
      </c>
      <c r="R381" t="s">
        <v>74</v>
      </c>
      <c r="S381" t="s">
        <v>74</v>
      </c>
      <c r="T381" t="s">
        <v>6764</v>
      </c>
      <c r="U381" t="s">
        <v>74</v>
      </c>
      <c r="V381" t="s">
        <v>6765</v>
      </c>
      <c r="W381" t="s">
        <v>6766</v>
      </c>
      <c r="X381" t="s">
        <v>6767</v>
      </c>
      <c r="Y381" t="s">
        <v>6768</v>
      </c>
      <c r="Z381" t="s">
        <v>6769</v>
      </c>
      <c r="AA381" t="s">
        <v>6770</v>
      </c>
      <c r="AB381" t="s">
        <v>6771</v>
      </c>
      <c r="AC381" t="s">
        <v>6772</v>
      </c>
      <c r="AD381" t="s">
        <v>6773</v>
      </c>
      <c r="AE381" t="s">
        <v>6774</v>
      </c>
      <c r="AF381" t="s">
        <v>74</v>
      </c>
      <c r="AG381">
        <v>87</v>
      </c>
      <c r="AH381">
        <v>22</v>
      </c>
      <c r="AI381">
        <v>22</v>
      </c>
      <c r="AJ381">
        <v>21</v>
      </c>
      <c r="AK381">
        <v>116</v>
      </c>
      <c r="AL381" t="s">
        <v>665</v>
      </c>
      <c r="AM381" t="s">
        <v>666</v>
      </c>
      <c r="AN381" t="s">
        <v>667</v>
      </c>
      <c r="AO381" t="s">
        <v>1749</v>
      </c>
      <c r="AP381" t="s">
        <v>1750</v>
      </c>
      <c r="AQ381" t="s">
        <v>74</v>
      </c>
      <c r="AR381" t="s">
        <v>1751</v>
      </c>
      <c r="AS381" t="s">
        <v>1752</v>
      </c>
      <c r="AT381" t="s">
        <v>6775</v>
      </c>
      <c r="AU381">
        <v>2021</v>
      </c>
      <c r="AV381">
        <v>25</v>
      </c>
      <c r="AW381">
        <v>6</v>
      </c>
      <c r="AX381" t="s">
        <v>74</v>
      </c>
      <c r="AY381" t="s">
        <v>74</v>
      </c>
      <c r="AZ381" t="s">
        <v>74</v>
      </c>
      <c r="BA381" t="s">
        <v>74</v>
      </c>
      <c r="BB381">
        <v>1619</v>
      </c>
      <c r="BC381">
        <v>1639</v>
      </c>
      <c r="BD381" t="s">
        <v>74</v>
      </c>
      <c r="BE381" t="s">
        <v>6776</v>
      </c>
      <c r="BF381" t="str">
        <f>HYPERLINK("http://dx.doi.org/10.1108/JKM-09-2020-0683","http://dx.doi.org/10.1108/JKM-09-2020-0683")</f>
        <v>http://dx.doi.org/10.1108/JKM-09-2020-0683</v>
      </c>
      <c r="BG381" t="s">
        <v>74</v>
      </c>
      <c r="BH381" t="s">
        <v>6664</v>
      </c>
      <c r="BI381">
        <v>21</v>
      </c>
      <c r="BJ381" t="s">
        <v>1754</v>
      </c>
      <c r="BK381" t="s">
        <v>94</v>
      </c>
      <c r="BL381" t="s">
        <v>1755</v>
      </c>
      <c r="BM381" t="s">
        <v>6777</v>
      </c>
      <c r="BN381" t="s">
        <v>74</v>
      </c>
      <c r="BO381" t="s">
        <v>74</v>
      </c>
      <c r="BP381" t="s">
        <v>74</v>
      </c>
      <c r="BQ381" t="s">
        <v>74</v>
      </c>
      <c r="BR381" t="s">
        <v>97</v>
      </c>
      <c r="BS381" t="s">
        <v>6778</v>
      </c>
      <c r="BT381" t="str">
        <f>HYPERLINK("https%3A%2F%2Fwww.webofscience.com%2Fwos%2Fwoscc%2Ffull-record%2FWOS:000607689900001","View Full Record in Web of Science")</f>
        <v>View Full Record in Web of Science</v>
      </c>
    </row>
    <row r="382" spans="1:72" x14ac:dyDescent="0.25">
      <c r="A382" t="s">
        <v>72</v>
      </c>
      <c r="B382" t="s">
        <v>6779</v>
      </c>
      <c r="C382" t="s">
        <v>74</v>
      </c>
      <c r="D382" t="s">
        <v>74</v>
      </c>
      <c r="E382" t="s">
        <v>74</v>
      </c>
      <c r="F382" t="s">
        <v>6780</v>
      </c>
      <c r="G382" t="s">
        <v>74</v>
      </c>
      <c r="H382" t="s">
        <v>74</v>
      </c>
      <c r="I382" t="s">
        <v>6781</v>
      </c>
      <c r="J382" t="s">
        <v>616</v>
      </c>
      <c r="K382" t="s">
        <v>74</v>
      </c>
      <c r="L382" t="s">
        <v>74</v>
      </c>
      <c r="M382" t="s">
        <v>77</v>
      </c>
      <c r="N382" t="s">
        <v>78</v>
      </c>
      <c r="O382" t="s">
        <v>74</v>
      </c>
      <c r="P382" t="s">
        <v>74</v>
      </c>
      <c r="Q382" t="s">
        <v>74</v>
      </c>
      <c r="R382" t="s">
        <v>74</v>
      </c>
      <c r="S382" t="s">
        <v>74</v>
      </c>
      <c r="T382" t="s">
        <v>6782</v>
      </c>
      <c r="U382" t="s">
        <v>6783</v>
      </c>
      <c r="V382" t="s">
        <v>6784</v>
      </c>
      <c r="W382" t="s">
        <v>6785</v>
      </c>
      <c r="X382" t="s">
        <v>6786</v>
      </c>
      <c r="Y382" t="s">
        <v>6787</v>
      </c>
      <c r="Z382" t="s">
        <v>6788</v>
      </c>
      <c r="AA382" t="s">
        <v>74</v>
      </c>
      <c r="AB382" t="s">
        <v>6789</v>
      </c>
      <c r="AC382" t="s">
        <v>74</v>
      </c>
      <c r="AD382" t="s">
        <v>74</v>
      </c>
      <c r="AE382" t="s">
        <v>74</v>
      </c>
      <c r="AF382" t="s">
        <v>74</v>
      </c>
      <c r="AG382">
        <v>141</v>
      </c>
      <c r="AH382">
        <v>22</v>
      </c>
      <c r="AI382">
        <v>22</v>
      </c>
      <c r="AJ382">
        <v>7</v>
      </c>
      <c r="AK382">
        <v>36</v>
      </c>
      <c r="AL382" t="s">
        <v>602</v>
      </c>
      <c r="AM382" t="s">
        <v>160</v>
      </c>
      <c r="AN382" t="s">
        <v>603</v>
      </c>
      <c r="AO382" t="s">
        <v>625</v>
      </c>
      <c r="AP382" t="s">
        <v>626</v>
      </c>
      <c r="AQ382" t="s">
        <v>74</v>
      </c>
      <c r="AR382" t="s">
        <v>627</v>
      </c>
      <c r="AS382" t="s">
        <v>628</v>
      </c>
      <c r="AT382" t="s">
        <v>256</v>
      </c>
      <c r="AU382">
        <v>2020</v>
      </c>
      <c r="AV382">
        <v>91</v>
      </c>
      <c r="AW382" t="s">
        <v>74</v>
      </c>
      <c r="AX382" t="s">
        <v>74</v>
      </c>
      <c r="AY382" t="s">
        <v>74</v>
      </c>
      <c r="AZ382" t="s">
        <v>74</v>
      </c>
      <c r="BA382" t="s">
        <v>74</v>
      </c>
      <c r="BB382" t="s">
        <v>74</v>
      </c>
      <c r="BC382" t="s">
        <v>74</v>
      </c>
      <c r="BD382">
        <v>102642</v>
      </c>
      <c r="BE382" t="s">
        <v>6790</v>
      </c>
      <c r="BF382" t="str">
        <f>HYPERLINK("http://dx.doi.org/10.1016/j.ijhm.2020.102642","http://dx.doi.org/10.1016/j.ijhm.2020.102642")</f>
        <v>http://dx.doi.org/10.1016/j.ijhm.2020.102642</v>
      </c>
      <c r="BG382" t="s">
        <v>74</v>
      </c>
      <c r="BH382" t="s">
        <v>74</v>
      </c>
      <c r="BI382">
        <v>12</v>
      </c>
      <c r="BJ382" t="s">
        <v>630</v>
      </c>
      <c r="BK382" t="s">
        <v>94</v>
      </c>
      <c r="BL382" t="s">
        <v>631</v>
      </c>
      <c r="BM382" t="s">
        <v>6791</v>
      </c>
      <c r="BN382" t="s">
        <v>74</v>
      </c>
      <c r="BO382" t="s">
        <v>378</v>
      </c>
      <c r="BP382" t="s">
        <v>74</v>
      </c>
      <c r="BQ382" t="s">
        <v>74</v>
      </c>
      <c r="BR382" t="s">
        <v>97</v>
      </c>
      <c r="BS382" t="s">
        <v>6792</v>
      </c>
      <c r="BT382" t="str">
        <f>HYPERLINK("https%3A%2F%2Fwww.webofscience.com%2Fwos%2Fwoscc%2Ffull-record%2FWOS:000585744300014","View Full Record in Web of Science")</f>
        <v>View Full Record in Web of Science</v>
      </c>
    </row>
    <row r="383" spans="1:72" x14ac:dyDescent="0.25">
      <c r="A383" t="s">
        <v>72</v>
      </c>
      <c r="B383" t="s">
        <v>6793</v>
      </c>
      <c r="C383" t="s">
        <v>74</v>
      </c>
      <c r="D383" t="s">
        <v>74</v>
      </c>
      <c r="E383" t="s">
        <v>74</v>
      </c>
      <c r="F383" t="s">
        <v>6794</v>
      </c>
      <c r="G383" t="s">
        <v>74</v>
      </c>
      <c r="H383" t="s">
        <v>74</v>
      </c>
      <c r="I383" t="s">
        <v>6795</v>
      </c>
      <c r="J383" t="s">
        <v>6796</v>
      </c>
      <c r="K383" t="s">
        <v>74</v>
      </c>
      <c r="L383" t="s">
        <v>74</v>
      </c>
      <c r="M383" t="s">
        <v>77</v>
      </c>
      <c r="N383" t="s">
        <v>78</v>
      </c>
      <c r="O383" t="s">
        <v>74</v>
      </c>
      <c r="P383" t="s">
        <v>74</v>
      </c>
      <c r="Q383" t="s">
        <v>74</v>
      </c>
      <c r="R383" t="s">
        <v>74</v>
      </c>
      <c r="S383" t="s">
        <v>74</v>
      </c>
      <c r="T383" t="s">
        <v>6797</v>
      </c>
      <c r="U383" t="s">
        <v>6798</v>
      </c>
      <c r="V383" t="s">
        <v>6799</v>
      </c>
      <c r="W383" t="s">
        <v>6800</v>
      </c>
      <c r="X383" t="s">
        <v>6801</v>
      </c>
      <c r="Y383" t="s">
        <v>6802</v>
      </c>
      <c r="Z383" t="s">
        <v>6803</v>
      </c>
      <c r="AA383" t="s">
        <v>6804</v>
      </c>
      <c r="AB383" t="s">
        <v>6805</v>
      </c>
      <c r="AC383" t="s">
        <v>74</v>
      </c>
      <c r="AD383" t="s">
        <v>74</v>
      </c>
      <c r="AE383" t="s">
        <v>74</v>
      </c>
      <c r="AF383" t="s">
        <v>74</v>
      </c>
      <c r="AG383">
        <v>90</v>
      </c>
      <c r="AH383">
        <v>22</v>
      </c>
      <c r="AI383">
        <v>24</v>
      </c>
      <c r="AJ383">
        <v>9</v>
      </c>
      <c r="AK383">
        <v>38</v>
      </c>
      <c r="AL383" t="s">
        <v>766</v>
      </c>
      <c r="AM383" t="s">
        <v>1193</v>
      </c>
      <c r="AN383" t="s">
        <v>1498</v>
      </c>
      <c r="AO383" t="s">
        <v>6806</v>
      </c>
      <c r="AP383" t="s">
        <v>6807</v>
      </c>
      <c r="AQ383" t="s">
        <v>74</v>
      </c>
      <c r="AR383" t="s">
        <v>6808</v>
      </c>
      <c r="AS383" t="s">
        <v>6809</v>
      </c>
      <c r="AT383" t="s">
        <v>792</v>
      </c>
      <c r="AU383">
        <v>2020</v>
      </c>
      <c r="AV383">
        <v>13</v>
      </c>
      <c r="AW383">
        <v>2</v>
      </c>
      <c r="AX383" t="s">
        <v>74</v>
      </c>
      <c r="AY383" t="s">
        <v>74</v>
      </c>
      <c r="AZ383" t="s">
        <v>74</v>
      </c>
      <c r="BA383" t="s">
        <v>74</v>
      </c>
      <c r="BB383">
        <v>263</v>
      </c>
      <c r="BC383">
        <v>280</v>
      </c>
      <c r="BD383" t="s">
        <v>74</v>
      </c>
      <c r="BE383" t="s">
        <v>6810</v>
      </c>
      <c r="BF383" t="str">
        <f>HYPERLINK("http://dx.doi.org/10.1007/s12186-019-09235-y","http://dx.doi.org/10.1007/s12186-019-09235-y")</f>
        <v>http://dx.doi.org/10.1007/s12186-019-09235-y</v>
      </c>
      <c r="BG383" t="s">
        <v>74</v>
      </c>
      <c r="BH383" t="s">
        <v>74</v>
      </c>
      <c r="BI383">
        <v>18</v>
      </c>
      <c r="BJ383" t="s">
        <v>815</v>
      </c>
      <c r="BK383" t="s">
        <v>94</v>
      </c>
      <c r="BL383" t="s">
        <v>815</v>
      </c>
      <c r="BM383" t="s">
        <v>6811</v>
      </c>
      <c r="BN383" t="s">
        <v>74</v>
      </c>
      <c r="BO383" t="s">
        <v>74</v>
      </c>
      <c r="BP383" t="s">
        <v>74</v>
      </c>
      <c r="BQ383" t="s">
        <v>74</v>
      </c>
      <c r="BR383" t="s">
        <v>97</v>
      </c>
      <c r="BS383" t="s">
        <v>6812</v>
      </c>
      <c r="BT383" t="str">
        <f>HYPERLINK("https%3A%2F%2Fwww.webofscience.com%2Fwos%2Fwoscc%2Ffull-record%2FWOS:000538244800005","View Full Record in Web of Science")</f>
        <v>View Full Record in Web of Science</v>
      </c>
    </row>
    <row r="384" spans="1:72" x14ac:dyDescent="0.25">
      <c r="A384" t="s">
        <v>72</v>
      </c>
      <c r="B384" t="s">
        <v>6813</v>
      </c>
      <c r="C384" t="s">
        <v>74</v>
      </c>
      <c r="D384" t="s">
        <v>74</v>
      </c>
      <c r="E384" t="s">
        <v>74</v>
      </c>
      <c r="F384" t="s">
        <v>6814</v>
      </c>
      <c r="G384" t="s">
        <v>74</v>
      </c>
      <c r="H384" t="s">
        <v>74</v>
      </c>
      <c r="I384" t="s">
        <v>6815</v>
      </c>
      <c r="J384" t="s">
        <v>6816</v>
      </c>
      <c r="K384" t="s">
        <v>74</v>
      </c>
      <c r="L384" t="s">
        <v>74</v>
      </c>
      <c r="M384" t="s">
        <v>77</v>
      </c>
      <c r="N384" t="s">
        <v>78</v>
      </c>
      <c r="O384" t="s">
        <v>74</v>
      </c>
      <c r="P384" t="s">
        <v>74</v>
      </c>
      <c r="Q384" t="s">
        <v>74</v>
      </c>
      <c r="R384" t="s">
        <v>74</v>
      </c>
      <c r="S384" t="s">
        <v>74</v>
      </c>
      <c r="T384" t="s">
        <v>6817</v>
      </c>
      <c r="U384" t="s">
        <v>6818</v>
      </c>
      <c r="V384" t="s">
        <v>6819</v>
      </c>
      <c r="W384" t="s">
        <v>6820</v>
      </c>
      <c r="X384" t="s">
        <v>6821</v>
      </c>
      <c r="Y384" t="s">
        <v>6822</v>
      </c>
      <c r="Z384" t="s">
        <v>6823</v>
      </c>
      <c r="AA384" t="s">
        <v>74</v>
      </c>
      <c r="AB384" t="s">
        <v>74</v>
      </c>
      <c r="AC384" t="s">
        <v>74</v>
      </c>
      <c r="AD384" t="s">
        <v>74</v>
      </c>
      <c r="AE384" t="s">
        <v>74</v>
      </c>
      <c r="AF384" t="s">
        <v>74</v>
      </c>
      <c r="AG384">
        <v>94</v>
      </c>
      <c r="AH384">
        <v>22</v>
      </c>
      <c r="AI384">
        <v>22</v>
      </c>
      <c r="AJ384">
        <v>1</v>
      </c>
      <c r="AK384">
        <v>31</v>
      </c>
      <c r="AL384" t="s">
        <v>350</v>
      </c>
      <c r="AM384" t="s">
        <v>351</v>
      </c>
      <c r="AN384" t="s">
        <v>352</v>
      </c>
      <c r="AO384" t="s">
        <v>6824</v>
      </c>
      <c r="AP384" t="s">
        <v>6825</v>
      </c>
      <c r="AQ384" t="s">
        <v>74</v>
      </c>
      <c r="AR384" t="s">
        <v>6826</v>
      </c>
      <c r="AS384" t="s">
        <v>6827</v>
      </c>
      <c r="AT384" t="s">
        <v>91</v>
      </c>
      <c r="AU384">
        <v>2018</v>
      </c>
      <c r="AV384">
        <v>38</v>
      </c>
      <c r="AW384">
        <v>2</v>
      </c>
      <c r="AX384" t="s">
        <v>74</v>
      </c>
      <c r="AY384" t="s">
        <v>74</v>
      </c>
      <c r="AZ384" t="s">
        <v>74</v>
      </c>
      <c r="BA384" t="s">
        <v>74</v>
      </c>
      <c r="BB384">
        <v>218</v>
      </c>
      <c r="BC384">
        <v>247</v>
      </c>
      <c r="BD384" t="s">
        <v>74</v>
      </c>
      <c r="BE384" t="s">
        <v>6828</v>
      </c>
      <c r="BF384" t="str">
        <f>HYPERLINK("http://dx.doi.org/10.1177/0734371X16660157","http://dx.doi.org/10.1177/0734371X16660157")</f>
        <v>http://dx.doi.org/10.1177/0734371X16660157</v>
      </c>
      <c r="BG384" t="s">
        <v>74</v>
      </c>
      <c r="BH384" t="s">
        <v>74</v>
      </c>
      <c r="BI384">
        <v>30</v>
      </c>
      <c r="BJ384" t="s">
        <v>1564</v>
      </c>
      <c r="BK384" t="s">
        <v>94</v>
      </c>
      <c r="BL384" t="s">
        <v>1564</v>
      </c>
      <c r="BM384" t="s">
        <v>6829</v>
      </c>
      <c r="BN384" t="s">
        <v>74</v>
      </c>
      <c r="BO384" t="s">
        <v>74</v>
      </c>
      <c r="BP384" t="s">
        <v>74</v>
      </c>
      <c r="BQ384" t="s">
        <v>74</v>
      </c>
      <c r="BR384" t="s">
        <v>97</v>
      </c>
      <c r="BS384" t="s">
        <v>6830</v>
      </c>
      <c r="BT384" t="str">
        <f>HYPERLINK("https%3A%2F%2Fwww.webofscience.com%2Fwos%2Fwoscc%2Ffull-record%2FWOS:000432118600004","View Full Record in Web of Science")</f>
        <v>View Full Record in Web of Science</v>
      </c>
    </row>
    <row r="385" spans="1:72" x14ac:dyDescent="0.25">
      <c r="A385" t="s">
        <v>72</v>
      </c>
      <c r="B385" t="s">
        <v>6831</v>
      </c>
      <c r="C385" t="s">
        <v>74</v>
      </c>
      <c r="D385" t="s">
        <v>74</v>
      </c>
      <c r="E385" t="s">
        <v>74</v>
      </c>
      <c r="F385" t="s">
        <v>6832</v>
      </c>
      <c r="G385" t="s">
        <v>74</v>
      </c>
      <c r="H385" t="s">
        <v>74</v>
      </c>
      <c r="I385" t="s">
        <v>6833</v>
      </c>
      <c r="J385" t="s">
        <v>1290</v>
      </c>
      <c r="K385" t="s">
        <v>74</v>
      </c>
      <c r="L385" t="s">
        <v>74</v>
      </c>
      <c r="M385" t="s">
        <v>77</v>
      </c>
      <c r="N385" t="s">
        <v>78</v>
      </c>
      <c r="O385" t="s">
        <v>74</v>
      </c>
      <c r="P385" t="s">
        <v>74</v>
      </c>
      <c r="Q385" t="s">
        <v>74</v>
      </c>
      <c r="R385" t="s">
        <v>74</v>
      </c>
      <c r="S385" t="s">
        <v>74</v>
      </c>
      <c r="T385" t="s">
        <v>6834</v>
      </c>
      <c r="U385" t="s">
        <v>6835</v>
      </c>
      <c r="V385" t="s">
        <v>6836</v>
      </c>
      <c r="W385" t="s">
        <v>6837</v>
      </c>
      <c r="X385" t="s">
        <v>6838</v>
      </c>
      <c r="Y385" t="s">
        <v>6839</v>
      </c>
      <c r="Z385" t="s">
        <v>74</v>
      </c>
      <c r="AA385" t="s">
        <v>74</v>
      </c>
      <c r="AB385" t="s">
        <v>6840</v>
      </c>
      <c r="AC385" t="s">
        <v>74</v>
      </c>
      <c r="AD385" t="s">
        <v>74</v>
      </c>
      <c r="AE385" t="s">
        <v>74</v>
      </c>
      <c r="AF385" t="s">
        <v>74</v>
      </c>
      <c r="AG385">
        <v>66</v>
      </c>
      <c r="AH385">
        <v>22</v>
      </c>
      <c r="AI385">
        <v>23</v>
      </c>
      <c r="AJ385">
        <v>3</v>
      </c>
      <c r="AK385">
        <v>44</v>
      </c>
      <c r="AL385" t="s">
        <v>665</v>
      </c>
      <c r="AM385" t="s">
        <v>666</v>
      </c>
      <c r="AN385" t="s">
        <v>667</v>
      </c>
      <c r="AO385" t="s">
        <v>1300</v>
      </c>
      <c r="AP385" t="s">
        <v>1301</v>
      </c>
      <c r="AQ385" t="s">
        <v>74</v>
      </c>
      <c r="AR385" t="s">
        <v>1302</v>
      </c>
      <c r="AS385" t="s">
        <v>1303</v>
      </c>
      <c r="AT385" t="s">
        <v>74</v>
      </c>
      <c r="AU385">
        <v>2018</v>
      </c>
      <c r="AV385">
        <v>30</v>
      </c>
      <c r="AW385">
        <v>1</v>
      </c>
      <c r="AX385" t="s">
        <v>74</v>
      </c>
      <c r="AY385" t="s">
        <v>74</v>
      </c>
      <c r="AZ385" t="s">
        <v>74</v>
      </c>
      <c r="BA385" t="s">
        <v>74</v>
      </c>
      <c r="BB385">
        <v>197</v>
      </c>
      <c r="BC385">
        <v>216</v>
      </c>
      <c r="BD385" t="s">
        <v>74</v>
      </c>
      <c r="BE385" t="s">
        <v>6841</v>
      </c>
      <c r="BF385" t="str">
        <f>HYPERLINK("http://dx.doi.org/10.1108/IJCHM-04-2016-0200","http://dx.doi.org/10.1108/IJCHM-04-2016-0200")</f>
        <v>http://dx.doi.org/10.1108/IJCHM-04-2016-0200</v>
      </c>
      <c r="BG385" t="s">
        <v>74</v>
      </c>
      <c r="BH385" t="s">
        <v>74</v>
      </c>
      <c r="BI385">
        <v>20</v>
      </c>
      <c r="BJ385" t="s">
        <v>1305</v>
      </c>
      <c r="BK385" t="s">
        <v>94</v>
      </c>
      <c r="BL385" t="s">
        <v>1306</v>
      </c>
      <c r="BM385" t="s">
        <v>5083</v>
      </c>
      <c r="BN385" t="s">
        <v>74</v>
      </c>
      <c r="BO385" t="s">
        <v>74</v>
      </c>
      <c r="BP385" t="s">
        <v>74</v>
      </c>
      <c r="BQ385" t="s">
        <v>74</v>
      </c>
      <c r="BR385" t="s">
        <v>97</v>
      </c>
      <c r="BS385" t="s">
        <v>6842</v>
      </c>
      <c r="BT385" t="str">
        <f>HYPERLINK("https%3A%2F%2Fwww.webofscience.com%2Fwos%2Fwoscc%2Ffull-record%2FWOS:000424495000009","View Full Record in Web of Science")</f>
        <v>View Full Record in Web of Science</v>
      </c>
    </row>
    <row r="386" spans="1:72" x14ac:dyDescent="0.25">
      <c r="A386" t="s">
        <v>72</v>
      </c>
      <c r="B386" t="s">
        <v>6843</v>
      </c>
      <c r="C386" t="s">
        <v>74</v>
      </c>
      <c r="D386" t="s">
        <v>74</v>
      </c>
      <c r="E386" t="s">
        <v>74</v>
      </c>
      <c r="F386" t="s">
        <v>6844</v>
      </c>
      <c r="G386" t="s">
        <v>74</v>
      </c>
      <c r="H386" t="s">
        <v>74</v>
      </c>
      <c r="I386" t="s">
        <v>6845</v>
      </c>
      <c r="J386" t="s">
        <v>6846</v>
      </c>
      <c r="K386" t="s">
        <v>74</v>
      </c>
      <c r="L386" t="s">
        <v>74</v>
      </c>
      <c r="M386" t="s">
        <v>77</v>
      </c>
      <c r="N386" t="s">
        <v>78</v>
      </c>
      <c r="O386" t="s">
        <v>74</v>
      </c>
      <c r="P386" t="s">
        <v>74</v>
      </c>
      <c r="Q386" t="s">
        <v>74</v>
      </c>
      <c r="R386" t="s">
        <v>74</v>
      </c>
      <c r="S386" t="s">
        <v>74</v>
      </c>
      <c r="T386" t="s">
        <v>6847</v>
      </c>
      <c r="U386" t="s">
        <v>6848</v>
      </c>
      <c r="V386" t="s">
        <v>6849</v>
      </c>
      <c r="W386" t="s">
        <v>6850</v>
      </c>
      <c r="X386" t="s">
        <v>6851</v>
      </c>
      <c r="Y386" t="s">
        <v>6852</v>
      </c>
      <c r="Z386" t="s">
        <v>6853</v>
      </c>
      <c r="AA386" t="s">
        <v>74</v>
      </c>
      <c r="AB386" t="s">
        <v>74</v>
      </c>
      <c r="AC386" t="s">
        <v>6854</v>
      </c>
      <c r="AD386" t="s">
        <v>6855</v>
      </c>
      <c r="AE386" t="s">
        <v>6856</v>
      </c>
      <c r="AF386" t="s">
        <v>74</v>
      </c>
      <c r="AG386">
        <v>35</v>
      </c>
      <c r="AH386">
        <v>22</v>
      </c>
      <c r="AI386">
        <v>23</v>
      </c>
      <c r="AJ386">
        <v>11</v>
      </c>
      <c r="AK386">
        <v>112</v>
      </c>
      <c r="AL386" t="s">
        <v>1099</v>
      </c>
      <c r="AM386" t="s">
        <v>305</v>
      </c>
      <c r="AN386" t="s">
        <v>1100</v>
      </c>
      <c r="AO386" t="s">
        <v>6857</v>
      </c>
      <c r="AP386" t="s">
        <v>6858</v>
      </c>
      <c r="AQ386" t="s">
        <v>74</v>
      </c>
      <c r="AR386" t="s">
        <v>6859</v>
      </c>
      <c r="AS386" t="s">
        <v>6860</v>
      </c>
      <c r="AT386" t="s">
        <v>74</v>
      </c>
      <c r="AU386">
        <v>2018</v>
      </c>
      <c r="AV386">
        <v>24</v>
      </c>
      <c r="AW386">
        <v>4</v>
      </c>
      <c r="AX386" t="s">
        <v>74</v>
      </c>
      <c r="AY386" t="s">
        <v>74</v>
      </c>
      <c r="AZ386" t="s">
        <v>860</v>
      </c>
      <c r="BA386" t="s">
        <v>74</v>
      </c>
      <c r="BB386">
        <v>459</v>
      </c>
      <c r="BC386">
        <v>471</v>
      </c>
      <c r="BD386" t="s">
        <v>74</v>
      </c>
      <c r="BE386" t="s">
        <v>6861</v>
      </c>
      <c r="BF386" t="str">
        <f>HYPERLINK("http://dx.doi.org/10.1080/13602381.2018.1451126","http://dx.doi.org/10.1080/13602381.2018.1451126")</f>
        <v>http://dx.doi.org/10.1080/13602381.2018.1451126</v>
      </c>
      <c r="BG386" t="s">
        <v>74</v>
      </c>
      <c r="BH386" t="s">
        <v>74</v>
      </c>
      <c r="BI386">
        <v>13</v>
      </c>
      <c r="BJ386" t="s">
        <v>93</v>
      </c>
      <c r="BK386" t="s">
        <v>94</v>
      </c>
      <c r="BL386" t="s">
        <v>95</v>
      </c>
      <c r="BM386" t="s">
        <v>6862</v>
      </c>
      <c r="BN386" t="s">
        <v>74</v>
      </c>
      <c r="BO386" t="s">
        <v>74</v>
      </c>
      <c r="BP386" t="s">
        <v>74</v>
      </c>
      <c r="BQ386" t="s">
        <v>74</v>
      </c>
      <c r="BR386" t="s">
        <v>97</v>
      </c>
      <c r="BS386" t="s">
        <v>6863</v>
      </c>
      <c r="BT386" t="str">
        <f>HYPERLINK("https%3A%2F%2Fwww.webofscience.com%2Fwos%2Fwoscc%2Ffull-record%2FWOS:000442409000003","View Full Record in Web of Science")</f>
        <v>View Full Record in Web of Science</v>
      </c>
    </row>
    <row r="387" spans="1:72" x14ac:dyDescent="0.25">
      <c r="A387" t="s">
        <v>72</v>
      </c>
      <c r="B387" t="s">
        <v>6864</v>
      </c>
      <c r="C387" t="s">
        <v>74</v>
      </c>
      <c r="D387" t="s">
        <v>74</v>
      </c>
      <c r="E387" t="s">
        <v>74</v>
      </c>
      <c r="F387" t="s">
        <v>6865</v>
      </c>
      <c r="G387" t="s">
        <v>74</v>
      </c>
      <c r="H387" t="s">
        <v>74</v>
      </c>
      <c r="I387" t="s">
        <v>6866</v>
      </c>
      <c r="J387" t="s">
        <v>6867</v>
      </c>
      <c r="K387" t="s">
        <v>74</v>
      </c>
      <c r="L387" t="s">
        <v>74</v>
      </c>
      <c r="M387" t="s">
        <v>77</v>
      </c>
      <c r="N387" t="s">
        <v>78</v>
      </c>
      <c r="O387" t="s">
        <v>74</v>
      </c>
      <c r="P387" t="s">
        <v>74</v>
      </c>
      <c r="Q387" t="s">
        <v>74</v>
      </c>
      <c r="R387" t="s">
        <v>74</v>
      </c>
      <c r="S387" t="s">
        <v>74</v>
      </c>
      <c r="T387" t="s">
        <v>6868</v>
      </c>
      <c r="U387" t="s">
        <v>6869</v>
      </c>
      <c r="V387" t="s">
        <v>6870</v>
      </c>
      <c r="W387" t="s">
        <v>6871</v>
      </c>
      <c r="X387" t="s">
        <v>6872</v>
      </c>
      <c r="Y387" t="s">
        <v>6873</v>
      </c>
      <c r="Z387" t="s">
        <v>6874</v>
      </c>
      <c r="AA387" t="s">
        <v>74</v>
      </c>
      <c r="AB387" t="s">
        <v>74</v>
      </c>
      <c r="AC387" t="s">
        <v>6875</v>
      </c>
      <c r="AD387" t="s">
        <v>6876</v>
      </c>
      <c r="AE387" t="s">
        <v>6877</v>
      </c>
      <c r="AF387" t="s">
        <v>74</v>
      </c>
      <c r="AG387">
        <v>139</v>
      </c>
      <c r="AH387">
        <v>22</v>
      </c>
      <c r="AI387">
        <v>22</v>
      </c>
      <c r="AJ387">
        <v>0</v>
      </c>
      <c r="AK387">
        <v>8</v>
      </c>
      <c r="AL387" t="s">
        <v>6878</v>
      </c>
      <c r="AM387" t="s">
        <v>541</v>
      </c>
      <c r="AN387" t="s">
        <v>6879</v>
      </c>
      <c r="AO387" t="s">
        <v>6880</v>
      </c>
      <c r="AP387" t="s">
        <v>74</v>
      </c>
      <c r="AQ387" t="s">
        <v>74</v>
      </c>
      <c r="AR387" t="s">
        <v>6881</v>
      </c>
      <c r="AS387" t="s">
        <v>6882</v>
      </c>
      <c r="AT387" t="s">
        <v>91</v>
      </c>
      <c r="AU387">
        <v>2017</v>
      </c>
      <c r="AV387">
        <v>107</v>
      </c>
      <c r="AW387" t="s">
        <v>74</v>
      </c>
      <c r="AX387" t="s">
        <v>74</v>
      </c>
      <c r="AY387" t="s">
        <v>74</v>
      </c>
      <c r="AZ387" t="s">
        <v>74</v>
      </c>
      <c r="BA387" t="s">
        <v>74</v>
      </c>
      <c r="BB387">
        <v>49</v>
      </c>
      <c r="BC387">
        <v>70</v>
      </c>
      <c r="BD387" t="s">
        <v>74</v>
      </c>
      <c r="BE387" t="s">
        <v>6883</v>
      </c>
      <c r="BF387" t="str">
        <f>HYPERLINK("http://dx.doi.org/10.1016/j.jhevol.2017.03.002","http://dx.doi.org/10.1016/j.jhevol.2017.03.002")</f>
        <v>http://dx.doi.org/10.1016/j.jhevol.2017.03.002</v>
      </c>
      <c r="BG387" t="s">
        <v>74</v>
      </c>
      <c r="BH387" t="s">
        <v>74</v>
      </c>
      <c r="BI387">
        <v>22</v>
      </c>
      <c r="BJ387" t="s">
        <v>6884</v>
      </c>
      <c r="BK387" t="s">
        <v>5873</v>
      </c>
      <c r="BL387" t="s">
        <v>6884</v>
      </c>
      <c r="BM387" t="s">
        <v>6885</v>
      </c>
      <c r="BN387">
        <v>28526289</v>
      </c>
      <c r="BO387" t="s">
        <v>229</v>
      </c>
      <c r="BP387" t="s">
        <v>74</v>
      </c>
      <c r="BQ387" t="s">
        <v>74</v>
      </c>
      <c r="BR387" t="s">
        <v>97</v>
      </c>
      <c r="BS387" t="s">
        <v>6886</v>
      </c>
      <c r="BT387" t="str">
        <f>HYPERLINK("https%3A%2F%2Fwww.webofscience.com%2Fwos%2Fwoscc%2Ffull-record%2FWOS:000402345700005","View Full Record in Web of Science")</f>
        <v>View Full Record in Web of Science</v>
      </c>
    </row>
    <row r="388" spans="1:72" x14ac:dyDescent="0.25">
      <c r="A388" t="s">
        <v>72</v>
      </c>
      <c r="B388" t="s">
        <v>6887</v>
      </c>
      <c r="C388" t="s">
        <v>74</v>
      </c>
      <c r="D388" t="s">
        <v>74</v>
      </c>
      <c r="E388" t="s">
        <v>74</v>
      </c>
      <c r="F388" t="s">
        <v>6888</v>
      </c>
      <c r="G388" t="s">
        <v>74</v>
      </c>
      <c r="H388" t="s">
        <v>74</v>
      </c>
      <c r="I388" t="s">
        <v>6889</v>
      </c>
      <c r="J388" t="s">
        <v>5262</v>
      </c>
      <c r="K388" t="s">
        <v>74</v>
      </c>
      <c r="L388" t="s">
        <v>74</v>
      </c>
      <c r="M388" t="s">
        <v>77</v>
      </c>
      <c r="N388" t="s">
        <v>78</v>
      </c>
      <c r="O388" t="s">
        <v>74</v>
      </c>
      <c r="P388" t="s">
        <v>74</v>
      </c>
      <c r="Q388" t="s">
        <v>74</v>
      </c>
      <c r="R388" t="s">
        <v>74</v>
      </c>
      <c r="S388" t="s">
        <v>74</v>
      </c>
      <c r="T388" t="s">
        <v>6890</v>
      </c>
      <c r="U388" t="s">
        <v>6891</v>
      </c>
      <c r="V388" t="s">
        <v>6892</v>
      </c>
      <c r="W388" t="s">
        <v>6893</v>
      </c>
      <c r="X388" t="s">
        <v>6894</v>
      </c>
      <c r="Y388" t="s">
        <v>6895</v>
      </c>
      <c r="Z388" t="s">
        <v>6896</v>
      </c>
      <c r="AA388" t="s">
        <v>74</v>
      </c>
      <c r="AB388" t="s">
        <v>6897</v>
      </c>
      <c r="AC388" t="s">
        <v>74</v>
      </c>
      <c r="AD388" t="s">
        <v>74</v>
      </c>
      <c r="AE388" t="s">
        <v>74</v>
      </c>
      <c r="AF388" t="s">
        <v>74</v>
      </c>
      <c r="AG388">
        <v>45</v>
      </c>
      <c r="AH388">
        <v>22</v>
      </c>
      <c r="AI388">
        <v>23</v>
      </c>
      <c r="AJ388">
        <v>3</v>
      </c>
      <c r="AK388">
        <v>52</v>
      </c>
      <c r="AL388" t="s">
        <v>665</v>
      </c>
      <c r="AM388" t="s">
        <v>666</v>
      </c>
      <c r="AN388" t="s">
        <v>667</v>
      </c>
      <c r="AO388" t="s">
        <v>5274</v>
      </c>
      <c r="AP388" t="s">
        <v>5275</v>
      </c>
      <c r="AQ388" t="s">
        <v>74</v>
      </c>
      <c r="AR388" t="s">
        <v>5276</v>
      </c>
      <c r="AS388" t="s">
        <v>5277</v>
      </c>
      <c r="AT388" t="s">
        <v>74</v>
      </c>
      <c r="AU388">
        <v>2016</v>
      </c>
      <c r="AV388">
        <v>29</v>
      </c>
      <c r="AW388">
        <v>6</v>
      </c>
      <c r="AX388" t="s">
        <v>74</v>
      </c>
      <c r="AY388" t="s">
        <v>74</v>
      </c>
      <c r="AZ388" t="s">
        <v>74</v>
      </c>
      <c r="BA388" t="s">
        <v>74</v>
      </c>
      <c r="BB388">
        <v>1030</v>
      </c>
      <c r="BC388">
        <v>1040</v>
      </c>
      <c r="BD388" t="s">
        <v>74</v>
      </c>
      <c r="BE388" t="s">
        <v>6898</v>
      </c>
      <c r="BF388" t="str">
        <f>HYPERLINK("http://dx.doi.org/10.1108/JOCM-11-2015-0213","http://dx.doi.org/10.1108/JOCM-11-2015-0213")</f>
        <v>http://dx.doi.org/10.1108/JOCM-11-2015-0213</v>
      </c>
      <c r="BG388" t="s">
        <v>74</v>
      </c>
      <c r="BH388" t="s">
        <v>74</v>
      </c>
      <c r="BI388">
        <v>11</v>
      </c>
      <c r="BJ388" t="s">
        <v>442</v>
      </c>
      <c r="BK388" t="s">
        <v>94</v>
      </c>
      <c r="BL388" t="s">
        <v>95</v>
      </c>
      <c r="BM388" t="s">
        <v>5279</v>
      </c>
      <c r="BN388" t="s">
        <v>74</v>
      </c>
      <c r="BO388" t="s">
        <v>74</v>
      </c>
      <c r="BP388" t="s">
        <v>74</v>
      </c>
      <c r="BQ388" t="s">
        <v>74</v>
      </c>
      <c r="BR388" t="s">
        <v>97</v>
      </c>
      <c r="BS388" t="s">
        <v>6899</v>
      </c>
      <c r="BT388" t="str">
        <f>HYPERLINK("https%3A%2F%2Fwww.webofscience.com%2Fwos%2Fwoscc%2Ffull-record%2FWOS:000387207700011","View Full Record in Web of Science")</f>
        <v>View Full Record in Web of Science</v>
      </c>
    </row>
    <row r="389" spans="1:72" x14ac:dyDescent="0.25">
      <c r="A389" t="s">
        <v>72</v>
      </c>
      <c r="B389" t="s">
        <v>6900</v>
      </c>
      <c r="C389" t="s">
        <v>74</v>
      </c>
      <c r="D389" t="s">
        <v>74</v>
      </c>
      <c r="E389" t="s">
        <v>74</v>
      </c>
      <c r="F389" t="s">
        <v>6901</v>
      </c>
      <c r="G389" t="s">
        <v>74</v>
      </c>
      <c r="H389" t="s">
        <v>74</v>
      </c>
      <c r="I389" t="s">
        <v>6902</v>
      </c>
      <c r="J389" t="s">
        <v>6903</v>
      </c>
      <c r="K389" t="s">
        <v>74</v>
      </c>
      <c r="L389" t="s">
        <v>74</v>
      </c>
      <c r="M389" t="s">
        <v>77</v>
      </c>
      <c r="N389" t="s">
        <v>78</v>
      </c>
      <c r="O389" t="s">
        <v>74</v>
      </c>
      <c r="P389" t="s">
        <v>74</v>
      </c>
      <c r="Q389" t="s">
        <v>74</v>
      </c>
      <c r="R389" t="s">
        <v>74</v>
      </c>
      <c r="S389" t="s">
        <v>74</v>
      </c>
      <c r="T389" t="s">
        <v>6904</v>
      </c>
      <c r="U389" t="s">
        <v>6905</v>
      </c>
      <c r="V389" t="s">
        <v>6906</v>
      </c>
      <c r="W389" t="s">
        <v>6907</v>
      </c>
      <c r="X389" t="s">
        <v>6908</v>
      </c>
      <c r="Y389" t="s">
        <v>6909</v>
      </c>
      <c r="Z389" t="s">
        <v>74</v>
      </c>
      <c r="AA389" t="s">
        <v>74</v>
      </c>
      <c r="AB389" t="s">
        <v>6910</v>
      </c>
      <c r="AC389" t="s">
        <v>74</v>
      </c>
      <c r="AD389" t="s">
        <v>74</v>
      </c>
      <c r="AE389" t="s">
        <v>74</v>
      </c>
      <c r="AF389" t="s">
        <v>74</v>
      </c>
      <c r="AG389">
        <v>40</v>
      </c>
      <c r="AH389">
        <v>22</v>
      </c>
      <c r="AI389">
        <v>23</v>
      </c>
      <c r="AJ389">
        <v>2</v>
      </c>
      <c r="AK389">
        <v>27</v>
      </c>
      <c r="AL389" t="s">
        <v>665</v>
      </c>
      <c r="AM389" t="s">
        <v>666</v>
      </c>
      <c r="AN389" t="s">
        <v>667</v>
      </c>
      <c r="AO389" t="s">
        <v>6911</v>
      </c>
      <c r="AP389" t="s">
        <v>6912</v>
      </c>
      <c r="AQ389" t="s">
        <v>74</v>
      </c>
      <c r="AR389" t="s">
        <v>6913</v>
      </c>
      <c r="AS389" t="s">
        <v>6914</v>
      </c>
      <c r="AT389" t="s">
        <v>74</v>
      </c>
      <c r="AU389">
        <v>2016</v>
      </c>
      <c r="AV389">
        <v>30</v>
      </c>
      <c r="AW389">
        <v>6</v>
      </c>
      <c r="AX389" t="s">
        <v>74</v>
      </c>
      <c r="AY389" t="s">
        <v>74</v>
      </c>
      <c r="AZ389" t="s">
        <v>74</v>
      </c>
      <c r="BA389" t="s">
        <v>74</v>
      </c>
      <c r="BB389">
        <v>908</v>
      </c>
      <c r="BC389">
        <v>926</v>
      </c>
      <c r="BD389" t="s">
        <v>74</v>
      </c>
      <c r="BE389" t="s">
        <v>6915</v>
      </c>
      <c r="BF389" t="str">
        <f>HYPERLINK("http://dx.doi.org/10.1108/JHOM-05-2015-0068","http://dx.doi.org/10.1108/JHOM-05-2015-0068")</f>
        <v>http://dx.doi.org/10.1108/JHOM-05-2015-0068</v>
      </c>
      <c r="BG389" t="s">
        <v>74</v>
      </c>
      <c r="BH389" t="s">
        <v>74</v>
      </c>
      <c r="BI389">
        <v>19</v>
      </c>
      <c r="BJ389" t="s">
        <v>6916</v>
      </c>
      <c r="BK389" t="s">
        <v>94</v>
      </c>
      <c r="BL389" t="s">
        <v>4027</v>
      </c>
      <c r="BM389" t="s">
        <v>6917</v>
      </c>
      <c r="BN389">
        <v>27681024</v>
      </c>
      <c r="BO389" t="s">
        <v>378</v>
      </c>
      <c r="BP389" t="s">
        <v>74</v>
      </c>
      <c r="BQ389" t="s">
        <v>74</v>
      </c>
      <c r="BR389" t="s">
        <v>97</v>
      </c>
      <c r="BS389" t="s">
        <v>6918</v>
      </c>
      <c r="BT389" t="str">
        <f>HYPERLINK("https%3A%2F%2Fwww.webofscience.com%2Fwos%2Fwoscc%2Ffull-record%2FWOS:000387175600007","View Full Record in Web of Science")</f>
        <v>View Full Record in Web of Science</v>
      </c>
    </row>
    <row r="390" spans="1:72" x14ac:dyDescent="0.25">
      <c r="A390" t="s">
        <v>72</v>
      </c>
      <c r="B390" t="s">
        <v>6919</v>
      </c>
      <c r="C390" t="s">
        <v>74</v>
      </c>
      <c r="D390" t="s">
        <v>74</v>
      </c>
      <c r="E390" t="s">
        <v>74</v>
      </c>
      <c r="F390" t="s">
        <v>6920</v>
      </c>
      <c r="G390" t="s">
        <v>74</v>
      </c>
      <c r="H390" t="s">
        <v>74</v>
      </c>
      <c r="I390" t="s">
        <v>6921</v>
      </c>
      <c r="J390" t="s">
        <v>1373</v>
      </c>
      <c r="K390" t="s">
        <v>74</v>
      </c>
      <c r="L390" t="s">
        <v>74</v>
      </c>
      <c r="M390" t="s">
        <v>77</v>
      </c>
      <c r="N390" t="s">
        <v>78</v>
      </c>
      <c r="O390" t="s">
        <v>74</v>
      </c>
      <c r="P390" t="s">
        <v>74</v>
      </c>
      <c r="Q390" t="s">
        <v>74</v>
      </c>
      <c r="R390" t="s">
        <v>74</v>
      </c>
      <c r="S390" t="s">
        <v>74</v>
      </c>
      <c r="T390" t="s">
        <v>6922</v>
      </c>
      <c r="U390" t="s">
        <v>6923</v>
      </c>
      <c r="V390" t="s">
        <v>6924</v>
      </c>
      <c r="W390" t="s">
        <v>6925</v>
      </c>
      <c r="X390" t="s">
        <v>6926</v>
      </c>
      <c r="Y390" t="s">
        <v>6927</v>
      </c>
      <c r="Z390" t="s">
        <v>6928</v>
      </c>
      <c r="AA390" t="s">
        <v>74</v>
      </c>
      <c r="AB390" t="s">
        <v>6929</v>
      </c>
      <c r="AC390" t="s">
        <v>74</v>
      </c>
      <c r="AD390" t="s">
        <v>74</v>
      </c>
      <c r="AE390" t="s">
        <v>74</v>
      </c>
      <c r="AF390" t="s">
        <v>74</v>
      </c>
      <c r="AG390">
        <v>74</v>
      </c>
      <c r="AH390">
        <v>22</v>
      </c>
      <c r="AI390">
        <v>22</v>
      </c>
      <c r="AJ390">
        <v>8</v>
      </c>
      <c r="AK390">
        <v>129</v>
      </c>
      <c r="AL390" t="s">
        <v>350</v>
      </c>
      <c r="AM390" t="s">
        <v>351</v>
      </c>
      <c r="AN390" t="s">
        <v>352</v>
      </c>
      <c r="AO390" t="s">
        <v>1382</v>
      </c>
      <c r="AP390" t="s">
        <v>1383</v>
      </c>
      <c r="AQ390" t="s">
        <v>74</v>
      </c>
      <c r="AR390" t="s">
        <v>1384</v>
      </c>
      <c r="AS390" t="s">
        <v>1385</v>
      </c>
      <c r="AT390" t="s">
        <v>405</v>
      </c>
      <c r="AU390">
        <v>2015</v>
      </c>
      <c r="AV390">
        <v>40</v>
      </c>
      <c r="AW390">
        <v>1</v>
      </c>
      <c r="AX390" t="s">
        <v>74</v>
      </c>
      <c r="AY390" t="s">
        <v>74</v>
      </c>
      <c r="AZ390" t="s">
        <v>74</v>
      </c>
      <c r="BA390" t="s">
        <v>74</v>
      </c>
      <c r="BB390">
        <v>88</v>
      </c>
      <c r="BC390">
        <v>115</v>
      </c>
      <c r="BD390" t="s">
        <v>74</v>
      </c>
      <c r="BE390" t="s">
        <v>6930</v>
      </c>
      <c r="BF390" t="str">
        <f>HYPERLINK("http://dx.doi.org/10.1177/1059601114564012","http://dx.doi.org/10.1177/1059601114564012")</f>
        <v>http://dx.doi.org/10.1177/1059601114564012</v>
      </c>
      <c r="BG390" t="s">
        <v>74</v>
      </c>
      <c r="BH390" t="s">
        <v>74</v>
      </c>
      <c r="BI390">
        <v>28</v>
      </c>
      <c r="BJ390" t="s">
        <v>202</v>
      </c>
      <c r="BK390" t="s">
        <v>94</v>
      </c>
      <c r="BL390" t="s">
        <v>203</v>
      </c>
      <c r="BM390" t="s">
        <v>6931</v>
      </c>
      <c r="BN390" t="s">
        <v>74</v>
      </c>
      <c r="BO390" t="s">
        <v>378</v>
      </c>
      <c r="BP390" t="s">
        <v>74</v>
      </c>
      <c r="BQ390" t="s">
        <v>74</v>
      </c>
      <c r="BR390" t="s">
        <v>97</v>
      </c>
      <c r="BS390" t="s">
        <v>6932</v>
      </c>
      <c r="BT390" t="str">
        <f>HYPERLINK("https%3A%2F%2Fwww.webofscience.com%2Fwos%2Fwoscc%2Ffull-record%2FWOS:000348857100005","View Full Record in Web of Science")</f>
        <v>View Full Record in Web of Science</v>
      </c>
    </row>
    <row r="391" spans="1:72" x14ac:dyDescent="0.25">
      <c r="A391" t="s">
        <v>72</v>
      </c>
      <c r="B391" t="s">
        <v>6933</v>
      </c>
      <c r="C391" t="s">
        <v>74</v>
      </c>
      <c r="D391" t="s">
        <v>74</v>
      </c>
      <c r="E391" t="s">
        <v>74</v>
      </c>
      <c r="F391" t="s">
        <v>6934</v>
      </c>
      <c r="G391" t="s">
        <v>74</v>
      </c>
      <c r="H391" t="s">
        <v>74</v>
      </c>
      <c r="I391" t="s">
        <v>6935</v>
      </c>
      <c r="J391" t="s">
        <v>424</v>
      </c>
      <c r="K391" t="s">
        <v>74</v>
      </c>
      <c r="L391" t="s">
        <v>74</v>
      </c>
      <c r="M391" t="s">
        <v>77</v>
      </c>
      <c r="N391" t="s">
        <v>78</v>
      </c>
      <c r="O391" t="s">
        <v>74</v>
      </c>
      <c r="P391" t="s">
        <v>74</v>
      </c>
      <c r="Q391" t="s">
        <v>74</v>
      </c>
      <c r="R391" t="s">
        <v>74</v>
      </c>
      <c r="S391" t="s">
        <v>74</v>
      </c>
      <c r="T391" t="s">
        <v>6936</v>
      </c>
      <c r="U391" t="s">
        <v>6937</v>
      </c>
      <c r="V391" t="s">
        <v>6938</v>
      </c>
      <c r="W391" t="s">
        <v>6939</v>
      </c>
      <c r="X391" t="s">
        <v>6940</v>
      </c>
      <c r="Y391" t="s">
        <v>6941</v>
      </c>
      <c r="Z391" t="s">
        <v>6942</v>
      </c>
      <c r="AA391" t="s">
        <v>6943</v>
      </c>
      <c r="AB391" t="s">
        <v>6944</v>
      </c>
      <c r="AC391" t="s">
        <v>74</v>
      </c>
      <c r="AD391" t="s">
        <v>74</v>
      </c>
      <c r="AE391" t="s">
        <v>74</v>
      </c>
      <c r="AF391" t="s">
        <v>74</v>
      </c>
      <c r="AG391">
        <v>97</v>
      </c>
      <c r="AH391">
        <v>22</v>
      </c>
      <c r="AI391">
        <v>23</v>
      </c>
      <c r="AJ391">
        <v>2</v>
      </c>
      <c r="AK391">
        <v>64</v>
      </c>
      <c r="AL391" t="s">
        <v>511</v>
      </c>
      <c r="AM391" t="s">
        <v>435</v>
      </c>
      <c r="AN391" t="s">
        <v>512</v>
      </c>
      <c r="AO391" t="s">
        <v>437</v>
      </c>
      <c r="AP391" t="s">
        <v>438</v>
      </c>
      <c r="AQ391" t="s">
        <v>74</v>
      </c>
      <c r="AR391" t="s">
        <v>439</v>
      </c>
      <c r="AS391" t="s">
        <v>440</v>
      </c>
      <c r="AT391" t="s">
        <v>91</v>
      </c>
      <c r="AU391">
        <v>2012</v>
      </c>
      <c r="AV391">
        <v>41</v>
      </c>
      <c r="AW391">
        <v>5</v>
      </c>
      <c r="AX391" t="s">
        <v>74</v>
      </c>
      <c r="AY391" t="s">
        <v>74</v>
      </c>
      <c r="AZ391" t="s">
        <v>74</v>
      </c>
      <c r="BA391" t="s">
        <v>74</v>
      </c>
      <c r="BB391">
        <v>833</v>
      </c>
      <c r="BC391">
        <v>847</v>
      </c>
      <c r="BD391" t="s">
        <v>74</v>
      </c>
      <c r="BE391" t="s">
        <v>6945</v>
      </c>
      <c r="BF391" t="str">
        <f>HYPERLINK("http://dx.doi.org/10.1016/j.respol.2012.02.005","http://dx.doi.org/10.1016/j.respol.2012.02.005")</f>
        <v>http://dx.doi.org/10.1016/j.respol.2012.02.005</v>
      </c>
      <c r="BG391" t="s">
        <v>74</v>
      </c>
      <c r="BH391" t="s">
        <v>74</v>
      </c>
      <c r="BI391">
        <v>15</v>
      </c>
      <c r="BJ391" t="s">
        <v>442</v>
      </c>
      <c r="BK391" t="s">
        <v>94</v>
      </c>
      <c r="BL391" t="s">
        <v>95</v>
      </c>
      <c r="BM391" t="s">
        <v>6946</v>
      </c>
      <c r="BN391" t="s">
        <v>74</v>
      </c>
      <c r="BO391" t="s">
        <v>718</v>
      </c>
      <c r="BP391" t="s">
        <v>74</v>
      </c>
      <c r="BQ391" t="s">
        <v>74</v>
      </c>
      <c r="BR391" t="s">
        <v>97</v>
      </c>
      <c r="BS391" t="s">
        <v>6947</v>
      </c>
      <c r="BT391" t="str">
        <f>HYPERLINK("https%3A%2F%2Fwww.webofscience.com%2Fwos%2Fwoscc%2Ffull-record%2FWOS:000303645200004","View Full Record in Web of Science")</f>
        <v>View Full Record in Web of Science</v>
      </c>
    </row>
    <row r="392" spans="1:72" x14ac:dyDescent="0.25">
      <c r="A392" t="s">
        <v>72</v>
      </c>
      <c r="B392" t="s">
        <v>6948</v>
      </c>
      <c r="C392" t="s">
        <v>74</v>
      </c>
      <c r="D392" t="s">
        <v>74</v>
      </c>
      <c r="E392" t="s">
        <v>74</v>
      </c>
      <c r="F392" t="s">
        <v>6949</v>
      </c>
      <c r="G392" t="s">
        <v>74</v>
      </c>
      <c r="H392" t="s">
        <v>74</v>
      </c>
      <c r="I392" t="s">
        <v>6950</v>
      </c>
      <c r="J392" t="s">
        <v>2771</v>
      </c>
      <c r="K392" t="s">
        <v>74</v>
      </c>
      <c r="L392" t="s">
        <v>74</v>
      </c>
      <c r="M392" t="s">
        <v>77</v>
      </c>
      <c r="N392" t="s">
        <v>78</v>
      </c>
      <c r="O392" t="s">
        <v>74</v>
      </c>
      <c r="P392" t="s">
        <v>74</v>
      </c>
      <c r="Q392" t="s">
        <v>74</v>
      </c>
      <c r="R392" t="s">
        <v>74</v>
      </c>
      <c r="S392" t="s">
        <v>74</v>
      </c>
      <c r="T392" t="s">
        <v>6951</v>
      </c>
      <c r="U392" t="s">
        <v>6952</v>
      </c>
      <c r="V392" t="s">
        <v>6953</v>
      </c>
      <c r="W392" t="s">
        <v>6954</v>
      </c>
      <c r="X392" t="s">
        <v>2776</v>
      </c>
      <c r="Y392" t="s">
        <v>6955</v>
      </c>
      <c r="Z392" t="s">
        <v>6956</v>
      </c>
      <c r="AA392" t="s">
        <v>6957</v>
      </c>
      <c r="AB392" t="s">
        <v>6958</v>
      </c>
      <c r="AC392" t="s">
        <v>74</v>
      </c>
      <c r="AD392" t="s">
        <v>74</v>
      </c>
      <c r="AE392" t="s">
        <v>74</v>
      </c>
      <c r="AF392" t="s">
        <v>74</v>
      </c>
      <c r="AG392">
        <v>54</v>
      </c>
      <c r="AH392">
        <v>22</v>
      </c>
      <c r="AI392">
        <v>22</v>
      </c>
      <c r="AJ392">
        <v>4</v>
      </c>
      <c r="AK392">
        <v>15</v>
      </c>
      <c r="AL392" t="s">
        <v>2032</v>
      </c>
      <c r="AM392" t="s">
        <v>666</v>
      </c>
      <c r="AN392" t="s">
        <v>667</v>
      </c>
      <c r="AO392" t="s">
        <v>2781</v>
      </c>
      <c r="AP392" t="s">
        <v>74</v>
      </c>
      <c r="AQ392" t="s">
        <v>74</v>
      </c>
      <c r="AR392" t="s">
        <v>2771</v>
      </c>
      <c r="AS392" t="s">
        <v>2783</v>
      </c>
      <c r="AT392" t="s">
        <v>74</v>
      </c>
      <c r="AU392">
        <v>2009</v>
      </c>
      <c r="AV392">
        <v>38</v>
      </c>
      <c r="AW392" t="s">
        <v>6959</v>
      </c>
      <c r="AX392" t="s">
        <v>74</v>
      </c>
      <c r="AY392" t="s">
        <v>74</v>
      </c>
      <c r="AZ392" t="s">
        <v>74</v>
      </c>
      <c r="BA392" t="s">
        <v>74</v>
      </c>
      <c r="BB392">
        <v>1377</v>
      </c>
      <c r="BC392">
        <v>1398</v>
      </c>
      <c r="BD392" t="s">
        <v>74</v>
      </c>
      <c r="BE392" t="s">
        <v>6960</v>
      </c>
      <c r="BF392" t="str">
        <f>HYPERLINK("http://dx.doi.org/10.1108/03684920910977032","http://dx.doi.org/10.1108/03684920910977032")</f>
        <v>http://dx.doi.org/10.1108/03684920910977032</v>
      </c>
      <c r="BG392" t="s">
        <v>74</v>
      </c>
      <c r="BH392" t="s">
        <v>74</v>
      </c>
      <c r="BI392">
        <v>22</v>
      </c>
      <c r="BJ392" t="s">
        <v>2785</v>
      </c>
      <c r="BK392" t="s">
        <v>147</v>
      </c>
      <c r="BL392" t="s">
        <v>2786</v>
      </c>
      <c r="BM392" t="s">
        <v>6961</v>
      </c>
      <c r="BN392" t="s">
        <v>74</v>
      </c>
      <c r="BO392" t="s">
        <v>74</v>
      </c>
      <c r="BP392" t="s">
        <v>74</v>
      </c>
      <c r="BQ392" t="s">
        <v>74</v>
      </c>
      <c r="BR392" t="s">
        <v>97</v>
      </c>
      <c r="BS392" t="s">
        <v>6962</v>
      </c>
      <c r="BT392" t="str">
        <f>HYPERLINK("https%3A%2F%2Fwww.webofscience.com%2Fwos%2Fwoscc%2Ffull-record%2FWOS:000270378700023","View Full Record in Web of Science")</f>
        <v>View Full Record in Web of Science</v>
      </c>
    </row>
    <row r="393" spans="1:72" x14ac:dyDescent="0.25">
      <c r="A393" t="s">
        <v>72</v>
      </c>
      <c r="B393" t="s">
        <v>6963</v>
      </c>
      <c r="C393" t="s">
        <v>74</v>
      </c>
      <c r="D393" t="s">
        <v>74</v>
      </c>
      <c r="E393" t="s">
        <v>74</v>
      </c>
      <c r="F393" t="s">
        <v>6963</v>
      </c>
      <c r="G393" t="s">
        <v>74</v>
      </c>
      <c r="H393" t="s">
        <v>74</v>
      </c>
      <c r="I393" t="s">
        <v>6964</v>
      </c>
      <c r="J393" t="s">
        <v>2550</v>
      </c>
      <c r="K393" t="s">
        <v>74</v>
      </c>
      <c r="L393" t="s">
        <v>74</v>
      </c>
      <c r="M393" t="s">
        <v>77</v>
      </c>
      <c r="N393" t="s">
        <v>78</v>
      </c>
      <c r="O393" t="s">
        <v>74</v>
      </c>
      <c r="P393" t="s">
        <v>74</v>
      </c>
      <c r="Q393" t="s">
        <v>74</v>
      </c>
      <c r="R393" t="s">
        <v>74</v>
      </c>
      <c r="S393" t="s">
        <v>74</v>
      </c>
      <c r="T393" t="s">
        <v>6965</v>
      </c>
      <c r="U393" t="s">
        <v>6966</v>
      </c>
      <c r="V393" t="s">
        <v>6967</v>
      </c>
      <c r="W393" t="s">
        <v>6968</v>
      </c>
      <c r="X393" t="s">
        <v>6969</v>
      </c>
      <c r="Y393" t="s">
        <v>6970</v>
      </c>
      <c r="Z393" t="s">
        <v>74</v>
      </c>
      <c r="AA393" t="s">
        <v>74</v>
      </c>
      <c r="AB393" t="s">
        <v>74</v>
      </c>
      <c r="AC393" t="s">
        <v>74</v>
      </c>
      <c r="AD393" t="s">
        <v>74</v>
      </c>
      <c r="AE393" t="s">
        <v>74</v>
      </c>
      <c r="AF393" t="s">
        <v>74</v>
      </c>
      <c r="AG393">
        <v>44</v>
      </c>
      <c r="AH393">
        <v>22</v>
      </c>
      <c r="AI393">
        <v>22</v>
      </c>
      <c r="AJ393">
        <v>1</v>
      </c>
      <c r="AK393">
        <v>29</v>
      </c>
      <c r="AL393" t="s">
        <v>2557</v>
      </c>
      <c r="AM393" t="s">
        <v>330</v>
      </c>
      <c r="AN393" t="s">
        <v>6971</v>
      </c>
      <c r="AO393" t="s">
        <v>2559</v>
      </c>
      <c r="AP393" t="s">
        <v>74</v>
      </c>
      <c r="AQ393" t="s">
        <v>74</v>
      </c>
      <c r="AR393" t="s">
        <v>2560</v>
      </c>
      <c r="AS393" t="s">
        <v>2561</v>
      </c>
      <c r="AT393" t="s">
        <v>584</v>
      </c>
      <c r="AU393">
        <v>1997</v>
      </c>
      <c r="AV393">
        <v>44</v>
      </c>
      <c r="AW393">
        <v>4</v>
      </c>
      <c r="AX393" t="s">
        <v>74</v>
      </c>
      <c r="AY393" t="s">
        <v>74</v>
      </c>
      <c r="AZ393" t="s">
        <v>74</v>
      </c>
      <c r="BA393" t="s">
        <v>74</v>
      </c>
      <c r="BB393">
        <v>367</v>
      </c>
      <c r="BC393">
        <v>377</v>
      </c>
      <c r="BD393" t="s">
        <v>74</v>
      </c>
      <c r="BE393" t="s">
        <v>6972</v>
      </c>
      <c r="BF393" t="str">
        <f>HYPERLINK("http://dx.doi.org/10.1109/17.649867","http://dx.doi.org/10.1109/17.649867")</f>
        <v>http://dx.doi.org/10.1109/17.649867</v>
      </c>
      <c r="BG393" t="s">
        <v>74</v>
      </c>
      <c r="BH393" t="s">
        <v>74</v>
      </c>
      <c r="BI393">
        <v>11</v>
      </c>
      <c r="BJ393" t="s">
        <v>794</v>
      </c>
      <c r="BK393" t="s">
        <v>147</v>
      </c>
      <c r="BL393" t="s">
        <v>795</v>
      </c>
      <c r="BM393" t="s">
        <v>6973</v>
      </c>
      <c r="BN393" t="s">
        <v>74</v>
      </c>
      <c r="BO393" t="s">
        <v>74</v>
      </c>
      <c r="BP393" t="s">
        <v>74</v>
      </c>
      <c r="BQ393" t="s">
        <v>74</v>
      </c>
      <c r="BR393" t="s">
        <v>97</v>
      </c>
      <c r="BS393" t="s">
        <v>6974</v>
      </c>
      <c r="BT393" t="str">
        <f>HYPERLINK("https%3A%2F%2Fwww.webofscience.com%2Fwos%2Fwoscc%2Ffull-record%2FWOS:A1997YG01800005","View Full Record in Web of Science")</f>
        <v>View Full Record in Web of Science</v>
      </c>
    </row>
    <row r="394" spans="1:72" x14ac:dyDescent="0.25">
      <c r="A394" t="s">
        <v>72</v>
      </c>
      <c r="B394" t="s">
        <v>6975</v>
      </c>
      <c r="C394" t="s">
        <v>74</v>
      </c>
      <c r="D394" t="s">
        <v>74</v>
      </c>
      <c r="E394" t="s">
        <v>74</v>
      </c>
      <c r="F394" t="s">
        <v>6976</v>
      </c>
      <c r="G394" t="s">
        <v>74</v>
      </c>
      <c r="H394" t="s">
        <v>74</v>
      </c>
      <c r="I394" t="s">
        <v>6977</v>
      </c>
      <c r="J394" t="s">
        <v>6978</v>
      </c>
      <c r="K394" t="s">
        <v>74</v>
      </c>
      <c r="L394" t="s">
        <v>74</v>
      </c>
      <c r="M394" t="s">
        <v>77</v>
      </c>
      <c r="N394" t="s">
        <v>78</v>
      </c>
      <c r="O394" t="s">
        <v>74</v>
      </c>
      <c r="P394" t="s">
        <v>74</v>
      </c>
      <c r="Q394" t="s">
        <v>74</v>
      </c>
      <c r="R394" t="s">
        <v>74</v>
      </c>
      <c r="S394" t="s">
        <v>74</v>
      </c>
      <c r="T394" t="s">
        <v>6979</v>
      </c>
      <c r="U394" t="s">
        <v>6980</v>
      </c>
      <c r="V394" t="s">
        <v>6981</v>
      </c>
      <c r="W394" t="s">
        <v>6982</v>
      </c>
      <c r="X394" t="s">
        <v>6983</v>
      </c>
      <c r="Y394" t="s">
        <v>6984</v>
      </c>
      <c r="Z394" t="s">
        <v>6985</v>
      </c>
      <c r="AA394" t="s">
        <v>6986</v>
      </c>
      <c r="AB394" t="s">
        <v>6987</v>
      </c>
      <c r="AC394" t="s">
        <v>74</v>
      </c>
      <c r="AD394" t="s">
        <v>74</v>
      </c>
      <c r="AE394" t="s">
        <v>74</v>
      </c>
      <c r="AF394" t="s">
        <v>74</v>
      </c>
      <c r="AG394">
        <v>56</v>
      </c>
      <c r="AH394">
        <v>21</v>
      </c>
      <c r="AI394">
        <v>21</v>
      </c>
      <c r="AJ394">
        <v>8</v>
      </c>
      <c r="AK394">
        <v>61</v>
      </c>
      <c r="AL394" t="s">
        <v>1099</v>
      </c>
      <c r="AM394" t="s">
        <v>305</v>
      </c>
      <c r="AN394" t="s">
        <v>1100</v>
      </c>
      <c r="AO394" t="s">
        <v>6988</v>
      </c>
      <c r="AP394" t="s">
        <v>6989</v>
      </c>
      <c r="AQ394" t="s">
        <v>74</v>
      </c>
      <c r="AR394" t="s">
        <v>6990</v>
      </c>
      <c r="AS394" t="s">
        <v>6991</v>
      </c>
      <c r="AT394" t="s">
        <v>5161</v>
      </c>
      <c r="AU394">
        <v>2022</v>
      </c>
      <c r="AV394">
        <v>45</v>
      </c>
      <c r="AW394">
        <v>4</v>
      </c>
      <c r="AX394" t="s">
        <v>74</v>
      </c>
      <c r="AY394" t="s">
        <v>74</v>
      </c>
      <c r="AZ394" t="s">
        <v>74</v>
      </c>
      <c r="BA394" t="s">
        <v>74</v>
      </c>
      <c r="BB394">
        <v>751</v>
      </c>
      <c r="BC394">
        <v>772</v>
      </c>
      <c r="BD394" t="s">
        <v>74</v>
      </c>
      <c r="BE394" t="s">
        <v>6992</v>
      </c>
      <c r="BF394" t="str">
        <f>HYPERLINK("http://dx.doi.org/10.1080/15309576.2021.1918189","http://dx.doi.org/10.1080/15309576.2021.1918189")</f>
        <v>http://dx.doi.org/10.1080/15309576.2021.1918189</v>
      </c>
      <c r="BG394" t="s">
        <v>74</v>
      </c>
      <c r="BH394" t="s">
        <v>4580</v>
      </c>
      <c r="BI394">
        <v>22</v>
      </c>
      <c r="BJ394" t="s">
        <v>1564</v>
      </c>
      <c r="BK394" t="s">
        <v>94</v>
      </c>
      <c r="BL394" t="s">
        <v>1564</v>
      </c>
      <c r="BM394" t="s">
        <v>6993</v>
      </c>
      <c r="BN394" t="s">
        <v>74</v>
      </c>
      <c r="BO394" t="s">
        <v>74</v>
      </c>
      <c r="BP394" t="s">
        <v>74</v>
      </c>
      <c r="BQ394" t="s">
        <v>74</v>
      </c>
      <c r="BR394" t="s">
        <v>97</v>
      </c>
      <c r="BS394" t="s">
        <v>6994</v>
      </c>
      <c r="BT394" t="str">
        <f>HYPERLINK("https%3A%2F%2Fwww.webofscience.com%2Fwos%2Fwoscc%2Ffull-record%2FWOS:000657351700001","View Full Record in Web of Science")</f>
        <v>View Full Record in Web of Science</v>
      </c>
    </row>
    <row r="395" spans="1:72" x14ac:dyDescent="0.25">
      <c r="A395" t="s">
        <v>72</v>
      </c>
      <c r="B395" t="s">
        <v>6995</v>
      </c>
      <c r="C395" t="s">
        <v>74</v>
      </c>
      <c r="D395" t="s">
        <v>74</v>
      </c>
      <c r="E395" t="s">
        <v>74</v>
      </c>
      <c r="F395" t="s">
        <v>6996</v>
      </c>
      <c r="G395" t="s">
        <v>74</v>
      </c>
      <c r="H395" t="s">
        <v>74</v>
      </c>
      <c r="I395" t="s">
        <v>6997</v>
      </c>
      <c r="J395" t="s">
        <v>2326</v>
      </c>
      <c r="K395" t="s">
        <v>74</v>
      </c>
      <c r="L395" t="s">
        <v>74</v>
      </c>
      <c r="M395" t="s">
        <v>77</v>
      </c>
      <c r="N395" t="s">
        <v>78</v>
      </c>
      <c r="O395" t="s">
        <v>74</v>
      </c>
      <c r="P395" t="s">
        <v>74</v>
      </c>
      <c r="Q395" t="s">
        <v>74</v>
      </c>
      <c r="R395" t="s">
        <v>74</v>
      </c>
      <c r="S395" t="s">
        <v>74</v>
      </c>
      <c r="T395" t="s">
        <v>6998</v>
      </c>
      <c r="U395" t="s">
        <v>6999</v>
      </c>
      <c r="V395" t="s">
        <v>7000</v>
      </c>
      <c r="W395" t="s">
        <v>7001</v>
      </c>
      <c r="X395" t="s">
        <v>7002</v>
      </c>
      <c r="Y395" t="s">
        <v>7003</v>
      </c>
      <c r="Z395" t="s">
        <v>7004</v>
      </c>
      <c r="AA395" t="s">
        <v>7005</v>
      </c>
      <c r="AB395" t="s">
        <v>7006</v>
      </c>
      <c r="AC395" t="s">
        <v>74</v>
      </c>
      <c r="AD395" t="s">
        <v>74</v>
      </c>
      <c r="AE395" t="s">
        <v>74</v>
      </c>
      <c r="AF395" t="s">
        <v>74</v>
      </c>
      <c r="AG395">
        <v>197</v>
      </c>
      <c r="AH395">
        <v>21</v>
      </c>
      <c r="AI395">
        <v>21</v>
      </c>
      <c r="AJ395">
        <v>29</v>
      </c>
      <c r="AK395">
        <v>111</v>
      </c>
      <c r="AL395" t="s">
        <v>434</v>
      </c>
      <c r="AM395" t="s">
        <v>435</v>
      </c>
      <c r="AN395" t="s">
        <v>436</v>
      </c>
      <c r="AO395" t="s">
        <v>2330</v>
      </c>
      <c r="AP395" t="s">
        <v>4166</v>
      </c>
      <c r="AQ395" t="s">
        <v>74</v>
      </c>
      <c r="AR395" t="s">
        <v>2326</v>
      </c>
      <c r="AS395" t="s">
        <v>2331</v>
      </c>
      <c r="AT395" t="s">
        <v>892</v>
      </c>
      <c r="AU395">
        <v>2021</v>
      </c>
      <c r="AV395">
        <v>99</v>
      </c>
      <c r="AW395" t="s">
        <v>74</v>
      </c>
      <c r="AX395" t="s">
        <v>74</v>
      </c>
      <c r="AY395" t="s">
        <v>74</v>
      </c>
      <c r="AZ395" t="s">
        <v>860</v>
      </c>
      <c r="BA395" t="s">
        <v>74</v>
      </c>
      <c r="BB395" t="s">
        <v>74</v>
      </c>
      <c r="BC395" t="s">
        <v>74</v>
      </c>
      <c r="BD395">
        <v>102127</v>
      </c>
      <c r="BE395" t="s">
        <v>7007</v>
      </c>
      <c r="BF395" t="str">
        <f>HYPERLINK("http://dx.doi.org/10.1016/j.technovation.2020.102127","http://dx.doi.org/10.1016/j.technovation.2020.102127")</f>
        <v>http://dx.doi.org/10.1016/j.technovation.2020.102127</v>
      </c>
      <c r="BG395" t="s">
        <v>74</v>
      </c>
      <c r="BH395" t="s">
        <v>74</v>
      </c>
      <c r="BI395">
        <v>15</v>
      </c>
      <c r="BJ395" t="s">
        <v>2333</v>
      </c>
      <c r="BK395" t="s">
        <v>147</v>
      </c>
      <c r="BL395" t="s">
        <v>1481</v>
      </c>
      <c r="BM395" t="s">
        <v>7008</v>
      </c>
      <c r="BN395" t="s">
        <v>74</v>
      </c>
      <c r="BO395" t="s">
        <v>74</v>
      </c>
      <c r="BP395" t="s">
        <v>74</v>
      </c>
      <c r="BQ395" t="s">
        <v>74</v>
      </c>
      <c r="BR395" t="s">
        <v>97</v>
      </c>
      <c r="BS395" t="s">
        <v>7009</v>
      </c>
      <c r="BT395" t="str">
        <f>HYPERLINK("https%3A%2F%2Fwww.webofscience.com%2Fwos%2Fwoscc%2Ffull-record%2FWOS:000598079000001","View Full Record in Web of Science")</f>
        <v>View Full Record in Web of Science</v>
      </c>
    </row>
    <row r="396" spans="1:72" x14ac:dyDescent="0.25">
      <c r="A396" t="s">
        <v>72</v>
      </c>
      <c r="B396" t="s">
        <v>7010</v>
      </c>
      <c r="C396" t="s">
        <v>74</v>
      </c>
      <c r="D396" t="s">
        <v>74</v>
      </c>
      <c r="E396" t="s">
        <v>74</v>
      </c>
      <c r="F396" t="s">
        <v>7011</v>
      </c>
      <c r="G396" t="s">
        <v>74</v>
      </c>
      <c r="H396" t="s">
        <v>74</v>
      </c>
      <c r="I396" t="s">
        <v>7012</v>
      </c>
      <c r="J396" t="s">
        <v>7013</v>
      </c>
      <c r="K396" t="s">
        <v>74</v>
      </c>
      <c r="L396" t="s">
        <v>74</v>
      </c>
      <c r="M396" t="s">
        <v>77</v>
      </c>
      <c r="N396" t="s">
        <v>78</v>
      </c>
      <c r="O396" t="s">
        <v>74</v>
      </c>
      <c r="P396" t="s">
        <v>74</v>
      </c>
      <c r="Q396" t="s">
        <v>74</v>
      </c>
      <c r="R396" t="s">
        <v>74</v>
      </c>
      <c r="S396" t="s">
        <v>74</v>
      </c>
      <c r="T396" t="s">
        <v>7014</v>
      </c>
      <c r="U396" t="s">
        <v>7015</v>
      </c>
      <c r="V396" t="s">
        <v>7016</v>
      </c>
      <c r="W396" t="s">
        <v>7017</v>
      </c>
      <c r="X396" t="s">
        <v>7018</v>
      </c>
      <c r="Y396" t="s">
        <v>7019</v>
      </c>
      <c r="Z396" t="s">
        <v>7020</v>
      </c>
      <c r="AA396" t="s">
        <v>7021</v>
      </c>
      <c r="AB396" t="s">
        <v>74</v>
      </c>
      <c r="AC396" t="s">
        <v>7022</v>
      </c>
      <c r="AD396" t="s">
        <v>7023</v>
      </c>
      <c r="AE396" t="s">
        <v>7024</v>
      </c>
      <c r="AF396" t="s">
        <v>74</v>
      </c>
      <c r="AG396">
        <v>73</v>
      </c>
      <c r="AH396">
        <v>21</v>
      </c>
      <c r="AI396">
        <v>21</v>
      </c>
      <c r="AJ396">
        <v>32</v>
      </c>
      <c r="AK396">
        <v>237</v>
      </c>
      <c r="AL396" t="s">
        <v>218</v>
      </c>
      <c r="AM396" t="s">
        <v>219</v>
      </c>
      <c r="AN396" t="s">
        <v>220</v>
      </c>
      <c r="AO396" t="s">
        <v>7025</v>
      </c>
      <c r="AP396" t="s">
        <v>7026</v>
      </c>
      <c r="AQ396" t="s">
        <v>74</v>
      </c>
      <c r="AR396" t="s">
        <v>7027</v>
      </c>
      <c r="AS396" t="s">
        <v>7028</v>
      </c>
      <c r="AT396" t="s">
        <v>584</v>
      </c>
      <c r="AU396">
        <v>2020</v>
      </c>
      <c r="AV396">
        <v>41</v>
      </c>
      <c r="AW396">
        <v>11</v>
      </c>
      <c r="AX396" t="s">
        <v>74</v>
      </c>
      <c r="AY396" t="s">
        <v>74</v>
      </c>
      <c r="AZ396" t="s">
        <v>74</v>
      </c>
      <c r="BA396" t="s">
        <v>74</v>
      </c>
      <c r="BB396">
        <v>2015</v>
      </c>
      <c r="BC396">
        <v>2049</v>
      </c>
      <c r="BD396" t="s">
        <v>74</v>
      </c>
      <c r="BE396" t="s">
        <v>7029</v>
      </c>
      <c r="BF396" t="str">
        <f>HYPERLINK("http://dx.doi.org/10.1002/smj.3217","http://dx.doi.org/10.1002/smj.3217")</f>
        <v>http://dx.doi.org/10.1002/smj.3217</v>
      </c>
      <c r="BG396" t="s">
        <v>74</v>
      </c>
      <c r="BH396" t="s">
        <v>7030</v>
      </c>
      <c r="BI396">
        <v>35</v>
      </c>
      <c r="BJ396" t="s">
        <v>93</v>
      </c>
      <c r="BK396" t="s">
        <v>94</v>
      </c>
      <c r="BL396" t="s">
        <v>95</v>
      </c>
      <c r="BM396" t="s">
        <v>7031</v>
      </c>
      <c r="BN396" t="s">
        <v>74</v>
      </c>
      <c r="BO396" t="s">
        <v>74</v>
      </c>
      <c r="BP396" t="s">
        <v>74</v>
      </c>
      <c r="BQ396" t="s">
        <v>74</v>
      </c>
      <c r="BR396" t="s">
        <v>97</v>
      </c>
      <c r="BS396" t="s">
        <v>7032</v>
      </c>
      <c r="BT396" t="str">
        <f>HYPERLINK("https%3A%2F%2Fwww.webofscience.com%2Fwos%2Fwoscc%2Ffull-record%2FWOS:000559998700001","View Full Record in Web of Science")</f>
        <v>View Full Record in Web of Science</v>
      </c>
    </row>
    <row r="397" spans="1:72" x14ac:dyDescent="0.25">
      <c r="A397" t="s">
        <v>72</v>
      </c>
      <c r="B397" t="s">
        <v>7033</v>
      </c>
      <c r="C397" t="s">
        <v>74</v>
      </c>
      <c r="D397" t="s">
        <v>74</v>
      </c>
      <c r="E397" t="s">
        <v>74</v>
      </c>
      <c r="F397" t="s">
        <v>7034</v>
      </c>
      <c r="G397" t="s">
        <v>74</v>
      </c>
      <c r="H397" t="s">
        <v>74</v>
      </c>
      <c r="I397" t="s">
        <v>7035</v>
      </c>
      <c r="J397" t="s">
        <v>1290</v>
      </c>
      <c r="K397" t="s">
        <v>74</v>
      </c>
      <c r="L397" t="s">
        <v>74</v>
      </c>
      <c r="M397" t="s">
        <v>77</v>
      </c>
      <c r="N397" t="s">
        <v>78</v>
      </c>
      <c r="O397" t="s">
        <v>74</v>
      </c>
      <c r="P397" t="s">
        <v>74</v>
      </c>
      <c r="Q397" t="s">
        <v>74</v>
      </c>
      <c r="R397" t="s">
        <v>74</v>
      </c>
      <c r="S397" t="s">
        <v>74</v>
      </c>
      <c r="T397" t="s">
        <v>7036</v>
      </c>
      <c r="U397" t="s">
        <v>7037</v>
      </c>
      <c r="V397" t="s">
        <v>7038</v>
      </c>
      <c r="W397" t="s">
        <v>7039</v>
      </c>
      <c r="X397" t="s">
        <v>7040</v>
      </c>
      <c r="Y397" t="s">
        <v>7041</v>
      </c>
      <c r="Z397" t="s">
        <v>7042</v>
      </c>
      <c r="AA397" t="s">
        <v>74</v>
      </c>
      <c r="AB397" t="s">
        <v>7043</v>
      </c>
      <c r="AC397" t="s">
        <v>7044</v>
      </c>
      <c r="AD397" t="s">
        <v>575</v>
      </c>
      <c r="AE397" t="s">
        <v>7045</v>
      </c>
      <c r="AF397" t="s">
        <v>74</v>
      </c>
      <c r="AG397">
        <v>75</v>
      </c>
      <c r="AH397">
        <v>21</v>
      </c>
      <c r="AI397">
        <v>21</v>
      </c>
      <c r="AJ397">
        <v>10</v>
      </c>
      <c r="AK397">
        <v>54</v>
      </c>
      <c r="AL397" t="s">
        <v>665</v>
      </c>
      <c r="AM397" t="s">
        <v>666</v>
      </c>
      <c r="AN397" t="s">
        <v>667</v>
      </c>
      <c r="AO397" t="s">
        <v>1300</v>
      </c>
      <c r="AP397" t="s">
        <v>1301</v>
      </c>
      <c r="AQ397" t="s">
        <v>74</v>
      </c>
      <c r="AR397" t="s">
        <v>1302</v>
      </c>
      <c r="AS397" t="s">
        <v>1303</v>
      </c>
      <c r="AT397" t="s">
        <v>3779</v>
      </c>
      <c r="AU397">
        <v>2020</v>
      </c>
      <c r="AV397">
        <v>32</v>
      </c>
      <c r="AW397">
        <v>6</v>
      </c>
      <c r="AX397" t="s">
        <v>74</v>
      </c>
      <c r="AY397" t="s">
        <v>74</v>
      </c>
      <c r="AZ397" t="s">
        <v>860</v>
      </c>
      <c r="BA397" t="s">
        <v>74</v>
      </c>
      <c r="BB397">
        <v>2155</v>
      </c>
      <c r="BC397">
        <v>2173</v>
      </c>
      <c r="BD397" t="s">
        <v>74</v>
      </c>
      <c r="BE397" t="s">
        <v>7046</v>
      </c>
      <c r="BF397" t="str">
        <f>HYPERLINK("http://dx.doi.org/10.1108/IJCHM-06-2019-0591","http://dx.doi.org/10.1108/IJCHM-06-2019-0591")</f>
        <v>http://dx.doi.org/10.1108/IJCHM-06-2019-0591</v>
      </c>
      <c r="BG397" t="s">
        <v>74</v>
      </c>
      <c r="BH397" t="s">
        <v>2840</v>
      </c>
      <c r="BI397">
        <v>19</v>
      </c>
      <c r="BJ397" t="s">
        <v>1305</v>
      </c>
      <c r="BK397" t="s">
        <v>94</v>
      </c>
      <c r="BL397" t="s">
        <v>1306</v>
      </c>
      <c r="BM397" t="s">
        <v>3781</v>
      </c>
      <c r="BN397" t="s">
        <v>74</v>
      </c>
      <c r="BO397" t="s">
        <v>111</v>
      </c>
      <c r="BP397" t="s">
        <v>74</v>
      </c>
      <c r="BQ397" t="s">
        <v>74</v>
      </c>
      <c r="BR397" t="s">
        <v>97</v>
      </c>
      <c r="BS397" t="s">
        <v>7047</v>
      </c>
      <c r="BT397" t="str">
        <f>HYPERLINK("https%3A%2F%2Fwww.webofscience.com%2Fwos%2Fwoscc%2Ffull-record%2FWOS:000529157000001","View Full Record in Web of Science")</f>
        <v>View Full Record in Web of Science</v>
      </c>
    </row>
    <row r="398" spans="1:72" x14ac:dyDescent="0.25">
      <c r="A398" t="s">
        <v>72</v>
      </c>
      <c r="B398" t="s">
        <v>7048</v>
      </c>
      <c r="C398" t="s">
        <v>74</v>
      </c>
      <c r="D398" t="s">
        <v>74</v>
      </c>
      <c r="E398" t="s">
        <v>74</v>
      </c>
      <c r="F398" t="s">
        <v>7049</v>
      </c>
      <c r="G398" t="s">
        <v>74</v>
      </c>
      <c r="H398" t="s">
        <v>74</v>
      </c>
      <c r="I398" t="s">
        <v>7050</v>
      </c>
      <c r="J398" t="s">
        <v>4081</v>
      </c>
      <c r="K398" t="s">
        <v>74</v>
      </c>
      <c r="L398" t="s">
        <v>74</v>
      </c>
      <c r="M398" t="s">
        <v>77</v>
      </c>
      <c r="N398" t="s">
        <v>78</v>
      </c>
      <c r="O398" t="s">
        <v>74</v>
      </c>
      <c r="P398" t="s">
        <v>74</v>
      </c>
      <c r="Q398" t="s">
        <v>74</v>
      </c>
      <c r="R398" t="s">
        <v>74</v>
      </c>
      <c r="S398" t="s">
        <v>74</v>
      </c>
      <c r="T398" t="s">
        <v>7051</v>
      </c>
      <c r="U398" t="s">
        <v>7052</v>
      </c>
      <c r="V398" t="s">
        <v>7053</v>
      </c>
      <c r="W398" t="s">
        <v>7054</v>
      </c>
      <c r="X398" t="s">
        <v>7055</v>
      </c>
      <c r="Y398" t="s">
        <v>7056</v>
      </c>
      <c r="Z398" t="s">
        <v>7057</v>
      </c>
      <c r="AA398" t="s">
        <v>7058</v>
      </c>
      <c r="AB398" t="s">
        <v>7059</v>
      </c>
      <c r="AC398" t="s">
        <v>7060</v>
      </c>
      <c r="AD398" t="s">
        <v>7061</v>
      </c>
      <c r="AE398" t="s">
        <v>7062</v>
      </c>
      <c r="AF398" t="s">
        <v>74</v>
      </c>
      <c r="AG398">
        <v>43</v>
      </c>
      <c r="AH398">
        <v>21</v>
      </c>
      <c r="AI398">
        <v>24</v>
      </c>
      <c r="AJ398">
        <v>13</v>
      </c>
      <c r="AK398">
        <v>68</v>
      </c>
      <c r="AL398" t="s">
        <v>7063</v>
      </c>
      <c r="AM398" t="s">
        <v>541</v>
      </c>
      <c r="AN398" t="s">
        <v>7064</v>
      </c>
      <c r="AO398" t="s">
        <v>4093</v>
      </c>
      <c r="AP398" t="s">
        <v>4094</v>
      </c>
      <c r="AQ398" t="s">
        <v>74</v>
      </c>
      <c r="AR398" t="s">
        <v>4095</v>
      </c>
      <c r="AS398" t="s">
        <v>4096</v>
      </c>
      <c r="AT398" t="s">
        <v>122</v>
      </c>
      <c r="AU398">
        <v>2020</v>
      </c>
      <c r="AV398">
        <v>28</v>
      </c>
      <c r="AW398">
        <v>3</v>
      </c>
      <c r="AX398" t="s">
        <v>74</v>
      </c>
      <c r="AY398" t="s">
        <v>74</v>
      </c>
      <c r="AZ398" t="s">
        <v>74</v>
      </c>
      <c r="BA398" t="s">
        <v>74</v>
      </c>
      <c r="BB398">
        <v>471</v>
      </c>
      <c r="BC398">
        <v>479</v>
      </c>
      <c r="BD398" t="s">
        <v>74</v>
      </c>
      <c r="BE398" t="s">
        <v>7065</v>
      </c>
      <c r="BF398" t="str">
        <f>HYPERLINK("http://dx.doi.org/10.1111/jonm.12926","http://dx.doi.org/10.1111/jonm.12926")</f>
        <v>http://dx.doi.org/10.1111/jonm.12926</v>
      </c>
      <c r="BG398" t="s">
        <v>74</v>
      </c>
      <c r="BH398" t="s">
        <v>2840</v>
      </c>
      <c r="BI398">
        <v>9</v>
      </c>
      <c r="BJ398" t="s">
        <v>4098</v>
      </c>
      <c r="BK398" t="s">
        <v>147</v>
      </c>
      <c r="BL398" t="s">
        <v>4099</v>
      </c>
      <c r="BM398" t="s">
        <v>7066</v>
      </c>
      <c r="BN398">
        <v>31811781</v>
      </c>
      <c r="BO398" t="s">
        <v>2482</v>
      </c>
      <c r="BP398" t="s">
        <v>74</v>
      </c>
      <c r="BQ398" t="s">
        <v>74</v>
      </c>
      <c r="BR398" t="s">
        <v>97</v>
      </c>
      <c r="BS398" t="s">
        <v>7067</v>
      </c>
      <c r="BT398" t="str">
        <f>HYPERLINK("https%3A%2F%2Fwww.webofscience.com%2Fwos%2Fwoscc%2Ffull-record%2FWOS:000527065100001","View Full Record in Web of Science")</f>
        <v>View Full Record in Web of Science</v>
      </c>
    </row>
    <row r="399" spans="1:72" x14ac:dyDescent="0.25">
      <c r="A399" t="s">
        <v>72</v>
      </c>
      <c r="B399" t="s">
        <v>7068</v>
      </c>
      <c r="C399" t="s">
        <v>74</v>
      </c>
      <c r="D399" t="s">
        <v>74</v>
      </c>
      <c r="E399" t="s">
        <v>74</v>
      </c>
      <c r="F399" t="s">
        <v>7069</v>
      </c>
      <c r="G399" t="s">
        <v>74</v>
      </c>
      <c r="H399" t="s">
        <v>74</v>
      </c>
      <c r="I399" t="s">
        <v>7070</v>
      </c>
      <c r="J399" t="s">
        <v>7071</v>
      </c>
      <c r="K399" t="s">
        <v>74</v>
      </c>
      <c r="L399" t="s">
        <v>74</v>
      </c>
      <c r="M399" t="s">
        <v>77</v>
      </c>
      <c r="N399" t="s">
        <v>78</v>
      </c>
      <c r="O399" t="s">
        <v>74</v>
      </c>
      <c r="P399" t="s">
        <v>74</v>
      </c>
      <c r="Q399" t="s">
        <v>74</v>
      </c>
      <c r="R399" t="s">
        <v>74</v>
      </c>
      <c r="S399" t="s">
        <v>74</v>
      </c>
      <c r="T399" t="s">
        <v>7072</v>
      </c>
      <c r="U399" t="s">
        <v>7073</v>
      </c>
      <c r="V399" t="s">
        <v>7074</v>
      </c>
      <c r="W399" t="s">
        <v>7075</v>
      </c>
      <c r="X399" t="s">
        <v>7076</v>
      </c>
      <c r="Y399" t="s">
        <v>7077</v>
      </c>
      <c r="Z399" t="s">
        <v>7078</v>
      </c>
      <c r="AA399" t="s">
        <v>7079</v>
      </c>
      <c r="AB399" t="s">
        <v>7080</v>
      </c>
      <c r="AC399" t="s">
        <v>74</v>
      </c>
      <c r="AD399" t="s">
        <v>74</v>
      </c>
      <c r="AE399" t="s">
        <v>74</v>
      </c>
      <c r="AF399" t="s">
        <v>74</v>
      </c>
      <c r="AG399">
        <v>109</v>
      </c>
      <c r="AH399">
        <v>21</v>
      </c>
      <c r="AI399">
        <v>22</v>
      </c>
      <c r="AJ399">
        <v>11</v>
      </c>
      <c r="AK399">
        <v>56</v>
      </c>
      <c r="AL399" t="s">
        <v>218</v>
      </c>
      <c r="AM399" t="s">
        <v>219</v>
      </c>
      <c r="AN399" t="s">
        <v>220</v>
      </c>
      <c r="AO399" t="s">
        <v>7081</v>
      </c>
      <c r="AP399" t="s">
        <v>7082</v>
      </c>
      <c r="AQ399" t="s">
        <v>74</v>
      </c>
      <c r="AR399" t="s">
        <v>7083</v>
      </c>
      <c r="AS399" t="s">
        <v>7084</v>
      </c>
      <c r="AT399" t="s">
        <v>200</v>
      </c>
      <c r="AU399">
        <v>2019</v>
      </c>
      <c r="AV399">
        <v>29</v>
      </c>
      <c r="AW399">
        <v>2</v>
      </c>
      <c r="AX399" t="s">
        <v>74</v>
      </c>
      <c r="AY399" t="s">
        <v>74</v>
      </c>
      <c r="AZ399" t="s">
        <v>74</v>
      </c>
      <c r="BA399" t="s">
        <v>74</v>
      </c>
      <c r="BB399">
        <v>317</v>
      </c>
      <c r="BC399">
        <v>339</v>
      </c>
      <c r="BD399" t="s">
        <v>74</v>
      </c>
      <c r="BE399" t="s">
        <v>7085</v>
      </c>
      <c r="BF399" t="str">
        <f>HYPERLINK("http://dx.doi.org/10.1111/isj.12198","http://dx.doi.org/10.1111/isj.12198")</f>
        <v>http://dx.doi.org/10.1111/isj.12198</v>
      </c>
      <c r="BG399" t="s">
        <v>74</v>
      </c>
      <c r="BH399" t="s">
        <v>74</v>
      </c>
      <c r="BI399">
        <v>23</v>
      </c>
      <c r="BJ399" t="s">
        <v>7086</v>
      </c>
      <c r="BK399" t="s">
        <v>94</v>
      </c>
      <c r="BL399" t="s">
        <v>7086</v>
      </c>
      <c r="BM399" t="s">
        <v>7087</v>
      </c>
      <c r="BN399" t="s">
        <v>74</v>
      </c>
      <c r="BO399" t="s">
        <v>74</v>
      </c>
      <c r="BP399" t="s">
        <v>74</v>
      </c>
      <c r="BQ399" t="s">
        <v>74</v>
      </c>
      <c r="BR399" t="s">
        <v>97</v>
      </c>
      <c r="BS399" t="s">
        <v>7088</v>
      </c>
      <c r="BT399" t="str">
        <f>HYPERLINK("https%3A%2F%2Fwww.webofscience.com%2Fwos%2Fwoscc%2Ffull-record%2FWOS:000458276500003","View Full Record in Web of Science")</f>
        <v>View Full Record in Web of Science</v>
      </c>
    </row>
    <row r="400" spans="1:72" x14ac:dyDescent="0.25">
      <c r="A400" t="s">
        <v>72</v>
      </c>
      <c r="B400" t="s">
        <v>7089</v>
      </c>
      <c r="C400" t="s">
        <v>74</v>
      </c>
      <c r="D400" t="s">
        <v>74</v>
      </c>
      <c r="E400" t="s">
        <v>74</v>
      </c>
      <c r="F400" t="s">
        <v>7090</v>
      </c>
      <c r="G400" t="s">
        <v>74</v>
      </c>
      <c r="H400" t="s">
        <v>74</v>
      </c>
      <c r="I400" t="s">
        <v>7091</v>
      </c>
      <c r="J400" t="s">
        <v>1798</v>
      </c>
      <c r="K400" t="s">
        <v>74</v>
      </c>
      <c r="L400" t="s">
        <v>74</v>
      </c>
      <c r="M400" t="s">
        <v>77</v>
      </c>
      <c r="N400" t="s">
        <v>78</v>
      </c>
      <c r="O400" t="s">
        <v>74</v>
      </c>
      <c r="P400" t="s">
        <v>74</v>
      </c>
      <c r="Q400" t="s">
        <v>74</v>
      </c>
      <c r="R400" t="s">
        <v>74</v>
      </c>
      <c r="S400" t="s">
        <v>74</v>
      </c>
      <c r="T400" t="s">
        <v>7092</v>
      </c>
      <c r="U400" t="s">
        <v>7093</v>
      </c>
      <c r="V400" t="s">
        <v>7094</v>
      </c>
      <c r="W400" t="s">
        <v>7095</v>
      </c>
      <c r="X400" t="s">
        <v>7096</v>
      </c>
      <c r="Y400" t="s">
        <v>7097</v>
      </c>
      <c r="Z400" t="s">
        <v>2811</v>
      </c>
      <c r="AA400" t="s">
        <v>1359</v>
      </c>
      <c r="AB400" t="s">
        <v>1360</v>
      </c>
      <c r="AC400" t="s">
        <v>7098</v>
      </c>
      <c r="AD400" t="s">
        <v>7099</v>
      </c>
      <c r="AE400" t="s">
        <v>7100</v>
      </c>
      <c r="AF400" t="s">
        <v>74</v>
      </c>
      <c r="AG400">
        <v>97</v>
      </c>
      <c r="AH400">
        <v>21</v>
      </c>
      <c r="AI400">
        <v>21</v>
      </c>
      <c r="AJ400">
        <v>7</v>
      </c>
      <c r="AK400">
        <v>93</v>
      </c>
      <c r="AL400" t="s">
        <v>1806</v>
      </c>
      <c r="AM400" t="s">
        <v>1046</v>
      </c>
      <c r="AN400" t="s">
        <v>1807</v>
      </c>
      <c r="AO400" t="s">
        <v>1808</v>
      </c>
      <c r="AP400" t="s">
        <v>1809</v>
      </c>
      <c r="AQ400" t="s">
        <v>74</v>
      </c>
      <c r="AR400" t="s">
        <v>1810</v>
      </c>
      <c r="AS400" t="s">
        <v>1811</v>
      </c>
      <c r="AT400" t="s">
        <v>4815</v>
      </c>
      <c r="AU400">
        <v>2017</v>
      </c>
      <c r="AV400">
        <v>56</v>
      </c>
      <c r="AW400">
        <v>5</v>
      </c>
      <c r="AX400" t="s">
        <v>74</v>
      </c>
      <c r="AY400" t="s">
        <v>74</v>
      </c>
      <c r="AZ400" t="s">
        <v>74</v>
      </c>
      <c r="BA400" t="s">
        <v>74</v>
      </c>
      <c r="BB400">
        <v>803</v>
      </c>
      <c r="BC400">
        <v>820</v>
      </c>
      <c r="BD400" t="s">
        <v>74</v>
      </c>
      <c r="BE400" t="s">
        <v>7101</v>
      </c>
      <c r="BF400" t="str">
        <f>HYPERLINK("http://dx.doi.org/10.1002/hrm.21800","http://dx.doi.org/10.1002/hrm.21800")</f>
        <v>http://dx.doi.org/10.1002/hrm.21800</v>
      </c>
      <c r="BG400" t="s">
        <v>74</v>
      </c>
      <c r="BH400" t="s">
        <v>74</v>
      </c>
      <c r="BI400">
        <v>18</v>
      </c>
      <c r="BJ400" t="s">
        <v>202</v>
      </c>
      <c r="BK400" t="s">
        <v>94</v>
      </c>
      <c r="BL400" t="s">
        <v>203</v>
      </c>
      <c r="BM400" t="s">
        <v>7102</v>
      </c>
      <c r="BN400" t="s">
        <v>74</v>
      </c>
      <c r="BO400" t="s">
        <v>74</v>
      </c>
      <c r="BP400" t="s">
        <v>74</v>
      </c>
      <c r="BQ400" t="s">
        <v>74</v>
      </c>
      <c r="BR400" t="s">
        <v>97</v>
      </c>
      <c r="BS400" t="s">
        <v>7103</v>
      </c>
      <c r="BT400" t="str">
        <f>HYPERLINK("https%3A%2F%2Fwww.webofscience.com%2Fwos%2Fwoscc%2Ffull-record%2FWOS:000410769200006","View Full Record in Web of Science")</f>
        <v>View Full Record in Web of Science</v>
      </c>
    </row>
    <row r="401" spans="1:72" x14ac:dyDescent="0.25">
      <c r="A401" t="s">
        <v>72</v>
      </c>
      <c r="B401" t="s">
        <v>7104</v>
      </c>
      <c r="C401" t="s">
        <v>74</v>
      </c>
      <c r="D401" t="s">
        <v>74</v>
      </c>
      <c r="E401" t="s">
        <v>74</v>
      </c>
      <c r="F401" t="s">
        <v>7105</v>
      </c>
      <c r="G401" t="s">
        <v>74</v>
      </c>
      <c r="H401" t="s">
        <v>74</v>
      </c>
      <c r="I401" t="s">
        <v>7106</v>
      </c>
      <c r="J401" t="s">
        <v>7107</v>
      </c>
      <c r="K401" t="s">
        <v>74</v>
      </c>
      <c r="L401" t="s">
        <v>74</v>
      </c>
      <c r="M401" t="s">
        <v>77</v>
      </c>
      <c r="N401" t="s">
        <v>78</v>
      </c>
      <c r="O401" t="s">
        <v>74</v>
      </c>
      <c r="P401" t="s">
        <v>74</v>
      </c>
      <c r="Q401" t="s">
        <v>74</v>
      </c>
      <c r="R401" t="s">
        <v>74</v>
      </c>
      <c r="S401" t="s">
        <v>74</v>
      </c>
      <c r="T401" t="s">
        <v>74</v>
      </c>
      <c r="U401" t="s">
        <v>7108</v>
      </c>
      <c r="V401" t="s">
        <v>7109</v>
      </c>
      <c r="W401" t="s">
        <v>7110</v>
      </c>
      <c r="X401" t="s">
        <v>7111</v>
      </c>
      <c r="Y401" t="s">
        <v>7112</v>
      </c>
      <c r="Z401" t="s">
        <v>7113</v>
      </c>
      <c r="AA401" t="s">
        <v>74</v>
      </c>
      <c r="AB401" t="s">
        <v>7114</v>
      </c>
      <c r="AC401" t="s">
        <v>7115</v>
      </c>
      <c r="AD401" t="s">
        <v>7116</v>
      </c>
      <c r="AE401" t="s">
        <v>7117</v>
      </c>
      <c r="AF401" t="s">
        <v>74</v>
      </c>
      <c r="AG401">
        <v>42</v>
      </c>
      <c r="AH401">
        <v>21</v>
      </c>
      <c r="AI401">
        <v>21</v>
      </c>
      <c r="AJ401">
        <v>2</v>
      </c>
      <c r="AK401">
        <v>21</v>
      </c>
      <c r="AL401" t="s">
        <v>1006</v>
      </c>
      <c r="AM401" t="s">
        <v>160</v>
      </c>
      <c r="AN401" t="s">
        <v>1007</v>
      </c>
      <c r="AO401" t="s">
        <v>7118</v>
      </c>
      <c r="AP401" t="s">
        <v>7119</v>
      </c>
      <c r="AQ401" t="s">
        <v>74</v>
      </c>
      <c r="AR401" t="s">
        <v>7120</v>
      </c>
      <c r="AS401" t="s">
        <v>7121</v>
      </c>
      <c r="AT401" t="s">
        <v>892</v>
      </c>
      <c r="AU401">
        <v>2017</v>
      </c>
      <c r="AV401">
        <v>69</v>
      </c>
      <c r="AW401">
        <v>1</v>
      </c>
      <c r="AX401" t="s">
        <v>74</v>
      </c>
      <c r="AY401" t="s">
        <v>74</v>
      </c>
      <c r="AZ401" t="s">
        <v>74</v>
      </c>
      <c r="BA401" t="s">
        <v>74</v>
      </c>
      <c r="BB401">
        <v>239</v>
      </c>
      <c r="BC401">
        <v>262</v>
      </c>
      <c r="BD401" t="s">
        <v>74</v>
      </c>
      <c r="BE401" t="s">
        <v>7122</v>
      </c>
      <c r="BF401" t="str">
        <f>HYPERLINK("http://dx.doi.org/10.1093/oep/gpw042","http://dx.doi.org/10.1093/oep/gpw042")</f>
        <v>http://dx.doi.org/10.1093/oep/gpw042</v>
      </c>
      <c r="BG401" t="s">
        <v>74</v>
      </c>
      <c r="BH401" t="s">
        <v>74</v>
      </c>
      <c r="BI401">
        <v>24</v>
      </c>
      <c r="BJ401" t="s">
        <v>2599</v>
      </c>
      <c r="BK401" t="s">
        <v>94</v>
      </c>
      <c r="BL401" t="s">
        <v>95</v>
      </c>
      <c r="BM401" t="s">
        <v>7123</v>
      </c>
      <c r="BN401" t="s">
        <v>74</v>
      </c>
      <c r="BO401" t="s">
        <v>378</v>
      </c>
      <c r="BP401" t="s">
        <v>74</v>
      </c>
      <c r="BQ401" t="s">
        <v>74</v>
      </c>
      <c r="BR401" t="s">
        <v>97</v>
      </c>
      <c r="BS401" t="s">
        <v>7124</v>
      </c>
      <c r="BT401" t="str">
        <f>HYPERLINK("https%3A%2F%2Fwww.webofscience.com%2Fwos%2Fwoscc%2Ffull-record%2FWOS:000397080900011","View Full Record in Web of Science")</f>
        <v>View Full Record in Web of Science</v>
      </c>
    </row>
    <row r="402" spans="1:72" x14ac:dyDescent="0.25">
      <c r="A402" t="s">
        <v>72</v>
      </c>
      <c r="B402" t="s">
        <v>7125</v>
      </c>
      <c r="C402" t="s">
        <v>74</v>
      </c>
      <c r="D402" t="s">
        <v>74</v>
      </c>
      <c r="E402" t="s">
        <v>74</v>
      </c>
      <c r="F402" t="s">
        <v>7126</v>
      </c>
      <c r="G402" t="s">
        <v>74</v>
      </c>
      <c r="H402" t="s">
        <v>74</v>
      </c>
      <c r="I402" t="s">
        <v>7127</v>
      </c>
      <c r="J402" t="s">
        <v>7128</v>
      </c>
      <c r="K402" t="s">
        <v>74</v>
      </c>
      <c r="L402" t="s">
        <v>74</v>
      </c>
      <c r="M402" t="s">
        <v>77</v>
      </c>
      <c r="N402" t="s">
        <v>78</v>
      </c>
      <c r="O402" t="s">
        <v>74</v>
      </c>
      <c r="P402" t="s">
        <v>74</v>
      </c>
      <c r="Q402" t="s">
        <v>74</v>
      </c>
      <c r="R402" t="s">
        <v>74</v>
      </c>
      <c r="S402" t="s">
        <v>74</v>
      </c>
      <c r="T402" t="s">
        <v>7129</v>
      </c>
      <c r="U402" t="s">
        <v>7130</v>
      </c>
      <c r="V402" t="s">
        <v>7131</v>
      </c>
      <c r="W402" t="s">
        <v>7132</v>
      </c>
      <c r="X402" t="s">
        <v>7133</v>
      </c>
      <c r="Y402" t="s">
        <v>7134</v>
      </c>
      <c r="Z402" t="s">
        <v>7135</v>
      </c>
      <c r="AA402" t="s">
        <v>74</v>
      </c>
      <c r="AB402" t="s">
        <v>74</v>
      </c>
      <c r="AC402" t="s">
        <v>7136</v>
      </c>
      <c r="AD402" t="s">
        <v>7137</v>
      </c>
      <c r="AE402" t="s">
        <v>7138</v>
      </c>
      <c r="AF402" t="s">
        <v>74</v>
      </c>
      <c r="AG402">
        <v>143</v>
      </c>
      <c r="AH402">
        <v>21</v>
      </c>
      <c r="AI402">
        <v>21</v>
      </c>
      <c r="AJ402">
        <v>5</v>
      </c>
      <c r="AK402">
        <v>55</v>
      </c>
      <c r="AL402" t="s">
        <v>2591</v>
      </c>
      <c r="AM402" t="s">
        <v>2592</v>
      </c>
      <c r="AN402" t="s">
        <v>2593</v>
      </c>
      <c r="AO402" t="s">
        <v>7139</v>
      </c>
      <c r="AP402" t="s">
        <v>74</v>
      </c>
      <c r="AQ402" t="s">
        <v>74</v>
      </c>
      <c r="AR402" t="s">
        <v>7128</v>
      </c>
      <c r="AS402" t="s">
        <v>7140</v>
      </c>
      <c r="AT402" t="s">
        <v>7141</v>
      </c>
      <c r="AU402">
        <v>2016</v>
      </c>
      <c r="AV402">
        <v>5</v>
      </c>
      <c r="AW402" t="s">
        <v>74</v>
      </c>
      <c r="AX402" t="s">
        <v>74</v>
      </c>
      <c r="AY402" t="s">
        <v>74</v>
      </c>
      <c r="AZ402" t="s">
        <v>74</v>
      </c>
      <c r="BA402" t="s">
        <v>74</v>
      </c>
      <c r="BB402" t="s">
        <v>74</v>
      </c>
      <c r="BC402" t="s">
        <v>74</v>
      </c>
      <c r="BD402">
        <v>1829</v>
      </c>
      <c r="BE402" t="s">
        <v>7142</v>
      </c>
      <c r="BF402" t="str">
        <f>HYPERLINK("http://dx.doi.org/10.1186/s40064-016-3556-8","http://dx.doi.org/10.1186/s40064-016-3556-8")</f>
        <v>http://dx.doi.org/10.1186/s40064-016-3556-8</v>
      </c>
      <c r="BG402" t="s">
        <v>74</v>
      </c>
      <c r="BH402" t="s">
        <v>74</v>
      </c>
      <c r="BI402">
        <v>15</v>
      </c>
      <c r="BJ402" t="s">
        <v>282</v>
      </c>
      <c r="BK402" t="s">
        <v>147</v>
      </c>
      <c r="BL402" t="s">
        <v>284</v>
      </c>
      <c r="BM402" t="s">
        <v>7143</v>
      </c>
      <c r="BN402">
        <v>27818867</v>
      </c>
      <c r="BO402" t="s">
        <v>4398</v>
      </c>
      <c r="BP402" t="s">
        <v>74</v>
      </c>
      <c r="BQ402" t="s">
        <v>74</v>
      </c>
      <c r="BR402" t="s">
        <v>97</v>
      </c>
      <c r="BS402" t="s">
        <v>7144</v>
      </c>
      <c r="BT402" t="str">
        <f>HYPERLINK("https%3A%2F%2Fwww.webofscience.com%2Fwos%2Fwoscc%2Ffull-record%2FWOS:000391810900009","View Full Record in Web of Science")</f>
        <v>View Full Record in Web of Science</v>
      </c>
    </row>
    <row r="403" spans="1:72" x14ac:dyDescent="0.25">
      <c r="A403" t="s">
        <v>72</v>
      </c>
      <c r="B403" t="s">
        <v>7145</v>
      </c>
      <c r="C403" t="s">
        <v>74</v>
      </c>
      <c r="D403" t="s">
        <v>74</v>
      </c>
      <c r="E403" t="s">
        <v>74</v>
      </c>
      <c r="F403" t="s">
        <v>7146</v>
      </c>
      <c r="G403" t="s">
        <v>74</v>
      </c>
      <c r="H403" t="s">
        <v>74</v>
      </c>
      <c r="I403" t="s">
        <v>7147</v>
      </c>
      <c r="J403" t="s">
        <v>7148</v>
      </c>
      <c r="K403" t="s">
        <v>74</v>
      </c>
      <c r="L403" t="s">
        <v>74</v>
      </c>
      <c r="M403" t="s">
        <v>77</v>
      </c>
      <c r="N403" t="s">
        <v>78</v>
      </c>
      <c r="O403" t="s">
        <v>74</v>
      </c>
      <c r="P403" t="s">
        <v>74</v>
      </c>
      <c r="Q403" t="s">
        <v>74</v>
      </c>
      <c r="R403" t="s">
        <v>74</v>
      </c>
      <c r="S403" t="s">
        <v>74</v>
      </c>
      <c r="T403" t="s">
        <v>74</v>
      </c>
      <c r="U403" t="s">
        <v>7149</v>
      </c>
      <c r="V403" t="s">
        <v>7150</v>
      </c>
      <c r="W403" t="s">
        <v>7151</v>
      </c>
      <c r="X403" t="s">
        <v>7152</v>
      </c>
      <c r="Y403" t="s">
        <v>7153</v>
      </c>
      <c r="Z403" t="s">
        <v>7154</v>
      </c>
      <c r="AA403" t="s">
        <v>74</v>
      </c>
      <c r="AB403" t="s">
        <v>7155</v>
      </c>
      <c r="AC403" t="s">
        <v>74</v>
      </c>
      <c r="AD403" t="s">
        <v>74</v>
      </c>
      <c r="AE403" t="s">
        <v>74</v>
      </c>
      <c r="AF403" t="s">
        <v>74</v>
      </c>
      <c r="AG403">
        <v>31</v>
      </c>
      <c r="AH403">
        <v>21</v>
      </c>
      <c r="AI403">
        <v>21</v>
      </c>
      <c r="AJ403">
        <v>2</v>
      </c>
      <c r="AK403">
        <v>29</v>
      </c>
      <c r="AL403" t="s">
        <v>138</v>
      </c>
      <c r="AM403" t="s">
        <v>139</v>
      </c>
      <c r="AN403" t="s">
        <v>140</v>
      </c>
      <c r="AO403" t="s">
        <v>7156</v>
      </c>
      <c r="AP403" t="s">
        <v>7157</v>
      </c>
      <c r="AQ403" t="s">
        <v>74</v>
      </c>
      <c r="AR403" t="s">
        <v>7158</v>
      </c>
      <c r="AS403" t="s">
        <v>7159</v>
      </c>
      <c r="AT403" t="s">
        <v>200</v>
      </c>
      <c r="AU403">
        <v>2016</v>
      </c>
      <c r="AV403">
        <v>46</v>
      </c>
      <c r="AW403">
        <v>3</v>
      </c>
      <c r="AX403" t="s">
        <v>74</v>
      </c>
      <c r="AY403" t="s">
        <v>74</v>
      </c>
      <c r="AZ403" t="s">
        <v>74</v>
      </c>
      <c r="BA403" t="s">
        <v>74</v>
      </c>
      <c r="BB403">
        <v>122</v>
      </c>
      <c r="BC403">
        <v>127</v>
      </c>
      <c r="BD403" t="s">
        <v>74</v>
      </c>
      <c r="BE403" t="s">
        <v>7160</v>
      </c>
      <c r="BF403" t="str">
        <f>HYPERLINK("http://dx.doi.org/10.1097/NNA.0000000000000310","http://dx.doi.org/10.1097/NNA.0000000000000310")</f>
        <v>http://dx.doi.org/10.1097/NNA.0000000000000310</v>
      </c>
      <c r="BG403" t="s">
        <v>74</v>
      </c>
      <c r="BH403" t="s">
        <v>74</v>
      </c>
      <c r="BI403">
        <v>6</v>
      </c>
      <c r="BJ403" t="s">
        <v>980</v>
      </c>
      <c r="BK403" t="s">
        <v>147</v>
      </c>
      <c r="BL403" t="s">
        <v>980</v>
      </c>
      <c r="BM403" t="s">
        <v>7161</v>
      </c>
      <c r="BN403">
        <v>26866324</v>
      </c>
      <c r="BO403" t="s">
        <v>74</v>
      </c>
      <c r="BP403" t="s">
        <v>74</v>
      </c>
      <c r="BQ403" t="s">
        <v>74</v>
      </c>
      <c r="BR403" t="s">
        <v>97</v>
      </c>
      <c r="BS403" t="s">
        <v>7162</v>
      </c>
      <c r="BT403" t="str">
        <f>HYPERLINK("https%3A%2F%2Fwww.webofscience.com%2Fwos%2Fwoscc%2Ffull-record%2FWOS:000371583200006","View Full Record in Web of Science")</f>
        <v>View Full Record in Web of Science</v>
      </c>
    </row>
    <row r="404" spans="1:72" x14ac:dyDescent="0.25">
      <c r="A404" t="s">
        <v>72</v>
      </c>
      <c r="B404" t="s">
        <v>7163</v>
      </c>
      <c r="C404" t="s">
        <v>74</v>
      </c>
      <c r="D404" t="s">
        <v>74</v>
      </c>
      <c r="E404" t="s">
        <v>74</v>
      </c>
      <c r="F404" t="s">
        <v>7164</v>
      </c>
      <c r="G404" t="s">
        <v>74</v>
      </c>
      <c r="H404" t="s">
        <v>74</v>
      </c>
      <c r="I404" t="s">
        <v>7165</v>
      </c>
      <c r="J404" t="s">
        <v>7166</v>
      </c>
      <c r="K404" t="s">
        <v>74</v>
      </c>
      <c r="L404" t="s">
        <v>74</v>
      </c>
      <c r="M404" t="s">
        <v>77</v>
      </c>
      <c r="N404" t="s">
        <v>78</v>
      </c>
      <c r="O404" t="s">
        <v>74</v>
      </c>
      <c r="P404" t="s">
        <v>74</v>
      </c>
      <c r="Q404" t="s">
        <v>74</v>
      </c>
      <c r="R404" t="s">
        <v>74</v>
      </c>
      <c r="S404" t="s">
        <v>74</v>
      </c>
      <c r="T404" t="s">
        <v>7167</v>
      </c>
      <c r="U404" t="s">
        <v>7168</v>
      </c>
      <c r="V404" t="s">
        <v>7169</v>
      </c>
      <c r="W404" t="s">
        <v>7170</v>
      </c>
      <c r="X404" t="s">
        <v>7171</v>
      </c>
      <c r="Y404" t="s">
        <v>7172</v>
      </c>
      <c r="Z404" t="s">
        <v>7173</v>
      </c>
      <c r="AA404" t="s">
        <v>7174</v>
      </c>
      <c r="AB404" t="s">
        <v>7175</v>
      </c>
      <c r="AC404" t="s">
        <v>74</v>
      </c>
      <c r="AD404" t="s">
        <v>74</v>
      </c>
      <c r="AE404" t="s">
        <v>74</v>
      </c>
      <c r="AF404" t="s">
        <v>74</v>
      </c>
      <c r="AG404">
        <v>27</v>
      </c>
      <c r="AH404">
        <v>21</v>
      </c>
      <c r="AI404">
        <v>21</v>
      </c>
      <c r="AJ404">
        <v>0</v>
      </c>
      <c r="AK404">
        <v>21</v>
      </c>
      <c r="AL404" t="s">
        <v>766</v>
      </c>
      <c r="AM404" t="s">
        <v>330</v>
      </c>
      <c r="AN404" t="s">
        <v>767</v>
      </c>
      <c r="AO404" t="s">
        <v>7176</v>
      </c>
      <c r="AP404" t="s">
        <v>7177</v>
      </c>
      <c r="AQ404" t="s">
        <v>74</v>
      </c>
      <c r="AR404" t="s">
        <v>7178</v>
      </c>
      <c r="AS404" t="s">
        <v>7179</v>
      </c>
      <c r="AT404" t="s">
        <v>122</v>
      </c>
      <c r="AU404">
        <v>2008</v>
      </c>
      <c r="AV404">
        <v>29</v>
      </c>
      <c r="AW404">
        <v>2</v>
      </c>
      <c r="AX404" t="s">
        <v>74</v>
      </c>
      <c r="AY404" t="s">
        <v>74</v>
      </c>
      <c r="AZ404" t="s">
        <v>74</v>
      </c>
      <c r="BA404" t="s">
        <v>74</v>
      </c>
      <c r="BB404">
        <v>543</v>
      </c>
      <c r="BC404">
        <v>548</v>
      </c>
      <c r="BD404" t="s">
        <v>74</v>
      </c>
      <c r="BE404" t="s">
        <v>7180</v>
      </c>
      <c r="BF404" t="str">
        <f>HYPERLINK("http://dx.doi.org/10.1007/s10764-007-9176-y","http://dx.doi.org/10.1007/s10764-007-9176-y")</f>
        <v>http://dx.doi.org/10.1007/s10764-007-9176-y</v>
      </c>
      <c r="BG404" t="s">
        <v>74</v>
      </c>
      <c r="BH404" t="s">
        <v>74</v>
      </c>
      <c r="BI404">
        <v>6</v>
      </c>
      <c r="BJ404" t="s">
        <v>2108</v>
      </c>
      <c r="BK404" t="s">
        <v>283</v>
      </c>
      <c r="BL404" t="s">
        <v>2108</v>
      </c>
      <c r="BM404" t="s">
        <v>7181</v>
      </c>
      <c r="BN404" t="s">
        <v>74</v>
      </c>
      <c r="BO404" t="s">
        <v>74</v>
      </c>
      <c r="BP404" t="s">
        <v>74</v>
      </c>
      <c r="BQ404" t="s">
        <v>74</v>
      </c>
      <c r="BR404" t="s">
        <v>97</v>
      </c>
      <c r="BS404" t="s">
        <v>7182</v>
      </c>
      <c r="BT404" t="str">
        <f>HYPERLINK("https%3A%2F%2Fwww.webofscience.com%2Fwos%2Fwoscc%2Ffull-record%2FWOS:000255058600016","View Full Record in Web of Science")</f>
        <v>View Full Record in Web of Science</v>
      </c>
    </row>
    <row r="405" spans="1:72" x14ac:dyDescent="0.25">
      <c r="A405" t="s">
        <v>72</v>
      </c>
      <c r="B405" t="s">
        <v>7183</v>
      </c>
      <c r="C405" t="s">
        <v>74</v>
      </c>
      <c r="D405" t="s">
        <v>74</v>
      </c>
      <c r="E405" t="s">
        <v>74</v>
      </c>
      <c r="F405" t="s">
        <v>7183</v>
      </c>
      <c r="G405" t="s">
        <v>74</v>
      </c>
      <c r="H405" t="s">
        <v>74</v>
      </c>
      <c r="I405" t="s">
        <v>7184</v>
      </c>
      <c r="J405" t="s">
        <v>7185</v>
      </c>
      <c r="K405" t="s">
        <v>74</v>
      </c>
      <c r="L405" t="s">
        <v>74</v>
      </c>
      <c r="M405" t="s">
        <v>77</v>
      </c>
      <c r="N405" t="s">
        <v>78</v>
      </c>
      <c r="O405" t="s">
        <v>74</v>
      </c>
      <c r="P405" t="s">
        <v>74</v>
      </c>
      <c r="Q405" t="s">
        <v>74</v>
      </c>
      <c r="R405" t="s">
        <v>74</v>
      </c>
      <c r="S405" t="s">
        <v>74</v>
      </c>
      <c r="T405" t="s">
        <v>7186</v>
      </c>
      <c r="U405" t="s">
        <v>74</v>
      </c>
      <c r="V405" t="s">
        <v>7187</v>
      </c>
      <c r="W405" t="s">
        <v>7188</v>
      </c>
      <c r="X405" t="s">
        <v>7189</v>
      </c>
      <c r="Y405" t="s">
        <v>7190</v>
      </c>
      <c r="Z405" t="s">
        <v>7191</v>
      </c>
      <c r="AA405" t="s">
        <v>74</v>
      </c>
      <c r="AB405" t="s">
        <v>74</v>
      </c>
      <c r="AC405" t="s">
        <v>74</v>
      </c>
      <c r="AD405" t="s">
        <v>74</v>
      </c>
      <c r="AE405" t="s">
        <v>74</v>
      </c>
      <c r="AF405" t="s">
        <v>74</v>
      </c>
      <c r="AG405">
        <v>6</v>
      </c>
      <c r="AH405">
        <v>21</v>
      </c>
      <c r="AI405">
        <v>21</v>
      </c>
      <c r="AJ405">
        <v>0</v>
      </c>
      <c r="AK405">
        <v>7</v>
      </c>
      <c r="AL405" t="s">
        <v>7192</v>
      </c>
      <c r="AM405" t="s">
        <v>7193</v>
      </c>
      <c r="AN405" t="s">
        <v>7194</v>
      </c>
      <c r="AO405" t="s">
        <v>7195</v>
      </c>
      <c r="AP405" t="s">
        <v>74</v>
      </c>
      <c r="AQ405" t="s">
        <v>74</v>
      </c>
      <c r="AR405" t="s">
        <v>7196</v>
      </c>
      <c r="AS405" t="s">
        <v>7197</v>
      </c>
      <c r="AT405" t="s">
        <v>91</v>
      </c>
      <c r="AU405">
        <v>2004</v>
      </c>
      <c r="AV405">
        <v>96</v>
      </c>
      <c r="AW405">
        <v>6</v>
      </c>
      <c r="AX405" t="s">
        <v>74</v>
      </c>
      <c r="AY405" t="s">
        <v>74</v>
      </c>
      <c r="AZ405" t="s">
        <v>74</v>
      </c>
      <c r="BA405" t="s">
        <v>74</v>
      </c>
      <c r="BB405">
        <v>822</v>
      </c>
      <c r="BC405">
        <v>825</v>
      </c>
      <c r="BD405" t="s">
        <v>74</v>
      </c>
      <c r="BE405" t="s">
        <v>74</v>
      </c>
      <c r="BF405" t="s">
        <v>74</v>
      </c>
      <c r="BG405" t="s">
        <v>74</v>
      </c>
      <c r="BH405" t="s">
        <v>74</v>
      </c>
      <c r="BI405">
        <v>4</v>
      </c>
      <c r="BJ405" t="s">
        <v>7198</v>
      </c>
      <c r="BK405" t="s">
        <v>283</v>
      </c>
      <c r="BL405" t="s">
        <v>7199</v>
      </c>
      <c r="BM405" t="s">
        <v>7200</v>
      </c>
      <c r="BN405">
        <v>15233493</v>
      </c>
      <c r="BO405" t="s">
        <v>74</v>
      </c>
      <c r="BP405" t="s">
        <v>74</v>
      </c>
      <c r="BQ405" t="s">
        <v>74</v>
      </c>
      <c r="BR405" t="s">
        <v>97</v>
      </c>
      <c r="BS405" t="s">
        <v>7201</v>
      </c>
      <c r="BT405" t="str">
        <f>HYPERLINK("https%3A%2F%2Fwww.webofscience.com%2Fwos%2Fwoscc%2Ffull-record%2FWOS:000222848900033","View Full Record in Web of Science")</f>
        <v>View Full Record in Web of Science</v>
      </c>
    </row>
    <row r="406" spans="1:72" x14ac:dyDescent="0.25">
      <c r="A406" t="s">
        <v>72</v>
      </c>
      <c r="B406" t="s">
        <v>7202</v>
      </c>
      <c r="C406" t="s">
        <v>74</v>
      </c>
      <c r="D406" t="s">
        <v>74</v>
      </c>
      <c r="E406" t="s">
        <v>74</v>
      </c>
      <c r="F406" t="s">
        <v>7202</v>
      </c>
      <c r="G406" t="s">
        <v>74</v>
      </c>
      <c r="H406" t="s">
        <v>74</v>
      </c>
      <c r="I406" t="s">
        <v>7203</v>
      </c>
      <c r="J406" t="s">
        <v>424</v>
      </c>
      <c r="K406" t="s">
        <v>74</v>
      </c>
      <c r="L406" t="s">
        <v>74</v>
      </c>
      <c r="M406" t="s">
        <v>77</v>
      </c>
      <c r="N406" t="s">
        <v>78</v>
      </c>
      <c r="O406" t="s">
        <v>74</v>
      </c>
      <c r="P406" t="s">
        <v>74</v>
      </c>
      <c r="Q406" t="s">
        <v>74</v>
      </c>
      <c r="R406" t="s">
        <v>74</v>
      </c>
      <c r="S406" t="s">
        <v>74</v>
      </c>
      <c r="T406" t="s">
        <v>74</v>
      </c>
      <c r="U406" t="s">
        <v>74</v>
      </c>
      <c r="V406" t="s">
        <v>7204</v>
      </c>
      <c r="W406" t="s">
        <v>74</v>
      </c>
      <c r="X406" t="s">
        <v>74</v>
      </c>
      <c r="Y406" t="s">
        <v>7205</v>
      </c>
      <c r="Z406" t="s">
        <v>74</v>
      </c>
      <c r="AA406" t="s">
        <v>74</v>
      </c>
      <c r="AB406" t="s">
        <v>74</v>
      </c>
      <c r="AC406" t="s">
        <v>74</v>
      </c>
      <c r="AD406" t="s">
        <v>74</v>
      </c>
      <c r="AE406" t="s">
        <v>74</v>
      </c>
      <c r="AF406" t="s">
        <v>74</v>
      </c>
      <c r="AG406">
        <v>24</v>
      </c>
      <c r="AH406">
        <v>21</v>
      </c>
      <c r="AI406">
        <v>21</v>
      </c>
      <c r="AJ406">
        <v>0</v>
      </c>
      <c r="AK406">
        <v>4</v>
      </c>
      <c r="AL406" t="s">
        <v>434</v>
      </c>
      <c r="AM406" t="s">
        <v>435</v>
      </c>
      <c r="AN406" t="s">
        <v>436</v>
      </c>
      <c r="AO406" t="s">
        <v>437</v>
      </c>
      <c r="AP406" t="s">
        <v>438</v>
      </c>
      <c r="AQ406" t="s">
        <v>74</v>
      </c>
      <c r="AR406" t="s">
        <v>439</v>
      </c>
      <c r="AS406" t="s">
        <v>440</v>
      </c>
      <c r="AT406" t="s">
        <v>256</v>
      </c>
      <c r="AU406">
        <v>1996</v>
      </c>
      <c r="AV406">
        <v>25</v>
      </c>
      <c r="AW406">
        <v>7</v>
      </c>
      <c r="AX406" t="s">
        <v>74</v>
      </c>
      <c r="AY406" t="s">
        <v>74</v>
      </c>
      <c r="AZ406" t="s">
        <v>74</v>
      </c>
      <c r="BA406" t="s">
        <v>74</v>
      </c>
      <c r="BB406">
        <v>1081</v>
      </c>
      <c r="BC406">
        <v>1096</v>
      </c>
      <c r="BD406" t="s">
        <v>74</v>
      </c>
      <c r="BE406" t="s">
        <v>7206</v>
      </c>
      <c r="BF406" t="str">
        <f>HYPERLINK("http://dx.doi.org/10.1016/S0048-7333(96)00889-X","http://dx.doi.org/10.1016/S0048-7333(96)00889-X")</f>
        <v>http://dx.doi.org/10.1016/S0048-7333(96)00889-X</v>
      </c>
      <c r="BG406" t="s">
        <v>74</v>
      </c>
      <c r="BH406" t="s">
        <v>74</v>
      </c>
      <c r="BI406">
        <v>16</v>
      </c>
      <c r="BJ406" t="s">
        <v>442</v>
      </c>
      <c r="BK406" t="s">
        <v>94</v>
      </c>
      <c r="BL406" t="s">
        <v>95</v>
      </c>
      <c r="BM406" t="s">
        <v>7207</v>
      </c>
      <c r="BN406" t="s">
        <v>74</v>
      </c>
      <c r="BO406" t="s">
        <v>74</v>
      </c>
      <c r="BP406" t="s">
        <v>74</v>
      </c>
      <c r="BQ406" t="s">
        <v>74</v>
      </c>
      <c r="BR406" t="s">
        <v>97</v>
      </c>
      <c r="BS406" t="s">
        <v>7208</v>
      </c>
      <c r="BT406" t="str">
        <f>HYPERLINK("https%3A%2F%2Fwww.webofscience.com%2Fwos%2Fwoscc%2Ffull-record%2FWOS:A1996VZ23000006","View Full Record in Web of Science")</f>
        <v>View Full Record in Web of Science</v>
      </c>
    </row>
    <row r="407" spans="1:72" x14ac:dyDescent="0.25">
      <c r="A407" t="s">
        <v>72</v>
      </c>
      <c r="B407" t="s">
        <v>7209</v>
      </c>
      <c r="C407" t="s">
        <v>74</v>
      </c>
      <c r="D407" t="s">
        <v>74</v>
      </c>
      <c r="E407" t="s">
        <v>74</v>
      </c>
      <c r="F407" t="s">
        <v>7210</v>
      </c>
      <c r="G407" t="s">
        <v>74</v>
      </c>
      <c r="H407" t="s">
        <v>74</v>
      </c>
      <c r="I407" t="s">
        <v>7211</v>
      </c>
      <c r="J407" t="s">
        <v>7212</v>
      </c>
      <c r="K407" t="s">
        <v>74</v>
      </c>
      <c r="L407" t="s">
        <v>74</v>
      </c>
      <c r="M407" t="s">
        <v>77</v>
      </c>
      <c r="N407" t="s">
        <v>78</v>
      </c>
      <c r="O407" t="s">
        <v>74</v>
      </c>
      <c r="P407" t="s">
        <v>74</v>
      </c>
      <c r="Q407" t="s">
        <v>74</v>
      </c>
      <c r="R407" t="s">
        <v>74</v>
      </c>
      <c r="S407" t="s">
        <v>74</v>
      </c>
      <c r="T407" t="s">
        <v>7213</v>
      </c>
      <c r="U407" t="s">
        <v>7214</v>
      </c>
      <c r="V407" t="s">
        <v>7215</v>
      </c>
      <c r="W407" t="s">
        <v>7216</v>
      </c>
      <c r="X407" t="s">
        <v>745</v>
      </c>
      <c r="Y407" t="s">
        <v>7217</v>
      </c>
      <c r="Z407" t="s">
        <v>7218</v>
      </c>
      <c r="AA407" t="s">
        <v>74</v>
      </c>
      <c r="AB407" t="s">
        <v>74</v>
      </c>
      <c r="AC407" t="s">
        <v>74</v>
      </c>
      <c r="AD407" t="s">
        <v>74</v>
      </c>
      <c r="AE407" t="s">
        <v>74</v>
      </c>
      <c r="AF407" t="s">
        <v>74</v>
      </c>
      <c r="AG407">
        <v>74</v>
      </c>
      <c r="AH407">
        <v>20</v>
      </c>
      <c r="AI407">
        <v>20</v>
      </c>
      <c r="AJ407">
        <v>15</v>
      </c>
      <c r="AK407">
        <v>61</v>
      </c>
      <c r="AL407" t="s">
        <v>4389</v>
      </c>
      <c r="AM407" t="s">
        <v>541</v>
      </c>
      <c r="AN407" t="s">
        <v>4390</v>
      </c>
      <c r="AO407" t="s">
        <v>74</v>
      </c>
      <c r="AP407" t="s">
        <v>7219</v>
      </c>
      <c r="AQ407" t="s">
        <v>74</v>
      </c>
      <c r="AR407" t="s">
        <v>7220</v>
      </c>
      <c r="AS407" t="s">
        <v>7221</v>
      </c>
      <c r="AT407" t="s">
        <v>7222</v>
      </c>
      <c r="AU407">
        <v>2020</v>
      </c>
      <c r="AV407">
        <v>20</v>
      </c>
      <c r="AW407">
        <v>1</v>
      </c>
      <c r="AX407" t="s">
        <v>74</v>
      </c>
      <c r="AY407" t="s">
        <v>74</v>
      </c>
      <c r="AZ407" t="s">
        <v>74</v>
      </c>
      <c r="BA407" t="s">
        <v>74</v>
      </c>
      <c r="BB407" t="s">
        <v>74</v>
      </c>
      <c r="BC407" t="s">
        <v>74</v>
      </c>
      <c r="BD407">
        <v>1096</v>
      </c>
      <c r="BE407" t="s">
        <v>7223</v>
      </c>
      <c r="BF407" t="str">
        <f>HYPERLINK("http://dx.doi.org/10.1186/s12913-020-05954-4","http://dx.doi.org/10.1186/s12913-020-05954-4")</f>
        <v>http://dx.doi.org/10.1186/s12913-020-05954-4</v>
      </c>
      <c r="BG407" t="s">
        <v>74</v>
      </c>
      <c r="BH407" t="s">
        <v>74</v>
      </c>
      <c r="BI407">
        <v>17</v>
      </c>
      <c r="BJ407" t="s">
        <v>4027</v>
      </c>
      <c r="BK407" t="s">
        <v>147</v>
      </c>
      <c r="BL407" t="s">
        <v>4027</v>
      </c>
      <c r="BM407" t="s">
        <v>7224</v>
      </c>
      <c r="BN407">
        <v>33246454</v>
      </c>
      <c r="BO407" t="s">
        <v>7225</v>
      </c>
      <c r="BP407" t="s">
        <v>74</v>
      </c>
      <c r="BQ407" t="s">
        <v>74</v>
      </c>
      <c r="BR407" t="s">
        <v>97</v>
      </c>
      <c r="BS407" t="s">
        <v>7226</v>
      </c>
      <c r="BT407" t="str">
        <f>HYPERLINK("https%3A%2F%2Fwww.webofscience.com%2Fwos%2Fwoscc%2Ffull-record%2FWOS:000595795600006","View Full Record in Web of Science")</f>
        <v>View Full Record in Web of Science</v>
      </c>
    </row>
    <row r="408" spans="1:72" x14ac:dyDescent="0.25">
      <c r="A408" t="s">
        <v>72</v>
      </c>
      <c r="B408" t="s">
        <v>7227</v>
      </c>
      <c r="C408" t="s">
        <v>74</v>
      </c>
      <c r="D408" t="s">
        <v>74</v>
      </c>
      <c r="E408" t="s">
        <v>74</v>
      </c>
      <c r="F408" t="s">
        <v>7228</v>
      </c>
      <c r="G408" t="s">
        <v>74</v>
      </c>
      <c r="H408" t="s">
        <v>74</v>
      </c>
      <c r="I408" t="s">
        <v>7229</v>
      </c>
      <c r="J408" t="s">
        <v>7230</v>
      </c>
      <c r="K408" t="s">
        <v>74</v>
      </c>
      <c r="L408" t="s">
        <v>74</v>
      </c>
      <c r="M408" t="s">
        <v>77</v>
      </c>
      <c r="N408" t="s">
        <v>78</v>
      </c>
      <c r="O408" t="s">
        <v>74</v>
      </c>
      <c r="P408" t="s">
        <v>74</v>
      </c>
      <c r="Q408" t="s">
        <v>74</v>
      </c>
      <c r="R408" t="s">
        <v>74</v>
      </c>
      <c r="S408" t="s">
        <v>74</v>
      </c>
      <c r="T408" t="s">
        <v>74</v>
      </c>
      <c r="U408" t="s">
        <v>7231</v>
      </c>
      <c r="V408" t="s">
        <v>7232</v>
      </c>
      <c r="W408" t="s">
        <v>7233</v>
      </c>
      <c r="X408" t="s">
        <v>7234</v>
      </c>
      <c r="Y408" t="s">
        <v>7235</v>
      </c>
      <c r="Z408" t="s">
        <v>7236</v>
      </c>
      <c r="AA408" t="s">
        <v>74</v>
      </c>
      <c r="AB408" t="s">
        <v>74</v>
      </c>
      <c r="AC408" t="s">
        <v>7237</v>
      </c>
      <c r="AD408" t="s">
        <v>7238</v>
      </c>
      <c r="AE408" t="s">
        <v>7239</v>
      </c>
      <c r="AF408" t="s">
        <v>74</v>
      </c>
      <c r="AG408">
        <v>106</v>
      </c>
      <c r="AH408">
        <v>20</v>
      </c>
      <c r="AI408">
        <v>20</v>
      </c>
      <c r="AJ408">
        <v>4</v>
      </c>
      <c r="AK408">
        <v>32</v>
      </c>
      <c r="AL408" t="s">
        <v>434</v>
      </c>
      <c r="AM408" t="s">
        <v>435</v>
      </c>
      <c r="AN408" t="s">
        <v>436</v>
      </c>
      <c r="AO408" t="s">
        <v>7240</v>
      </c>
      <c r="AP408" t="s">
        <v>7241</v>
      </c>
      <c r="AQ408" t="s">
        <v>74</v>
      </c>
      <c r="AR408" t="s">
        <v>7242</v>
      </c>
      <c r="AS408" t="s">
        <v>7243</v>
      </c>
      <c r="AT408" t="s">
        <v>892</v>
      </c>
      <c r="AU408">
        <v>2020</v>
      </c>
      <c r="AV408">
        <v>33</v>
      </c>
      <c r="AW408" t="s">
        <v>74</v>
      </c>
      <c r="AX408" t="s">
        <v>74</v>
      </c>
      <c r="AY408" t="s">
        <v>74</v>
      </c>
      <c r="AZ408" t="s">
        <v>74</v>
      </c>
      <c r="BA408" t="s">
        <v>74</v>
      </c>
      <c r="BB408" t="s">
        <v>74</v>
      </c>
      <c r="BC408" t="s">
        <v>74</v>
      </c>
      <c r="BD408">
        <v>100587</v>
      </c>
      <c r="BE408" t="s">
        <v>7244</v>
      </c>
      <c r="BF408" t="str">
        <f>HYPERLINK("http://dx.doi.org/10.1016/j.tmp.2019.100587","http://dx.doi.org/10.1016/j.tmp.2019.100587")</f>
        <v>http://dx.doi.org/10.1016/j.tmp.2019.100587</v>
      </c>
      <c r="BG408" t="s">
        <v>74</v>
      </c>
      <c r="BH408" t="s">
        <v>74</v>
      </c>
      <c r="BI408">
        <v>15</v>
      </c>
      <c r="BJ408" t="s">
        <v>1305</v>
      </c>
      <c r="BK408" t="s">
        <v>94</v>
      </c>
      <c r="BL408" t="s">
        <v>1306</v>
      </c>
      <c r="BM408" t="s">
        <v>7245</v>
      </c>
      <c r="BN408" t="s">
        <v>74</v>
      </c>
      <c r="BO408" t="s">
        <v>74</v>
      </c>
      <c r="BP408" t="s">
        <v>74</v>
      </c>
      <c r="BQ408" t="s">
        <v>74</v>
      </c>
      <c r="BR408" t="s">
        <v>97</v>
      </c>
      <c r="BS408" t="s">
        <v>7246</v>
      </c>
      <c r="BT408" t="str">
        <f>HYPERLINK("https%3A%2F%2Fwww.webofscience.com%2Fwos%2Fwoscc%2Ffull-record%2FWOS:000510478700009","View Full Record in Web of Science")</f>
        <v>View Full Record in Web of Science</v>
      </c>
    </row>
    <row r="409" spans="1:72" x14ac:dyDescent="0.25">
      <c r="A409" t="s">
        <v>72</v>
      </c>
      <c r="B409" t="s">
        <v>7247</v>
      </c>
      <c r="C409" t="s">
        <v>74</v>
      </c>
      <c r="D409" t="s">
        <v>74</v>
      </c>
      <c r="E409" t="s">
        <v>74</v>
      </c>
      <c r="F409" t="s">
        <v>7248</v>
      </c>
      <c r="G409" t="s">
        <v>74</v>
      </c>
      <c r="H409" t="s">
        <v>74</v>
      </c>
      <c r="I409" t="s">
        <v>7249</v>
      </c>
      <c r="J409" t="s">
        <v>1421</v>
      </c>
      <c r="K409" t="s">
        <v>74</v>
      </c>
      <c r="L409" t="s">
        <v>74</v>
      </c>
      <c r="M409" t="s">
        <v>77</v>
      </c>
      <c r="N409" t="s">
        <v>78</v>
      </c>
      <c r="O409" t="s">
        <v>74</v>
      </c>
      <c r="P409" t="s">
        <v>74</v>
      </c>
      <c r="Q409" t="s">
        <v>74</v>
      </c>
      <c r="R409" t="s">
        <v>74</v>
      </c>
      <c r="S409" t="s">
        <v>74</v>
      </c>
      <c r="T409" t="s">
        <v>7250</v>
      </c>
      <c r="U409" t="s">
        <v>7251</v>
      </c>
      <c r="V409" t="s">
        <v>7252</v>
      </c>
      <c r="W409" t="s">
        <v>7253</v>
      </c>
      <c r="X409" t="s">
        <v>7254</v>
      </c>
      <c r="Y409" t="s">
        <v>7255</v>
      </c>
      <c r="Z409" t="s">
        <v>873</v>
      </c>
      <c r="AA409" t="s">
        <v>7256</v>
      </c>
      <c r="AB409" t="s">
        <v>7257</v>
      </c>
      <c r="AC409" t="s">
        <v>7258</v>
      </c>
      <c r="AD409" t="s">
        <v>7259</v>
      </c>
      <c r="AE409" t="s">
        <v>7260</v>
      </c>
      <c r="AF409" t="s">
        <v>74</v>
      </c>
      <c r="AG409">
        <v>162</v>
      </c>
      <c r="AH409">
        <v>20</v>
      </c>
      <c r="AI409">
        <v>20</v>
      </c>
      <c r="AJ409">
        <v>9</v>
      </c>
      <c r="AK409">
        <v>94</v>
      </c>
      <c r="AL409" t="s">
        <v>218</v>
      </c>
      <c r="AM409" t="s">
        <v>219</v>
      </c>
      <c r="AN409" t="s">
        <v>220</v>
      </c>
      <c r="AO409" t="s">
        <v>1433</v>
      </c>
      <c r="AP409" t="s">
        <v>1434</v>
      </c>
      <c r="AQ409" t="s">
        <v>74</v>
      </c>
      <c r="AR409" t="s">
        <v>1435</v>
      </c>
      <c r="AS409" t="s">
        <v>1436</v>
      </c>
      <c r="AT409" t="s">
        <v>496</v>
      </c>
      <c r="AU409">
        <v>2019</v>
      </c>
      <c r="AV409">
        <v>72</v>
      </c>
      <c r="AW409">
        <v>3</v>
      </c>
      <c r="AX409" t="s">
        <v>74</v>
      </c>
      <c r="AY409" t="s">
        <v>74</v>
      </c>
      <c r="AZ409" t="s">
        <v>74</v>
      </c>
      <c r="BA409" t="s">
        <v>74</v>
      </c>
      <c r="BB409">
        <v>445</v>
      </c>
      <c r="BC409">
        <v>476</v>
      </c>
      <c r="BD409" t="s">
        <v>74</v>
      </c>
      <c r="BE409" t="s">
        <v>7261</v>
      </c>
      <c r="BF409" t="str">
        <f>HYPERLINK("http://dx.doi.org/10.1111/peps.12317","http://dx.doi.org/10.1111/peps.12317")</f>
        <v>http://dx.doi.org/10.1111/peps.12317</v>
      </c>
      <c r="BG409" t="s">
        <v>74</v>
      </c>
      <c r="BH409" t="s">
        <v>74</v>
      </c>
      <c r="BI409">
        <v>32</v>
      </c>
      <c r="BJ409" t="s">
        <v>202</v>
      </c>
      <c r="BK409" t="s">
        <v>94</v>
      </c>
      <c r="BL409" t="s">
        <v>203</v>
      </c>
      <c r="BM409" t="s">
        <v>7262</v>
      </c>
      <c r="BN409" t="s">
        <v>74</v>
      </c>
      <c r="BO409" t="s">
        <v>74</v>
      </c>
      <c r="BP409" t="s">
        <v>74</v>
      </c>
      <c r="BQ409" t="s">
        <v>74</v>
      </c>
      <c r="BR409" t="s">
        <v>97</v>
      </c>
      <c r="BS409" t="s">
        <v>7263</v>
      </c>
      <c r="BT409" t="str">
        <f>HYPERLINK("https%3A%2F%2Fwww.webofscience.com%2Fwos%2Fwoscc%2Ffull-record%2FWOS:000478084200005","View Full Record in Web of Science")</f>
        <v>View Full Record in Web of Science</v>
      </c>
    </row>
    <row r="410" spans="1:72" x14ac:dyDescent="0.25">
      <c r="A410" t="s">
        <v>72</v>
      </c>
      <c r="B410" t="s">
        <v>7264</v>
      </c>
      <c r="C410" t="s">
        <v>74</v>
      </c>
      <c r="D410" t="s">
        <v>74</v>
      </c>
      <c r="E410" t="s">
        <v>74</v>
      </c>
      <c r="F410" t="s">
        <v>7265</v>
      </c>
      <c r="G410" t="s">
        <v>74</v>
      </c>
      <c r="H410" t="s">
        <v>74</v>
      </c>
      <c r="I410" t="s">
        <v>7266</v>
      </c>
      <c r="J410" t="s">
        <v>779</v>
      </c>
      <c r="K410" t="s">
        <v>74</v>
      </c>
      <c r="L410" t="s">
        <v>74</v>
      </c>
      <c r="M410" t="s">
        <v>77</v>
      </c>
      <c r="N410" t="s">
        <v>78</v>
      </c>
      <c r="O410" t="s">
        <v>74</v>
      </c>
      <c r="P410" t="s">
        <v>74</v>
      </c>
      <c r="Q410" t="s">
        <v>74</v>
      </c>
      <c r="R410" t="s">
        <v>74</v>
      </c>
      <c r="S410" t="s">
        <v>74</v>
      </c>
      <c r="T410" t="s">
        <v>74</v>
      </c>
      <c r="U410" t="s">
        <v>7267</v>
      </c>
      <c r="V410" t="s">
        <v>7268</v>
      </c>
      <c r="W410" t="s">
        <v>7269</v>
      </c>
      <c r="X410" t="s">
        <v>7270</v>
      </c>
      <c r="Y410" t="s">
        <v>7271</v>
      </c>
      <c r="Z410" t="s">
        <v>7272</v>
      </c>
      <c r="AA410" t="s">
        <v>7273</v>
      </c>
      <c r="AB410" t="s">
        <v>7274</v>
      </c>
      <c r="AC410" t="s">
        <v>7275</v>
      </c>
      <c r="AD410" t="s">
        <v>7276</v>
      </c>
      <c r="AE410" t="s">
        <v>7277</v>
      </c>
      <c r="AF410" t="s">
        <v>74</v>
      </c>
      <c r="AG410">
        <v>83</v>
      </c>
      <c r="AH410">
        <v>20</v>
      </c>
      <c r="AI410">
        <v>20</v>
      </c>
      <c r="AJ410">
        <v>9</v>
      </c>
      <c r="AK410">
        <v>73</v>
      </c>
      <c r="AL410" t="s">
        <v>218</v>
      </c>
      <c r="AM410" t="s">
        <v>219</v>
      </c>
      <c r="AN410" t="s">
        <v>220</v>
      </c>
      <c r="AO410" t="s">
        <v>789</v>
      </c>
      <c r="AP410" t="s">
        <v>1320</v>
      </c>
      <c r="AQ410" t="s">
        <v>74</v>
      </c>
      <c r="AR410" t="s">
        <v>790</v>
      </c>
      <c r="AS410" t="s">
        <v>791</v>
      </c>
      <c r="AT410" t="s">
        <v>200</v>
      </c>
      <c r="AU410">
        <v>2019</v>
      </c>
      <c r="AV410">
        <v>36</v>
      </c>
      <c r="AW410">
        <v>2</v>
      </c>
      <c r="AX410" t="s">
        <v>74</v>
      </c>
      <c r="AY410" t="s">
        <v>74</v>
      </c>
      <c r="AZ410" t="s">
        <v>74</v>
      </c>
      <c r="BA410" t="s">
        <v>74</v>
      </c>
      <c r="BB410">
        <v>149</v>
      </c>
      <c r="BC410">
        <v>171</v>
      </c>
      <c r="BD410" t="s">
        <v>74</v>
      </c>
      <c r="BE410" t="s">
        <v>7278</v>
      </c>
      <c r="BF410" t="str">
        <f>HYPERLINK("http://dx.doi.org/10.1111/jpim.12473","http://dx.doi.org/10.1111/jpim.12473")</f>
        <v>http://dx.doi.org/10.1111/jpim.12473</v>
      </c>
      <c r="BG410" t="s">
        <v>74</v>
      </c>
      <c r="BH410" t="s">
        <v>74</v>
      </c>
      <c r="BI410">
        <v>23</v>
      </c>
      <c r="BJ410" t="s">
        <v>794</v>
      </c>
      <c r="BK410" t="s">
        <v>147</v>
      </c>
      <c r="BL410" t="s">
        <v>795</v>
      </c>
      <c r="BM410" t="s">
        <v>7279</v>
      </c>
      <c r="BN410" t="s">
        <v>74</v>
      </c>
      <c r="BO410" t="s">
        <v>111</v>
      </c>
      <c r="BP410" t="s">
        <v>74</v>
      </c>
      <c r="BQ410" t="s">
        <v>74</v>
      </c>
      <c r="BR410" t="s">
        <v>97</v>
      </c>
      <c r="BS410" t="s">
        <v>7280</v>
      </c>
      <c r="BT410" t="str">
        <f>HYPERLINK("https%3A%2F%2Fwww.webofscience.com%2Fwos%2Fwoscc%2Ffull-record%2FWOS:000457609500002","View Full Record in Web of Science")</f>
        <v>View Full Record in Web of Science</v>
      </c>
    </row>
    <row r="411" spans="1:72" x14ac:dyDescent="0.25">
      <c r="A411" t="s">
        <v>72</v>
      </c>
      <c r="B411" t="s">
        <v>7281</v>
      </c>
      <c r="C411" t="s">
        <v>74</v>
      </c>
      <c r="D411" t="s">
        <v>74</v>
      </c>
      <c r="E411" t="s">
        <v>74</v>
      </c>
      <c r="F411" t="s">
        <v>7282</v>
      </c>
      <c r="G411" t="s">
        <v>74</v>
      </c>
      <c r="H411" t="s">
        <v>74</v>
      </c>
      <c r="I411" t="s">
        <v>7283</v>
      </c>
      <c r="J411" t="s">
        <v>2297</v>
      </c>
      <c r="K411" t="s">
        <v>74</v>
      </c>
      <c r="L411" t="s">
        <v>74</v>
      </c>
      <c r="M411" t="s">
        <v>77</v>
      </c>
      <c r="N411" t="s">
        <v>78</v>
      </c>
      <c r="O411" t="s">
        <v>74</v>
      </c>
      <c r="P411" t="s">
        <v>74</v>
      </c>
      <c r="Q411" t="s">
        <v>74</v>
      </c>
      <c r="R411" t="s">
        <v>74</v>
      </c>
      <c r="S411" t="s">
        <v>74</v>
      </c>
      <c r="T411" t="s">
        <v>7284</v>
      </c>
      <c r="U411" t="s">
        <v>7285</v>
      </c>
      <c r="V411" t="s">
        <v>7286</v>
      </c>
      <c r="W411" t="s">
        <v>7287</v>
      </c>
      <c r="X411" t="s">
        <v>7288</v>
      </c>
      <c r="Y411" t="s">
        <v>7289</v>
      </c>
      <c r="Z411" t="s">
        <v>7290</v>
      </c>
      <c r="AA411" t="s">
        <v>74</v>
      </c>
      <c r="AB411" t="s">
        <v>7291</v>
      </c>
      <c r="AC411" t="s">
        <v>74</v>
      </c>
      <c r="AD411" t="s">
        <v>74</v>
      </c>
      <c r="AE411" t="s">
        <v>74</v>
      </c>
      <c r="AF411" t="s">
        <v>74</v>
      </c>
      <c r="AG411">
        <v>122</v>
      </c>
      <c r="AH411">
        <v>20</v>
      </c>
      <c r="AI411">
        <v>22</v>
      </c>
      <c r="AJ411">
        <v>1</v>
      </c>
      <c r="AK411">
        <v>66</v>
      </c>
      <c r="AL411" t="s">
        <v>2304</v>
      </c>
      <c r="AM411" t="s">
        <v>160</v>
      </c>
      <c r="AN411" t="s">
        <v>2305</v>
      </c>
      <c r="AO411" t="s">
        <v>2306</v>
      </c>
      <c r="AP411" t="s">
        <v>74</v>
      </c>
      <c r="AQ411" t="s">
        <v>74</v>
      </c>
      <c r="AR411" t="s">
        <v>2307</v>
      </c>
      <c r="AS411" t="s">
        <v>2308</v>
      </c>
      <c r="AT411" t="s">
        <v>7292</v>
      </c>
      <c r="AU411">
        <v>2018</v>
      </c>
      <c r="AV411">
        <v>125</v>
      </c>
      <c r="AW411" t="s">
        <v>74</v>
      </c>
      <c r="AX411" t="s">
        <v>74</v>
      </c>
      <c r="AY411" t="s">
        <v>74</v>
      </c>
      <c r="AZ411" t="s">
        <v>74</v>
      </c>
      <c r="BA411" t="s">
        <v>74</v>
      </c>
      <c r="BB411">
        <v>21</v>
      </c>
      <c r="BC411">
        <v>29</v>
      </c>
      <c r="BD411" t="s">
        <v>74</v>
      </c>
      <c r="BE411" t="s">
        <v>7293</v>
      </c>
      <c r="BF411" t="str">
        <f>HYPERLINK("http://dx.doi.org/10.1016/j.paid.2017.12.028","http://dx.doi.org/10.1016/j.paid.2017.12.028")</f>
        <v>http://dx.doi.org/10.1016/j.paid.2017.12.028</v>
      </c>
      <c r="BG411" t="s">
        <v>74</v>
      </c>
      <c r="BH411" t="s">
        <v>74</v>
      </c>
      <c r="BI411">
        <v>9</v>
      </c>
      <c r="BJ411" t="s">
        <v>459</v>
      </c>
      <c r="BK411" t="s">
        <v>94</v>
      </c>
      <c r="BL411" t="s">
        <v>460</v>
      </c>
      <c r="BM411" t="s">
        <v>7294</v>
      </c>
      <c r="BN411" t="s">
        <v>74</v>
      </c>
      <c r="BO411" t="s">
        <v>74</v>
      </c>
      <c r="BP411" t="s">
        <v>74</v>
      </c>
      <c r="BQ411" t="s">
        <v>74</v>
      </c>
      <c r="BR411" t="s">
        <v>97</v>
      </c>
      <c r="BS411" t="s">
        <v>7295</v>
      </c>
      <c r="BT411" t="str">
        <f>HYPERLINK("https%3A%2F%2Fwww.webofscience.com%2Fwos%2Fwoscc%2Ffull-record%2FWOS:000425555900004","View Full Record in Web of Science")</f>
        <v>View Full Record in Web of Science</v>
      </c>
    </row>
    <row r="412" spans="1:72" x14ac:dyDescent="0.25">
      <c r="A412" t="s">
        <v>72</v>
      </c>
      <c r="B412" t="s">
        <v>7296</v>
      </c>
      <c r="C412" t="s">
        <v>74</v>
      </c>
      <c r="D412" t="s">
        <v>74</v>
      </c>
      <c r="E412" t="s">
        <v>74</v>
      </c>
      <c r="F412" t="s">
        <v>7297</v>
      </c>
      <c r="G412" t="s">
        <v>74</v>
      </c>
      <c r="H412" t="s">
        <v>74</v>
      </c>
      <c r="I412" t="s">
        <v>7298</v>
      </c>
      <c r="J412" t="s">
        <v>6978</v>
      </c>
      <c r="K412" t="s">
        <v>74</v>
      </c>
      <c r="L412" t="s">
        <v>74</v>
      </c>
      <c r="M412" t="s">
        <v>77</v>
      </c>
      <c r="N412" t="s">
        <v>78</v>
      </c>
      <c r="O412" t="s">
        <v>74</v>
      </c>
      <c r="P412" t="s">
        <v>74</v>
      </c>
      <c r="Q412" t="s">
        <v>74</v>
      </c>
      <c r="R412" t="s">
        <v>74</v>
      </c>
      <c r="S412" t="s">
        <v>74</v>
      </c>
      <c r="T412" t="s">
        <v>7299</v>
      </c>
      <c r="U412" t="s">
        <v>7300</v>
      </c>
      <c r="V412" t="s">
        <v>7301</v>
      </c>
      <c r="W412" t="s">
        <v>7302</v>
      </c>
      <c r="X412" t="s">
        <v>7303</v>
      </c>
      <c r="Y412" t="s">
        <v>7304</v>
      </c>
      <c r="Z412" t="s">
        <v>7305</v>
      </c>
      <c r="AA412" t="s">
        <v>7306</v>
      </c>
      <c r="AB412" t="s">
        <v>7307</v>
      </c>
      <c r="AC412" t="s">
        <v>7308</v>
      </c>
      <c r="AD412" t="s">
        <v>7309</v>
      </c>
      <c r="AE412" t="s">
        <v>7310</v>
      </c>
      <c r="AF412" t="s">
        <v>74</v>
      </c>
      <c r="AG412">
        <v>88</v>
      </c>
      <c r="AH412">
        <v>20</v>
      </c>
      <c r="AI412">
        <v>20</v>
      </c>
      <c r="AJ412">
        <v>2</v>
      </c>
      <c r="AK412">
        <v>53</v>
      </c>
      <c r="AL412" t="s">
        <v>1099</v>
      </c>
      <c r="AM412" t="s">
        <v>305</v>
      </c>
      <c r="AN412" t="s">
        <v>1100</v>
      </c>
      <c r="AO412" t="s">
        <v>6988</v>
      </c>
      <c r="AP412" t="s">
        <v>6989</v>
      </c>
      <c r="AQ412" t="s">
        <v>74</v>
      </c>
      <c r="AR412" t="s">
        <v>6990</v>
      </c>
      <c r="AS412" t="s">
        <v>6991</v>
      </c>
      <c r="AT412" t="s">
        <v>91</v>
      </c>
      <c r="AU412">
        <v>2016</v>
      </c>
      <c r="AV412">
        <v>39</v>
      </c>
      <c r="AW412">
        <v>4</v>
      </c>
      <c r="AX412" t="s">
        <v>74</v>
      </c>
      <c r="AY412" t="s">
        <v>74</v>
      </c>
      <c r="AZ412" t="s">
        <v>74</v>
      </c>
      <c r="BA412" t="s">
        <v>74</v>
      </c>
      <c r="BB412">
        <v>757</v>
      </c>
      <c r="BC412">
        <v>782</v>
      </c>
      <c r="BD412" t="s">
        <v>74</v>
      </c>
      <c r="BE412" t="s">
        <v>7311</v>
      </c>
      <c r="BF412" t="str">
        <f>HYPERLINK("http://dx.doi.org/10.1080/15309576.2015.1137764","http://dx.doi.org/10.1080/15309576.2015.1137764")</f>
        <v>http://dx.doi.org/10.1080/15309576.2015.1137764</v>
      </c>
      <c r="BG412" t="s">
        <v>74</v>
      </c>
      <c r="BH412" t="s">
        <v>74</v>
      </c>
      <c r="BI412">
        <v>26</v>
      </c>
      <c r="BJ412" t="s">
        <v>1564</v>
      </c>
      <c r="BK412" t="s">
        <v>94</v>
      </c>
      <c r="BL412" t="s">
        <v>1564</v>
      </c>
      <c r="BM412" t="s">
        <v>7312</v>
      </c>
      <c r="BN412" t="s">
        <v>74</v>
      </c>
      <c r="BO412" t="s">
        <v>74</v>
      </c>
      <c r="BP412" t="s">
        <v>74</v>
      </c>
      <c r="BQ412" t="s">
        <v>74</v>
      </c>
      <c r="BR412" t="s">
        <v>97</v>
      </c>
      <c r="BS412" t="s">
        <v>7313</v>
      </c>
      <c r="BT412" t="str">
        <f>HYPERLINK("https%3A%2F%2Fwww.webofscience.com%2Fwos%2Fwoscc%2Ffull-record%2FWOS:000384452600001","View Full Record in Web of Science")</f>
        <v>View Full Record in Web of Science</v>
      </c>
    </row>
    <row r="413" spans="1:72" x14ac:dyDescent="0.25">
      <c r="A413" t="s">
        <v>72</v>
      </c>
      <c r="B413" t="s">
        <v>7314</v>
      </c>
      <c r="C413" t="s">
        <v>74</v>
      </c>
      <c r="D413" t="s">
        <v>74</v>
      </c>
      <c r="E413" t="s">
        <v>74</v>
      </c>
      <c r="F413" t="s">
        <v>7315</v>
      </c>
      <c r="G413" t="s">
        <v>74</v>
      </c>
      <c r="H413" t="s">
        <v>74</v>
      </c>
      <c r="I413" t="s">
        <v>7316</v>
      </c>
      <c r="J413" t="s">
        <v>7317</v>
      </c>
      <c r="K413" t="s">
        <v>74</v>
      </c>
      <c r="L413" t="s">
        <v>74</v>
      </c>
      <c r="M413" t="s">
        <v>77</v>
      </c>
      <c r="N413" t="s">
        <v>78</v>
      </c>
      <c r="O413" t="s">
        <v>74</v>
      </c>
      <c r="P413" t="s">
        <v>74</v>
      </c>
      <c r="Q413" t="s">
        <v>74</v>
      </c>
      <c r="R413" t="s">
        <v>74</v>
      </c>
      <c r="S413" t="s">
        <v>74</v>
      </c>
      <c r="T413" t="s">
        <v>7318</v>
      </c>
      <c r="U413" t="s">
        <v>7319</v>
      </c>
      <c r="V413" t="s">
        <v>7320</v>
      </c>
      <c r="W413" t="s">
        <v>7321</v>
      </c>
      <c r="X413" t="s">
        <v>7322</v>
      </c>
      <c r="Y413" t="s">
        <v>7323</v>
      </c>
      <c r="Z413" t="s">
        <v>7324</v>
      </c>
      <c r="AA413" t="s">
        <v>7325</v>
      </c>
      <c r="AB413" t="s">
        <v>7326</v>
      </c>
      <c r="AC413" t="s">
        <v>74</v>
      </c>
      <c r="AD413" t="s">
        <v>74</v>
      </c>
      <c r="AE413" t="s">
        <v>74</v>
      </c>
      <c r="AF413" t="s">
        <v>74</v>
      </c>
      <c r="AG413">
        <v>56</v>
      </c>
      <c r="AH413">
        <v>20</v>
      </c>
      <c r="AI413">
        <v>21</v>
      </c>
      <c r="AJ413">
        <v>2</v>
      </c>
      <c r="AK413">
        <v>74</v>
      </c>
      <c r="AL413" t="s">
        <v>7327</v>
      </c>
      <c r="AM413" t="s">
        <v>7328</v>
      </c>
      <c r="AN413" t="s">
        <v>7329</v>
      </c>
      <c r="AO413" t="s">
        <v>7330</v>
      </c>
      <c r="AP413" t="s">
        <v>74</v>
      </c>
      <c r="AQ413" t="s">
        <v>74</v>
      </c>
      <c r="AR413" t="s">
        <v>7331</v>
      </c>
      <c r="AS413" t="s">
        <v>7332</v>
      </c>
      <c r="AT413" t="s">
        <v>165</v>
      </c>
      <c r="AU413">
        <v>2016</v>
      </c>
      <c r="AV413">
        <v>66</v>
      </c>
      <c r="AW413">
        <v>3</v>
      </c>
      <c r="AX413" t="s">
        <v>74</v>
      </c>
      <c r="AY413" t="s">
        <v>74</v>
      </c>
      <c r="AZ413" t="s">
        <v>74</v>
      </c>
      <c r="BA413" t="s">
        <v>74</v>
      </c>
      <c r="BB413">
        <v>117</v>
      </c>
      <c r="BC413">
        <v>126</v>
      </c>
      <c r="BD413" t="s">
        <v>74</v>
      </c>
      <c r="BE413" t="s">
        <v>7333</v>
      </c>
      <c r="BF413" t="str">
        <f>HYPERLINK("http://dx.doi.org/10.1016/j.erap.2016.04.004","http://dx.doi.org/10.1016/j.erap.2016.04.004")</f>
        <v>http://dx.doi.org/10.1016/j.erap.2016.04.004</v>
      </c>
      <c r="BG413" t="s">
        <v>74</v>
      </c>
      <c r="BH413" t="s">
        <v>74</v>
      </c>
      <c r="BI413">
        <v>10</v>
      </c>
      <c r="BJ413" t="s">
        <v>692</v>
      </c>
      <c r="BK413" t="s">
        <v>94</v>
      </c>
      <c r="BL413" t="s">
        <v>460</v>
      </c>
      <c r="BM413" t="s">
        <v>7334</v>
      </c>
      <c r="BN413" t="s">
        <v>74</v>
      </c>
      <c r="BO413" t="s">
        <v>74</v>
      </c>
      <c r="BP413" t="s">
        <v>74</v>
      </c>
      <c r="BQ413" t="s">
        <v>74</v>
      </c>
      <c r="BR413" t="s">
        <v>97</v>
      </c>
      <c r="BS413" t="s">
        <v>7335</v>
      </c>
      <c r="BT413" t="str">
        <f>HYPERLINK("https%3A%2F%2Fwww.webofscience.com%2Fwos%2Fwoscc%2Ffull-record%2FWOS:000378661400004","View Full Record in Web of Science")</f>
        <v>View Full Record in Web of Science</v>
      </c>
    </row>
    <row r="414" spans="1:72" x14ac:dyDescent="0.25">
      <c r="A414" t="s">
        <v>72</v>
      </c>
      <c r="B414" t="s">
        <v>7336</v>
      </c>
      <c r="C414" t="s">
        <v>74</v>
      </c>
      <c r="D414" t="s">
        <v>74</v>
      </c>
      <c r="E414" t="s">
        <v>74</v>
      </c>
      <c r="F414" t="s">
        <v>7337</v>
      </c>
      <c r="G414" t="s">
        <v>74</v>
      </c>
      <c r="H414" t="s">
        <v>74</v>
      </c>
      <c r="I414" t="s">
        <v>7338</v>
      </c>
      <c r="J414" t="s">
        <v>7148</v>
      </c>
      <c r="K414" t="s">
        <v>74</v>
      </c>
      <c r="L414" t="s">
        <v>74</v>
      </c>
      <c r="M414" t="s">
        <v>77</v>
      </c>
      <c r="N414" t="s">
        <v>78</v>
      </c>
      <c r="O414" t="s">
        <v>74</v>
      </c>
      <c r="P414" t="s">
        <v>74</v>
      </c>
      <c r="Q414" t="s">
        <v>74</v>
      </c>
      <c r="R414" t="s">
        <v>74</v>
      </c>
      <c r="S414" t="s">
        <v>74</v>
      </c>
      <c r="T414" t="s">
        <v>74</v>
      </c>
      <c r="U414" t="s">
        <v>7339</v>
      </c>
      <c r="V414" t="s">
        <v>7340</v>
      </c>
      <c r="W414" t="s">
        <v>7341</v>
      </c>
      <c r="X414" t="s">
        <v>7342</v>
      </c>
      <c r="Y414" t="s">
        <v>7343</v>
      </c>
      <c r="Z414" t="s">
        <v>7344</v>
      </c>
      <c r="AA414" t="s">
        <v>74</v>
      </c>
      <c r="AB414" t="s">
        <v>7345</v>
      </c>
      <c r="AC414" t="s">
        <v>7346</v>
      </c>
      <c r="AD414" t="s">
        <v>7347</v>
      </c>
      <c r="AE414" t="s">
        <v>7348</v>
      </c>
      <c r="AF414" t="s">
        <v>74</v>
      </c>
      <c r="AG414">
        <v>41</v>
      </c>
      <c r="AH414">
        <v>20</v>
      </c>
      <c r="AI414">
        <v>24</v>
      </c>
      <c r="AJ414">
        <v>5</v>
      </c>
      <c r="AK414">
        <v>87</v>
      </c>
      <c r="AL414" t="s">
        <v>138</v>
      </c>
      <c r="AM414" t="s">
        <v>139</v>
      </c>
      <c r="AN414" t="s">
        <v>140</v>
      </c>
      <c r="AO414" t="s">
        <v>7156</v>
      </c>
      <c r="AP414" t="s">
        <v>7157</v>
      </c>
      <c r="AQ414" t="s">
        <v>74</v>
      </c>
      <c r="AR414" t="s">
        <v>7158</v>
      </c>
      <c r="AS414" t="s">
        <v>7159</v>
      </c>
      <c r="AT414" t="s">
        <v>375</v>
      </c>
      <c r="AU414">
        <v>2015</v>
      </c>
      <c r="AV414">
        <v>45</v>
      </c>
      <c r="AW414">
        <v>12</v>
      </c>
      <c r="AX414" t="s">
        <v>74</v>
      </c>
      <c r="AY414" t="s">
        <v>74</v>
      </c>
      <c r="AZ414" t="s">
        <v>74</v>
      </c>
      <c r="BA414" t="s">
        <v>74</v>
      </c>
      <c r="BB414">
        <v>615</v>
      </c>
      <c r="BC414">
        <v>621</v>
      </c>
      <c r="BD414" t="s">
        <v>74</v>
      </c>
      <c r="BE414" t="s">
        <v>7349</v>
      </c>
      <c r="BF414" t="str">
        <f>HYPERLINK("http://dx.doi.org/10.1097/NNA.0000000000000274","http://dx.doi.org/10.1097/NNA.0000000000000274")</f>
        <v>http://dx.doi.org/10.1097/NNA.0000000000000274</v>
      </c>
      <c r="BG414" t="s">
        <v>74</v>
      </c>
      <c r="BH414" t="s">
        <v>74</v>
      </c>
      <c r="BI414">
        <v>7</v>
      </c>
      <c r="BJ414" t="s">
        <v>980</v>
      </c>
      <c r="BK414" t="s">
        <v>147</v>
      </c>
      <c r="BL414" t="s">
        <v>980</v>
      </c>
      <c r="BM414" t="s">
        <v>7350</v>
      </c>
      <c r="BN414">
        <v>26565640</v>
      </c>
      <c r="BO414" t="s">
        <v>74</v>
      </c>
      <c r="BP414" t="s">
        <v>74</v>
      </c>
      <c r="BQ414" t="s">
        <v>74</v>
      </c>
      <c r="BR414" t="s">
        <v>97</v>
      </c>
      <c r="BS414" t="s">
        <v>7351</v>
      </c>
      <c r="BT414" t="str">
        <f>HYPERLINK("https%3A%2F%2Fwww.webofscience.com%2Fwos%2Fwoscc%2Ffull-record%2FWOS:000365686300007","View Full Record in Web of Science")</f>
        <v>View Full Record in Web of Science</v>
      </c>
    </row>
    <row r="415" spans="1:72" x14ac:dyDescent="0.25">
      <c r="A415" t="s">
        <v>72</v>
      </c>
      <c r="B415" t="s">
        <v>7352</v>
      </c>
      <c r="C415" t="s">
        <v>74</v>
      </c>
      <c r="D415" t="s">
        <v>74</v>
      </c>
      <c r="E415" t="s">
        <v>74</v>
      </c>
      <c r="F415" t="s">
        <v>7353</v>
      </c>
      <c r="G415" t="s">
        <v>74</v>
      </c>
      <c r="H415" t="s">
        <v>74</v>
      </c>
      <c r="I415" t="s">
        <v>7354</v>
      </c>
      <c r="J415" t="s">
        <v>5615</v>
      </c>
      <c r="K415" t="s">
        <v>74</v>
      </c>
      <c r="L415" t="s">
        <v>74</v>
      </c>
      <c r="M415" t="s">
        <v>77</v>
      </c>
      <c r="N415" t="s">
        <v>78</v>
      </c>
      <c r="O415" t="s">
        <v>74</v>
      </c>
      <c r="P415" t="s">
        <v>74</v>
      </c>
      <c r="Q415" t="s">
        <v>74</v>
      </c>
      <c r="R415" t="s">
        <v>74</v>
      </c>
      <c r="S415" t="s">
        <v>74</v>
      </c>
      <c r="T415" t="s">
        <v>7355</v>
      </c>
      <c r="U415" t="s">
        <v>7356</v>
      </c>
      <c r="V415" t="s">
        <v>7357</v>
      </c>
      <c r="W415" t="s">
        <v>7358</v>
      </c>
      <c r="X415" t="s">
        <v>7359</v>
      </c>
      <c r="Y415" t="s">
        <v>7360</v>
      </c>
      <c r="Z415" t="s">
        <v>7361</v>
      </c>
      <c r="AA415" t="s">
        <v>7362</v>
      </c>
      <c r="AB415" t="s">
        <v>7363</v>
      </c>
      <c r="AC415" t="s">
        <v>74</v>
      </c>
      <c r="AD415" t="s">
        <v>74</v>
      </c>
      <c r="AE415" t="s">
        <v>74</v>
      </c>
      <c r="AF415" t="s">
        <v>74</v>
      </c>
      <c r="AG415">
        <v>72</v>
      </c>
      <c r="AH415">
        <v>20</v>
      </c>
      <c r="AI415">
        <v>21</v>
      </c>
      <c r="AJ415">
        <v>1</v>
      </c>
      <c r="AK415">
        <v>46</v>
      </c>
      <c r="AL415" t="s">
        <v>2032</v>
      </c>
      <c r="AM415" t="s">
        <v>666</v>
      </c>
      <c r="AN415" t="s">
        <v>667</v>
      </c>
      <c r="AO415" t="s">
        <v>5625</v>
      </c>
      <c r="AP415" t="s">
        <v>74</v>
      </c>
      <c r="AQ415" t="s">
        <v>74</v>
      </c>
      <c r="AR415" t="s">
        <v>5627</v>
      </c>
      <c r="AS415" t="s">
        <v>5628</v>
      </c>
      <c r="AT415" t="s">
        <v>74</v>
      </c>
      <c r="AU415">
        <v>2010</v>
      </c>
      <c r="AV415">
        <v>4</v>
      </c>
      <c r="AW415">
        <v>4</v>
      </c>
      <c r="AX415" t="s">
        <v>74</v>
      </c>
      <c r="AY415" t="s">
        <v>74</v>
      </c>
      <c r="AZ415" t="s">
        <v>74</v>
      </c>
      <c r="BA415" t="s">
        <v>74</v>
      </c>
      <c r="BB415">
        <v>360</v>
      </c>
      <c r="BC415">
        <v>384</v>
      </c>
      <c r="BD415" t="s">
        <v>74</v>
      </c>
      <c r="BE415" t="s">
        <v>7364</v>
      </c>
      <c r="BF415" t="str">
        <f>HYPERLINK("http://dx.doi.org/10.1108/17506141011094145","http://dx.doi.org/10.1108/17506141011094145")</f>
        <v>http://dx.doi.org/10.1108/17506141011094145</v>
      </c>
      <c r="BG415" t="s">
        <v>74</v>
      </c>
      <c r="BH415" t="s">
        <v>74</v>
      </c>
      <c r="BI415">
        <v>25</v>
      </c>
      <c r="BJ415" t="s">
        <v>442</v>
      </c>
      <c r="BK415" t="s">
        <v>94</v>
      </c>
      <c r="BL415" t="s">
        <v>95</v>
      </c>
      <c r="BM415" t="s">
        <v>7365</v>
      </c>
      <c r="BN415" t="s">
        <v>74</v>
      </c>
      <c r="BO415" t="s">
        <v>74</v>
      </c>
      <c r="BP415" t="s">
        <v>74</v>
      </c>
      <c r="BQ415" t="s">
        <v>74</v>
      </c>
      <c r="BR415" t="s">
        <v>97</v>
      </c>
      <c r="BS415" t="s">
        <v>7366</v>
      </c>
      <c r="BT415" t="str">
        <f>HYPERLINK("https%3A%2F%2Fwww.webofscience.com%2Fwos%2Fwoscc%2Ffull-record%2FWOS:000288041700007","View Full Record in Web of Science")</f>
        <v>View Full Record in Web of Science</v>
      </c>
    </row>
    <row r="416" spans="1:72" x14ac:dyDescent="0.25">
      <c r="A416" t="s">
        <v>72</v>
      </c>
      <c r="B416" t="s">
        <v>7367</v>
      </c>
      <c r="C416" t="s">
        <v>74</v>
      </c>
      <c r="D416" t="s">
        <v>74</v>
      </c>
      <c r="E416" t="s">
        <v>74</v>
      </c>
      <c r="F416" t="s">
        <v>7368</v>
      </c>
      <c r="G416" t="s">
        <v>74</v>
      </c>
      <c r="H416" t="s">
        <v>74</v>
      </c>
      <c r="I416" t="s">
        <v>7369</v>
      </c>
      <c r="J416" t="s">
        <v>7370</v>
      </c>
      <c r="K416" t="s">
        <v>74</v>
      </c>
      <c r="L416" t="s">
        <v>74</v>
      </c>
      <c r="M416" t="s">
        <v>77</v>
      </c>
      <c r="N416" t="s">
        <v>78</v>
      </c>
      <c r="O416" t="s">
        <v>74</v>
      </c>
      <c r="P416" t="s">
        <v>74</v>
      </c>
      <c r="Q416" t="s">
        <v>74</v>
      </c>
      <c r="R416" t="s">
        <v>74</v>
      </c>
      <c r="S416" t="s">
        <v>74</v>
      </c>
      <c r="T416" t="s">
        <v>7371</v>
      </c>
      <c r="U416" t="s">
        <v>7372</v>
      </c>
      <c r="V416" t="s">
        <v>7373</v>
      </c>
      <c r="W416" t="s">
        <v>7374</v>
      </c>
      <c r="X416" t="s">
        <v>7375</v>
      </c>
      <c r="Y416" t="s">
        <v>7376</v>
      </c>
      <c r="Z416" t="s">
        <v>7377</v>
      </c>
      <c r="AA416" t="s">
        <v>7378</v>
      </c>
      <c r="AB416" t="s">
        <v>7379</v>
      </c>
      <c r="AC416" t="s">
        <v>74</v>
      </c>
      <c r="AD416" t="s">
        <v>74</v>
      </c>
      <c r="AE416" t="s">
        <v>74</v>
      </c>
      <c r="AF416" t="s">
        <v>74</v>
      </c>
      <c r="AG416">
        <v>38</v>
      </c>
      <c r="AH416">
        <v>20</v>
      </c>
      <c r="AI416">
        <v>20</v>
      </c>
      <c r="AJ416">
        <v>3</v>
      </c>
      <c r="AK416">
        <v>17</v>
      </c>
      <c r="AL416" t="s">
        <v>2652</v>
      </c>
      <c r="AM416" t="s">
        <v>2653</v>
      </c>
      <c r="AN416" t="s">
        <v>2654</v>
      </c>
      <c r="AO416" t="s">
        <v>7380</v>
      </c>
      <c r="AP416" t="s">
        <v>7381</v>
      </c>
      <c r="AQ416" t="s">
        <v>74</v>
      </c>
      <c r="AR416" t="s">
        <v>7382</v>
      </c>
      <c r="AS416" t="s">
        <v>7383</v>
      </c>
      <c r="AT416" t="s">
        <v>74</v>
      </c>
      <c r="AU416">
        <v>2010</v>
      </c>
      <c r="AV416">
        <v>26</v>
      </c>
      <c r="AW416">
        <v>1</v>
      </c>
      <c r="AX416" t="s">
        <v>74</v>
      </c>
      <c r="AY416" t="s">
        <v>74</v>
      </c>
      <c r="AZ416" t="s">
        <v>74</v>
      </c>
      <c r="BA416" t="s">
        <v>74</v>
      </c>
      <c r="BB416">
        <v>3</v>
      </c>
      <c r="BC416">
        <v>10</v>
      </c>
      <c r="BD416" t="s">
        <v>74</v>
      </c>
      <c r="BE416" t="s">
        <v>7384</v>
      </c>
      <c r="BF416" t="str">
        <f>HYPERLINK("http://dx.doi.org/10.1027/1015-5759/a000002","http://dx.doi.org/10.1027/1015-5759/a000002")</f>
        <v>http://dx.doi.org/10.1027/1015-5759/a000002</v>
      </c>
      <c r="BG416" t="s">
        <v>74</v>
      </c>
      <c r="BH416" t="s">
        <v>74</v>
      </c>
      <c r="BI416">
        <v>8</v>
      </c>
      <c r="BJ416" t="s">
        <v>692</v>
      </c>
      <c r="BK416" t="s">
        <v>94</v>
      </c>
      <c r="BL416" t="s">
        <v>460</v>
      </c>
      <c r="BM416" t="s">
        <v>7385</v>
      </c>
      <c r="BN416" t="s">
        <v>74</v>
      </c>
      <c r="BO416" t="s">
        <v>74</v>
      </c>
      <c r="BP416" t="s">
        <v>74</v>
      </c>
      <c r="BQ416" t="s">
        <v>74</v>
      </c>
      <c r="BR416" t="s">
        <v>97</v>
      </c>
      <c r="BS416" t="s">
        <v>7386</v>
      </c>
      <c r="BT416" t="str">
        <f>HYPERLINK("https%3A%2F%2Fwww.webofscience.com%2Fwos%2Fwoscc%2Ffull-record%2FWOS:000274049400002","View Full Record in Web of Science")</f>
        <v>View Full Record in Web of Science</v>
      </c>
    </row>
    <row r="417" spans="1:72" x14ac:dyDescent="0.25">
      <c r="A417" t="s">
        <v>72</v>
      </c>
      <c r="B417" t="s">
        <v>7387</v>
      </c>
      <c r="C417" t="s">
        <v>74</v>
      </c>
      <c r="D417" t="s">
        <v>74</v>
      </c>
      <c r="E417" t="s">
        <v>74</v>
      </c>
      <c r="F417" t="s">
        <v>7387</v>
      </c>
      <c r="G417" t="s">
        <v>74</v>
      </c>
      <c r="H417" t="s">
        <v>74</v>
      </c>
      <c r="I417" t="s">
        <v>7388</v>
      </c>
      <c r="J417" t="s">
        <v>7389</v>
      </c>
      <c r="K417" t="s">
        <v>74</v>
      </c>
      <c r="L417" t="s">
        <v>74</v>
      </c>
      <c r="M417" t="s">
        <v>77</v>
      </c>
      <c r="N417" t="s">
        <v>78</v>
      </c>
      <c r="O417" t="s">
        <v>74</v>
      </c>
      <c r="P417" t="s">
        <v>74</v>
      </c>
      <c r="Q417" t="s">
        <v>74</v>
      </c>
      <c r="R417" t="s">
        <v>74</v>
      </c>
      <c r="S417" t="s">
        <v>74</v>
      </c>
      <c r="T417" t="s">
        <v>74</v>
      </c>
      <c r="U417" t="s">
        <v>74</v>
      </c>
      <c r="V417" t="s">
        <v>7390</v>
      </c>
      <c r="W417" t="s">
        <v>7391</v>
      </c>
      <c r="X417" t="s">
        <v>7392</v>
      </c>
      <c r="Y417" t="s">
        <v>7393</v>
      </c>
      <c r="Z417" t="s">
        <v>7394</v>
      </c>
      <c r="AA417" t="s">
        <v>7395</v>
      </c>
      <c r="AB417" t="s">
        <v>7396</v>
      </c>
      <c r="AC417" t="s">
        <v>74</v>
      </c>
      <c r="AD417" t="s">
        <v>74</v>
      </c>
      <c r="AE417" t="s">
        <v>74</v>
      </c>
      <c r="AF417" t="s">
        <v>74</v>
      </c>
      <c r="AG417">
        <v>7</v>
      </c>
      <c r="AH417">
        <v>20</v>
      </c>
      <c r="AI417">
        <v>20</v>
      </c>
      <c r="AJ417">
        <v>0</v>
      </c>
      <c r="AK417">
        <v>7</v>
      </c>
      <c r="AL417" t="s">
        <v>7397</v>
      </c>
      <c r="AM417" t="s">
        <v>7398</v>
      </c>
      <c r="AN417" t="s">
        <v>7399</v>
      </c>
      <c r="AO417" t="s">
        <v>7400</v>
      </c>
      <c r="AP417" t="s">
        <v>7401</v>
      </c>
      <c r="AQ417" t="s">
        <v>74</v>
      </c>
      <c r="AR417" t="s">
        <v>7402</v>
      </c>
      <c r="AS417" t="s">
        <v>7403</v>
      </c>
      <c r="AT417" t="s">
        <v>1812</v>
      </c>
      <c r="AU417">
        <v>2005</v>
      </c>
      <c r="AV417">
        <v>101</v>
      </c>
      <c r="AW417" t="s">
        <v>1478</v>
      </c>
      <c r="AX417" t="s">
        <v>74</v>
      </c>
      <c r="AY417" t="s">
        <v>74</v>
      </c>
      <c r="AZ417" t="s">
        <v>74</v>
      </c>
      <c r="BA417" t="s">
        <v>74</v>
      </c>
      <c r="BB417">
        <v>149</v>
      </c>
      <c r="BC417">
        <v>150</v>
      </c>
      <c r="BD417" t="s">
        <v>74</v>
      </c>
      <c r="BE417" t="s">
        <v>74</v>
      </c>
      <c r="BF417" t="s">
        <v>74</v>
      </c>
      <c r="BG417" t="s">
        <v>74</v>
      </c>
      <c r="BH417" t="s">
        <v>74</v>
      </c>
      <c r="BI417">
        <v>2</v>
      </c>
      <c r="BJ417" t="s">
        <v>282</v>
      </c>
      <c r="BK417" t="s">
        <v>147</v>
      </c>
      <c r="BL417" t="s">
        <v>284</v>
      </c>
      <c r="BM417" t="s">
        <v>7404</v>
      </c>
      <c r="BN417" t="s">
        <v>74</v>
      </c>
      <c r="BO417" t="s">
        <v>74</v>
      </c>
      <c r="BP417" t="s">
        <v>74</v>
      </c>
      <c r="BQ417" t="s">
        <v>74</v>
      </c>
      <c r="BR417" t="s">
        <v>97</v>
      </c>
      <c r="BS417" t="s">
        <v>7405</v>
      </c>
      <c r="BT417" t="str">
        <f>HYPERLINK("https%3A%2F%2Fwww.webofscience.com%2Fwos%2Fwoscc%2Ffull-record%2FWOS:000231334400014","View Full Record in Web of Science")</f>
        <v>View Full Record in Web of Science</v>
      </c>
    </row>
    <row r="418" spans="1:72" x14ac:dyDescent="0.25">
      <c r="A418" t="s">
        <v>72</v>
      </c>
      <c r="B418" t="s">
        <v>7406</v>
      </c>
      <c r="C418" t="s">
        <v>74</v>
      </c>
      <c r="D418" t="s">
        <v>74</v>
      </c>
      <c r="E418" t="s">
        <v>74</v>
      </c>
      <c r="F418" t="s">
        <v>7406</v>
      </c>
      <c r="G418" t="s">
        <v>74</v>
      </c>
      <c r="H418" t="s">
        <v>74</v>
      </c>
      <c r="I418" t="s">
        <v>7407</v>
      </c>
      <c r="J418" t="s">
        <v>7408</v>
      </c>
      <c r="K418" t="s">
        <v>74</v>
      </c>
      <c r="L418" t="s">
        <v>74</v>
      </c>
      <c r="M418" t="s">
        <v>77</v>
      </c>
      <c r="N418" t="s">
        <v>78</v>
      </c>
      <c r="O418" t="s">
        <v>74</v>
      </c>
      <c r="P418" t="s">
        <v>74</v>
      </c>
      <c r="Q418" t="s">
        <v>74</v>
      </c>
      <c r="R418" t="s">
        <v>74</v>
      </c>
      <c r="S418" t="s">
        <v>74</v>
      </c>
      <c r="T418" t="s">
        <v>7409</v>
      </c>
      <c r="U418" t="s">
        <v>7410</v>
      </c>
      <c r="V418" t="s">
        <v>7411</v>
      </c>
      <c r="W418" t="s">
        <v>7412</v>
      </c>
      <c r="X418" t="s">
        <v>7413</v>
      </c>
      <c r="Y418" t="s">
        <v>7414</v>
      </c>
      <c r="Z418" t="s">
        <v>7415</v>
      </c>
      <c r="AA418" t="s">
        <v>74</v>
      </c>
      <c r="AB418" t="s">
        <v>7416</v>
      </c>
      <c r="AC418" t="s">
        <v>74</v>
      </c>
      <c r="AD418" t="s">
        <v>74</v>
      </c>
      <c r="AE418" t="s">
        <v>74</v>
      </c>
      <c r="AF418" t="s">
        <v>74</v>
      </c>
      <c r="AG418">
        <v>31</v>
      </c>
      <c r="AH418">
        <v>20</v>
      </c>
      <c r="AI418">
        <v>21</v>
      </c>
      <c r="AJ418">
        <v>0</v>
      </c>
      <c r="AK418">
        <v>3</v>
      </c>
      <c r="AL418" t="s">
        <v>218</v>
      </c>
      <c r="AM418" t="s">
        <v>219</v>
      </c>
      <c r="AN418" t="s">
        <v>220</v>
      </c>
      <c r="AO418" t="s">
        <v>7417</v>
      </c>
      <c r="AP418" t="s">
        <v>7418</v>
      </c>
      <c r="AQ418" t="s">
        <v>74</v>
      </c>
      <c r="AR418" t="s">
        <v>7419</v>
      </c>
      <c r="AS418" t="s">
        <v>7420</v>
      </c>
      <c r="AT418" t="s">
        <v>496</v>
      </c>
      <c r="AU418">
        <v>2002</v>
      </c>
      <c r="AV418">
        <v>81</v>
      </c>
      <c r="AW418">
        <v>9</v>
      </c>
      <c r="AX418" t="s">
        <v>74</v>
      </c>
      <c r="AY418" t="s">
        <v>74</v>
      </c>
      <c r="AZ418" t="s">
        <v>74</v>
      </c>
      <c r="BA418" t="s">
        <v>74</v>
      </c>
      <c r="BB418">
        <v>886</v>
      </c>
      <c r="BC418">
        <v>893</v>
      </c>
      <c r="BD418" t="s">
        <v>74</v>
      </c>
      <c r="BE418" t="s">
        <v>7421</v>
      </c>
      <c r="BF418" t="str">
        <f>HYPERLINK("http://dx.doi.org/10.1034/j.1600-0412.2002.810916.x","http://dx.doi.org/10.1034/j.1600-0412.2002.810916.x")</f>
        <v>http://dx.doi.org/10.1034/j.1600-0412.2002.810916.x</v>
      </c>
      <c r="BG418" t="s">
        <v>74</v>
      </c>
      <c r="BH418" t="s">
        <v>74</v>
      </c>
      <c r="BI418">
        <v>8</v>
      </c>
      <c r="BJ418" t="s">
        <v>7422</v>
      </c>
      <c r="BK418" t="s">
        <v>283</v>
      </c>
      <c r="BL418" t="s">
        <v>7422</v>
      </c>
      <c r="BM418" t="s">
        <v>7423</v>
      </c>
      <c r="BN418">
        <v>12225308</v>
      </c>
      <c r="BO418" t="s">
        <v>74</v>
      </c>
      <c r="BP418" t="s">
        <v>74</v>
      </c>
      <c r="BQ418" t="s">
        <v>74</v>
      </c>
      <c r="BR418" t="s">
        <v>97</v>
      </c>
      <c r="BS418" t="s">
        <v>7424</v>
      </c>
      <c r="BT418" t="str">
        <f>HYPERLINK("https%3A%2F%2Fwww.webofscience.com%2Fwos%2Fwoscc%2Ffull-record%2FWOS:000177965700016","View Full Record in Web of Science")</f>
        <v>View Full Record in Web of Science</v>
      </c>
    </row>
    <row r="419" spans="1:72" x14ac:dyDescent="0.25">
      <c r="A419" t="s">
        <v>72</v>
      </c>
      <c r="B419" t="s">
        <v>7425</v>
      </c>
      <c r="C419" t="s">
        <v>74</v>
      </c>
      <c r="D419" t="s">
        <v>74</v>
      </c>
      <c r="E419" t="s">
        <v>74</v>
      </c>
      <c r="F419" t="s">
        <v>7426</v>
      </c>
      <c r="G419" t="s">
        <v>74</v>
      </c>
      <c r="H419" t="s">
        <v>74</v>
      </c>
      <c r="I419" t="s">
        <v>7427</v>
      </c>
      <c r="J419" t="s">
        <v>592</v>
      </c>
      <c r="K419" t="s">
        <v>74</v>
      </c>
      <c r="L419" t="s">
        <v>74</v>
      </c>
      <c r="M419" t="s">
        <v>77</v>
      </c>
      <c r="N419" t="s">
        <v>78</v>
      </c>
      <c r="O419" t="s">
        <v>74</v>
      </c>
      <c r="P419" t="s">
        <v>74</v>
      </c>
      <c r="Q419" t="s">
        <v>74</v>
      </c>
      <c r="R419" t="s">
        <v>74</v>
      </c>
      <c r="S419" t="s">
        <v>74</v>
      </c>
      <c r="T419" t="s">
        <v>7428</v>
      </c>
      <c r="U419" t="s">
        <v>7429</v>
      </c>
      <c r="V419" t="s">
        <v>7430</v>
      </c>
      <c r="W419" t="s">
        <v>7431</v>
      </c>
      <c r="X419" t="s">
        <v>7432</v>
      </c>
      <c r="Y419" t="s">
        <v>7433</v>
      </c>
      <c r="Z419" t="s">
        <v>7434</v>
      </c>
      <c r="AA419" t="s">
        <v>74</v>
      </c>
      <c r="AB419" t="s">
        <v>7435</v>
      </c>
      <c r="AC419" t="s">
        <v>7436</v>
      </c>
      <c r="AD419" t="s">
        <v>7437</v>
      </c>
      <c r="AE419" t="s">
        <v>7438</v>
      </c>
      <c r="AF419" t="s">
        <v>74</v>
      </c>
      <c r="AG419">
        <v>96</v>
      </c>
      <c r="AH419">
        <v>19</v>
      </c>
      <c r="AI419">
        <v>19</v>
      </c>
      <c r="AJ419">
        <v>13</v>
      </c>
      <c r="AK419">
        <v>96</v>
      </c>
      <c r="AL419" t="s">
        <v>602</v>
      </c>
      <c r="AM419" t="s">
        <v>160</v>
      </c>
      <c r="AN419" t="s">
        <v>603</v>
      </c>
      <c r="AO419" t="s">
        <v>604</v>
      </c>
      <c r="AP419" t="s">
        <v>605</v>
      </c>
      <c r="AQ419" t="s">
        <v>74</v>
      </c>
      <c r="AR419" t="s">
        <v>606</v>
      </c>
      <c r="AS419" t="s">
        <v>607</v>
      </c>
      <c r="AT419" t="s">
        <v>256</v>
      </c>
      <c r="AU419">
        <v>2021</v>
      </c>
      <c r="AV419">
        <v>86</v>
      </c>
      <c r="AW419" t="s">
        <v>74</v>
      </c>
      <c r="AX419" t="s">
        <v>74</v>
      </c>
      <c r="AY419" t="s">
        <v>74</v>
      </c>
      <c r="AZ419" t="s">
        <v>74</v>
      </c>
      <c r="BA419" t="s">
        <v>74</v>
      </c>
      <c r="BB419" t="s">
        <v>74</v>
      </c>
      <c r="BC419" t="s">
        <v>74</v>
      </c>
      <c r="BD419">
        <v>104358</v>
      </c>
      <c r="BE419" t="s">
        <v>7439</v>
      </c>
      <c r="BF419" t="str">
        <f>HYPERLINK("http://dx.doi.org/10.1016/j.tourman.2021.104358","http://dx.doi.org/10.1016/j.tourman.2021.104358")</f>
        <v>http://dx.doi.org/10.1016/j.tourman.2021.104358</v>
      </c>
      <c r="BG419" t="s">
        <v>74</v>
      </c>
      <c r="BH419" t="s">
        <v>4580</v>
      </c>
      <c r="BI419">
        <v>12</v>
      </c>
      <c r="BJ419" t="s">
        <v>609</v>
      </c>
      <c r="BK419" t="s">
        <v>94</v>
      </c>
      <c r="BL419" t="s">
        <v>610</v>
      </c>
      <c r="BM419" t="s">
        <v>7440</v>
      </c>
      <c r="BN419" t="s">
        <v>74</v>
      </c>
      <c r="BO419" t="s">
        <v>74</v>
      </c>
      <c r="BP419" t="s">
        <v>74</v>
      </c>
      <c r="BQ419" t="s">
        <v>74</v>
      </c>
      <c r="BR419" t="s">
        <v>97</v>
      </c>
      <c r="BS419" t="s">
        <v>7441</v>
      </c>
      <c r="BT419" t="str">
        <f>HYPERLINK("https%3A%2F%2Fwww.webofscience.com%2Fwos%2Fwoscc%2Ffull-record%2FWOS:000662226800006","View Full Record in Web of Science")</f>
        <v>View Full Record in Web of Science</v>
      </c>
    </row>
    <row r="420" spans="1:72" x14ac:dyDescent="0.25">
      <c r="A420" t="s">
        <v>72</v>
      </c>
      <c r="B420" t="s">
        <v>7442</v>
      </c>
      <c r="C420" t="s">
        <v>74</v>
      </c>
      <c r="D420" t="s">
        <v>74</v>
      </c>
      <c r="E420" t="s">
        <v>74</v>
      </c>
      <c r="F420" t="s">
        <v>7443</v>
      </c>
      <c r="G420" t="s">
        <v>74</v>
      </c>
      <c r="H420" t="s">
        <v>74</v>
      </c>
      <c r="I420" t="s">
        <v>7444</v>
      </c>
      <c r="J420" t="s">
        <v>3184</v>
      </c>
      <c r="K420" t="s">
        <v>74</v>
      </c>
      <c r="L420" t="s">
        <v>74</v>
      </c>
      <c r="M420" t="s">
        <v>77</v>
      </c>
      <c r="N420" t="s">
        <v>78</v>
      </c>
      <c r="O420" t="s">
        <v>74</v>
      </c>
      <c r="P420" t="s">
        <v>74</v>
      </c>
      <c r="Q420" t="s">
        <v>74</v>
      </c>
      <c r="R420" t="s">
        <v>74</v>
      </c>
      <c r="S420" t="s">
        <v>74</v>
      </c>
      <c r="T420" t="s">
        <v>7445</v>
      </c>
      <c r="U420" t="s">
        <v>7446</v>
      </c>
      <c r="V420" t="s">
        <v>7447</v>
      </c>
      <c r="W420" t="s">
        <v>7448</v>
      </c>
      <c r="X420" t="s">
        <v>7449</v>
      </c>
      <c r="Y420" t="s">
        <v>7450</v>
      </c>
      <c r="Z420" t="s">
        <v>7451</v>
      </c>
      <c r="AA420" t="s">
        <v>74</v>
      </c>
      <c r="AB420" t="s">
        <v>7452</v>
      </c>
      <c r="AC420" t="s">
        <v>7453</v>
      </c>
      <c r="AD420" t="s">
        <v>7454</v>
      </c>
      <c r="AE420" t="s">
        <v>7455</v>
      </c>
      <c r="AF420" t="s">
        <v>74</v>
      </c>
      <c r="AG420">
        <v>83</v>
      </c>
      <c r="AH420">
        <v>19</v>
      </c>
      <c r="AI420">
        <v>19</v>
      </c>
      <c r="AJ420">
        <v>2</v>
      </c>
      <c r="AK420">
        <v>12</v>
      </c>
      <c r="AL420" t="s">
        <v>3195</v>
      </c>
      <c r="AM420" t="s">
        <v>3196</v>
      </c>
      <c r="AN420" t="s">
        <v>3197</v>
      </c>
      <c r="AO420" t="s">
        <v>3198</v>
      </c>
      <c r="AP420" t="s">
        <v>74</v>
      </c>
      <c r="AQ420" t="s">
        <v>74</v>
      </c>
      <c r="AR420" t="s">
        <v>3199</v>
      </c>
      <c r="AS420" t="s">
        <v>3200</v>
      </c>
      <c r="AT420" t="s">
        <v>7456</v>
      </c>
      <c r="AU420">
        <v>2021</v>
      </c>
      <c r="AV420">
        <v>12</v>
      </c>
      <c r="AW420" t="s">
        <v>74</v>
      </c>
      <c r="AX420" t="s">
        <v>74</v>
      </c>
      <c r="AY420" t="s">
        <v>74</v>
      </c>
      <c r="AZ420" t="s">
        <v>74</v>
      </c>
      <c r="BA420" t="s">
        <v>74</v>
      </c>
      <c r="BB420" t="s">
        <v>74</v>
      </c>
      <c r="BC420" t="s">
        <v>74</v>
      </c>
      <c r="BD420">
        <v>643437</v>
      </c>
      <c r="BE420" t="s">
        <v>7457</v>
      </c>
      <c r="BF420" t="str">
        <f>HYPERLINK("http://dx.doi.org/10.3389/fpsyg.2021.643437","http://dx.doi.org/10.3389/fpsyg.2021.643437")</f>
        <v>http://dx.doi.org/10.3389/fpsyg.2021.643437</v>
      </c>
      <c r="BG420" t="s">
        <v>74</v>
      </c>
      <c r="BH420" t="s">
        <v>74</v>
      </c>
      <c r="BI420">
        <v>14</v>
      </c>
      <c r="BJ420" t="s">
        <v>3203</v>
      </c>
      <c r="BK420" t="s">
        <v>94</v>
      </c>
      <c r="BL420" t="s">
        <v>460</v>
      </c>
      <c r="BM420" t="s">
        <v>7458</v>
      </c>
      <c r="BN420">
        <v>33833723</v>
      </c>
      <c r="BO420" t="s">
        <v>4398</v>
      </c>
      <c r="BP420" t="s">
        <v>74</v>
      </c>
      <c r="BQ420" t="s">
        <v>74</v>
      </c>
      <c r="BR420" t="s">
        <v>97</v>
      </c>
      <c r="BS420" t="s">
        <v>7459</v>
      </c>
      <c r="BT420" t="str">
        <f>HYPERLINK("https%3A%2F%2Fwww.webofscience.com%2Fwos%2Fwoscc%2Ffull-record%2FWOS:000636993100001","View Full Record in Web of Science")</f>
        <v>View Full Record in Web of Science</v>
      </c>
    </row>
    <row r="421" spans="1:72" x14ac:dyDescent="0.25">
      <c r="A421" t="s">
        <v>72</v>
      </c>
      <c r="B421" t="s">
        <v>7460</v>
      </c>
      <c r="C421" t="s">
        <v>74</v>
      </c>
      <c r="D421" t="s">
        <v>74</v>
      </c>
      <c r="E421" t="s">
        <v>74</v>
      </c>
      <c r="F421" t="s">
        <v>7461</v>
      </c>
      <c r="G421" t="s">
        <v>74</v>
      </c>
      <c r="H421" t="s">
        <v>74</v>
      </c>
      <c r="I421" t="s">
        <v>7462</v>
      </c>
      <c r="J421" t="s">
        <v>657</v>
      </c>
      <c r="K421" t="s">
        <v>74</v>
      </c>
      <c r="L421" t="s">
        <v>74</v>
      </c>
      <c r="M421" t="s">
        <v>77</v>
      </c>
      <c r="N421" t="s">
        <v>78</v>
      </c>
      <c r="O421" t="s">
        <v>74</v>
      </c>
      <c r="P421" t="s">
        <v>74</v>
      </c>
      <c r="Q421" t="s">
        <v>74</v>
      </c>
      <c r="R421" t="s">
        <v>74</v>
      </c>
      <c r="S421" t="s">
        <v>74</v>
      </c>
      <c r="T421" t="s">
        <v>7463</v>
      </c>
      <c r="U421" t="s">
        <v>7464</v>
      </c>
      <c r="V421" t="s">
        <v>7465</v>
      </c>
      <c r="W421" t="s">
        <v>7466</v>
      </c>
      <c r="X421" t="s">
        <v>7467</v>
      </c>
      <c r="Y421" t="s">
        <v>7468</v>
      </c>
      <c r="Z421" t="s">
        <v>7469</v>
      </c>
      <c r="AA421" t="s">
        <v>7470</v>
      </c>
      <c r="AB421" t="s">
        <v>7471</v>
      </c>
      <c r="AC421" t="s">
        <v>74</v>
      </c>
      <c r="AD421" t="s">
        <v>74</v>
      </c>
      <c r="AE421" t="s">
        <v>74</v>
      </c>
      <c r="AF421" t="s">
        <v>74</v>
      </c>
      <c r="AG421">
        <v>48</v>
      </c>
      <c r="AH421">
        <v>19</v>
      </c>
      <c r="AI421">
        <v>19</v>
      </c>
      <c r="AJ421">
        <v>14</v>
      </c>
      <c r="AK421">
        <v>87</v>
      </c>
      <c r="AL421" t="s">
        <v>665</v>
      </c>
      <c r="AM421" t="s">
        <v>666</v>
      </c>
      <c r="AN421" t="s">
        <v>667</v>
      </c>
      <c r="AO421" t="s">
        <v>668</v>
      </c>
      <c r="AP421" t="s">
        <v>669</v>
      </c>
      <c r="AQ421" t="s">
        <v>74</v>
      </c>
      <c r="AR421" t="s">
        <v>670</v>
      </c>
      <c r="AS421" t="s">
        <v>671</v>
      </c>
      <c r="AT421" t="s">
        <v>7472</v>
      </c>
      <c r="AU421">
        <v>2020</v>
      </c>
      <c r="AV421">
        <v>41</v>
      </c>
      <c r="AW421">
        <v>8</v>
      </c>
      <c r="AX421" t="s">
        <v>74</v>
      </c>
      <c r="AY421" t="s">
        <v>74</v>
      </c>
      <c r="AZ421" t="s">
        <v>74</v>
      </c>
      <c r="BA421" t="s">
        <v>74</v>
      </c>
      <c r="BB421">
        <v>1221</v>
      </c>
      <c r="BC421">
        <v>1233</v>
      </c>
      <c r="BD421" t="s">
        <v>74</v>
      </c>
      <c r="BE421" t="s">
        <v>7473</v>
      </c>
      <c r="BF421" t="str">
        <f>HYPERLINK("http://dx.doi.org/10.1108/IJM-04-2019-0180","http://dx.doi.org/10.1108/IJM-04-2019-0180")</f>
        <v>http://dx.doi.org/10.1108/IJM-04-2019-0180</v>
      </c>
      <c r="BG421" t="s">
        <v>74</v>
      </c>
      <c r="BH421" t="s">
        <v>2840</v>
      </c>
      <c r="BI421">
        <v>13</v>
      </c>
      <c r="BJ421" t="s">
        <v>673</v>
      </c>
      <c r="BK421" t="s">
        <v>94</v>
      </c>
      <c r="BL421" t="s">
        <v>95</v>
      </c>
      <c r="BM421" t="s">
        <v>7474</v>
      </c>
      <c r="BN421" t="s">
        <v>74</v>
      </c>
      <c r="BO421" t="s">
        <v>408</v>
      </c>
      <c r="BP421" t="s">
        <v>74</v>
      </c>
      <c r="BQ421" t="s">
        <v>74</v>
      </c>
      <c r="BR421" t="s">
        <v>97</v>
      </c>
      <c r="BS421" t="s">
        <v>7475</v>
      </c>
      <c r="BT421" t="str">
        <f>HYPERLINK("https%3A%2F%2Fwww.webofscience.com%2Fwos%2Fwoscc%2Ffull-record%2FWOS:000526458000001","View Full Record in Web of Science")</f>
        <v>View Full Record in Web of Science</v>
      </c>
    </row>
    <row r="422" spans="1:72" x14ac:dyDescent="0.25">
      <c r="A422" t="s">
        <v>72</v>
      </c>
      <c r="B422" t="s">
        <v>7476</v>
      </c>
      <c r="C422" t="s">
        <v>74</v>
      </c>
      <c r="D422" t="s">
        <v>74</v>
      </c>
      <c r="E422" t="s">
        <v>74</v>
      </c>
      <c r="F422" t="s">
        <v>7477</v>
      </c>
      <c r="G422" t="s">
        <v>74</v>
      </c>
      <c r="H422" t="s">
        <v>74</v>
      </c>
      <c r="I422" t="s">
        <v>7478</v>
      </c>
      <c r="J422" t="s">
        <v>6372</v>
      </c>
      <c r="K422" t="s">
        <v>74</v>
      </c>
      <c r="L422" t="s">
        <v>74</v>
      </c>
      <c r="M422" t="s">
        <v>77</v>
      </c>
      <c r="N422" t="s">
        <v>78</v>
      </c>
      <c r="O422" t="s">
        <v>74</v>
      </c>
      <c r="P422" t="s">
        <v>74</v>
      </c>
      <c r="Q422" t="s">
        <v>74</v>
      </c>
      <c r="R422" t="s">
        <v>74</v>
      </c>
      <c r="S422" t="s">
        <v>74</v>
      </c>
      <c r="T422" t="s">
        <v>7479</v>
      </c>
      <c r="U422" t="s">
        <v>7480</v>
      </c>
      <c r="V422" t="s">
        <v>7481</v>
      </c>
      <c r="W422" t="s">
        <v>7482</v>
      </c>
      <c r="X422" t="s">
        <v>7483</v>
      </c>
      <c r="Y422" t="s">
        <v>7484</v>
      </c>
      <c r="Z422" t="s">
        <v>7485</v>
      </c>
      <c r="AA422" t="s">
        <v>7486</v>
      </c>
      <c r="AB422" t="s">
        <v>7487</v>
      </c>
      <c r="AC422" t="s">
        <v>7488</v>
      </c>
      <c r="AD422" t="s">
        <v>7489</v>
      </c>
      <c r="AE422" t="s">
        <v>7490</v>
      </c>
      <c r="AF422" t="s">
        <v>74</v>
      </c>
      <c r="AG422">
        <v>94</v>
      </c>
      <c r="AH422">
        <v>19</v>
      </c>
      <c r="AI422">
        <v>20</v>
      </c>
      <c r="AJ422">
        <v>4</v>
      </c>
      <c r="AK422">
        <v>37</v>
      </c>
      <c r="AL422" t="s">
        <v>2473</v>
      </c>
      <c r="AM422" t="s">
        <v>2102</v>
      </c>
      <c r="AN422" t="s">
        <v>2474</v>
      </c>
      <c r="AO422" t="s">
        <v>7491</v>
      </c>
      <c r="AP422" t="s">
        <v>6384</v>
      </c>
      <c r="AQ422" t="s">
        <v>74</v>
      </c>
      <c r="AR422" t="s">
        <v>6385</v>
      </c>
      <c r="AS422" t="s">
        <v>6386</v>
      </c>
      <c r="AT422" t="s">
        <v>584</v>
      </c>
      <c r="AU422">
        <v>2019</v>
      </c>
      <c r="AV422">
        <v>16</v>
      </c>
      <c r="AW422">
        <v>21</v>
      </c>
      <c r="AX422" t="s">
        <v>74</v>
      </c>
      <c r="AY422" t="s">
        <v>74</v>
      </c>
      <c r="AZ422" t="s">
        <v>74</v>
      </c>
      <c r="BA422" t="s">
        <v>74</v>
      </c>
      <c r="BB422" t="s">
        <v>74</v>
      </c>
      <c r="BC422" t="s">
        <v>74</v>
      </c>
      <c r="BD422">
        <v>4201</v>
      </c>
      <c r="BE422" t="s">
        <v>7492</v>
      </c>
      <c r="BF422" t="str">
        <f>HYPERLINK("http://dx.doi.org/10.3390/ijerph16214201","http://dx.doi.org/10.3390/ijerph16214201")</f>
        <v>http://dx.doi.org/10.3390/ijerph16214201</v>
      </c>
      <c r="BG422" t="s">
        <v>74</v>
      </c>
      <c r="BH422" t="s">
        <v>74</v>
      </c>
      <c r="BI422">
        <v>17</v>
      </c>
      <c r="BJ422" t="s">
        <v>6388</v>
      </c>
      <c r="BK422" t="s">
        <v>147</v>
      </c>
      <c r="BL422" t="s">
        <v>6389</v>
      </c>
      <c r="BM422" t="s">
        <v>7493</v>
      </c>
      <c r="BN422">
        <v>31671565</v>
      </c>
      <c r="BO422" t="s">
        <v>4398</v>
      </c>
      <c r="BP422" t="s">
        <v>74</v>
      </c>
      <c r="BQ422" t="s">
        <v>74</v>
      </c>
      <c r="BR422" t="s">
        <v>97</v>
      </c>
      <c r="BS422" t="s">
        <v>7494</v>
      </c>
      <c r="BT422" t="str">
        <f>HYPERLINK("https%3A%2F%2Fwww.webofscience.com%2Fwos%2Fwoscc%2Ffull-record%2FWOS:000498842000147","View Full Record in Web of Science")</f>
        <v>View Full Record in Web of Science</v>
      </c>
    </row>
    <row r="423" spans="1:72" x14ac:dyDescent="0.25">
      <c r="A423" t="s">
        <v>72</v>
      </c>
      <c r="B423" t="s">
        <v>7495</v>
      </c>
      <c r="C423" t="s">
        <v>74</v>
      </c>
      <c r="D423" t="s">
        <v>74</v>
      </c>
      <c r="E423" t="s">
        <v>74</v>
      </c>
      <c r="F423" t="s">
        <v>7496</v>
      </c>
      <c r="G423" t="s">
        <v>74</v>
      </c>
      <c r="H423" t="s">
        <v>74</v>
      </c>
      <c r="I423" t="s">
        <v>7497</v>
      </c>
      <c r="J423" t="s">
        <v>3424</v>
      </c>
      <c r="K423" t="s">
        <v>74</v>
      </c>
      <c r="L423" t="s">
        <v>74</v>
      </c>
      <c r="M423" t="s">
        <v>77</v>
      </c>
      <c r="N423" t="s">
        <v>78</v>
      </c>
      <c r="O423" t="s">
        <v>74</v>
      </c>
      <c r="P423" t="s">
        <v>74</v>
      </c>
      <c r="Q423" t="s">
        <v>74</v>
      </c>
      <c r="R423" t="s">
        <v>74</v>
      </c>
      <c r="S423" t="s">
        <v>74</v>
      </c>
      <c r="T423" t="s">
        <v>7498</v>
      </c>
      <c r="U423" t="s">
        <v>7499</v>
      </c>
      <c r="V423" t="s">
        <v>7500</v>
      </c>
      <c r="W423" t="s">
        <v>7501</v>
      </c>
      <c r="X423" t="s">
        <v>7502</v>
      </c>
      <c r="Y423" t="s">
        <v>7503</v>
      </c>
      <c r="Z423" t="s">
        <v>7504</v>
      </c>
      <c r="AA423" t="s">
        <v>74</v>
      </c>
      <c r="AB423" t="s">
        <v>74</v>
      </c>
      <c r="AC423" t="s">
        <v>74</v>
      </c>
      <c r="AD423" t="s">
        <v>74</v>
      </c>
      <c r="AE423" t="s">
        <v>74</v>
      </c>
      <c r="AF423" t="s">
        <v>74</v>
      </c>
      <c r="AG423">
        <v>75</v>
      </c>
      <c r="AH423">
        <v>19</v>
      </c>
      <c r="AI423">
        <v>21</v>
      </c>
      <c r="AJ423">
        <v>5</v>
      </c>
      <c r="AK423">
        <v>56</v>
      </c>
      <c r="AL423" t="s">
        <v>218</v>
      </c>
      <c r="AM423" t="s">
        <v>219</v>
      </c>
      <c r="AN423" t="s">
        <v>220</v>
      </c>
      <c r="AO423" t="s">
        <v>3431</v>
      </c>
      <c r="AP423" t="s">
        <v>3432</v>
      </c>
      <c r="AQ423" t="s">
        <v>74</v>
      </c>
      <c r="AR423" t="s">
        <v>3433</v>
      </c>
      <c r="AS423" t="s">
        <v>3434</v>
      </c>
      <c r="AT423" t="s">
        <v>256</v>
      </c>
      <c r="AU423">
        <v>2019</v>
      </c>
      <c r="AV423">
        <v>57</v>
      </c>
      <c r="AW423">
        <v>4</v>
      </c>
      <c r="AX423" t="s">
        <v>74</v>
      </c>
      <c r="AY423" t="s">
        <v>74</v>
      </c>
      <c r="AZ423" t="s">
        <v>74</v>
      </c>
      <c r="BA423" t="s">
        <v>74</v>
      </c>
      <c r="BB423">
        <v>445</v>
      </c>
      <c r="BC423">
        <v>469</v>
      </c>
      <c r="BD423" t="s">
        <v>74</v>
      </c>
      <c r="BE423" t="s">
        <v>7505</v>
      </c>
      <c r="BF423" t="str">
        <f>HYPERLINK("http://dx.doi.org/10.1111/1744-7941.12197","http://dx.doi.org/10.1111/1744-7941.12197")</f>
        <v>http://dx.doi.org/10.1111/1744-7941.12197</v>
      </c>
      <c r="BG423" t="s">
        <v>74</v>
      </c>
      <c r="BH423" t="s">
        <v>74</v>
      </c>
      <c r="BI423">
        <v>25</v>
      </c>
      <c r="BJ423" t="s">
        <v>673</v>
      </c>
      <c r="BK423" t="s">
        <v>94</v>
      </c>
      <c r="BL423" t="s">
        <v>95</v>
      </c>
      <c r="BM423" t="s">
        <v>7506</v>
      </c>
      <c r="BN423" t="s">
        <v>74</v>
      </c>
      <c r="BO423" t="s">
        <v>74</v>
      </c>
      <c r="BP423" t="s">
        <v>74</v>
      </c>
      <c r="BQ423" t="s">
        <v>74</v>
      </c>
      <c r="BR423" t="s">
        <v>97</v>
      </c>
      <c r="BS423" t="s">
        <v>7507</v>
      </c>
      <c r="BT423" t="str">
        <f>HYPERLINK("https%3A%2F%2Fwww.webofscience.com%2Fwos%2Fwoscc%2Ffull-record%2FWOS:000491267900003","View Full Record in Web of Science")</f>
        <v>View Full Record in Web of Science</v>
      </c>
    </row>
    <row r="424" spans="1:72" x14ac:dyDescent="0.25">
      <c r="A424" t="s">
        <v>72</v>
      </c>
      <c r="B424" t="s">
        <v>7508</v>
      </c>
      <c r="C424" t="s">
        <v>74</v>
      </c>
      <c r="D424" t="s">
        <v>74</v>
      </c>
      <c r="E424" t="s">
        <v>74</v>
      </c>
      <c r="F424" t="s">
        <v>7509</v>
      </c>
      <c r="G424" t="s">
        <v>74</v>
      </c>
      <c r="H424" t="s">
        <v>74</v>
      </c>
      <c r="I424" t="s">
        <v>7510</v>
      </c>
      <c r="J424" t="s">
        <v>2463</v>
      </c>
      <c r="K424" t="s">
        <v>74</v>
      </c>
      <c r="L424" t="s">
        <v>74</v>
      </c>
      <c r="M424" t="s">
        <v>77</v>
      </c>
      <c r="N424" t="s">
        <v>78</v>
      </c>
      <c r="O424" t="s">
        <v>74</v>
      </c>
      <c r="P424" t="s">
        <v>74</v>
      </c>
      <c r="Q424" t="s">
        <v>74</v>
      </c>
      <c r="R424" t="s">
        <v>74</v>
      </c>
      <c r="S424" t="s">
        <v>74</v>
      </c>
      <c r="T424" t="s">
        <v>7511</v>
      </c>
      <c r="U424" t="s">
        <v>7512</v>
      </c>
      <c r="V424" t="s">
        <v>7513</v>
      </c>
      <c r="W424" t="s">
        <v>7514</v>
      </c>
      <c r="X424" t="s">
        <v>7515</v>
      </c>
      <c r="Y424" t="s">
        <v>7516</v>
      </c>
      <c r="Z424" t="s">
        <v>7517</v>
      </c>
      <c r="AA424" t="s">
        <v>7518</v>
      </c>
      <c r="AB424" t="s">
        <v>7519</v>
      </c>
      <c r="AC424" t="s">
        <v>74</v>
      </c>
      <c r="AD424" t="s">
        <v>74</v>
      </c>
      <c r="AE424" t="s">
        <v>74</v>
      </c>
      <c r="AF424" t="s">
        <v>74</v>
      </c>
      <c r="AG424">
        <v>41</v>
      </c>
      <c r="AH424">
        <v>19</v>
      </c>
      <c r="AI424">
        <v>19</v>
      </c>
      <c r="AJ424">
        <v>4</v>
      </c>
      <c r="AK424">
        <v>12</v>
      </c>
      <c r="AL424" t="s">
        <v>2473</v>
      </c>
      <c r="AM424" t="s">
        <v>2102</v>
      </c>
      <c r="AN424" t="s">
        <v>2474</v>
      </c>
      <c r="AO424" t="s">
        <v>74</v>
      </c>
      <c r="AP424" t="s">
        <v>2475</v>
      </c>
      <c r="AQ424" t="s">
        <v>74</v>
      </c>
      <c r="AR424" t="s">
        <v>2476</v>
      </c>
      <c r="AS424" t="s">
        <v>2477</v>
      </c>
      <c r="AT424" t="s">
        <v>1717</v>
      </c>
      <c r="AU424">
        <v>2019</v>
      </c>
      <c r="AV424">
        <v>11</v>
      </c>
      <c r="AW424">
        <v>2</v>
      </c>
      <c r="AX424" t="s">
        <v>74</v>
      </c>
      <c r="AY424" t="s">
        <v>74</v>
      </c>
      <c r="AZ424" t="s">
        <v>74</v>
      </c>
      <c r="BA424" t="s">
        <v>74</v>
      </c>
      <c r="BB424" t="s">
        <v>74</v>
      </c>
      <c r="BC424" t="s">
        <v>74</v>
      </c>
      <c r="BD424">
        <v>322</v>
      </c>
      <c r="BE424" t="s">
        <v>7520</v>
      </c>
      <c r="BF424" t="str">
        <f>HYPERLINK("http://dx.doi.org/10.3390/su11020322","http://dx.doi.org/10.3390/su11020322")</f>
        <v>http://dx.doi.org/10.3390/su11020322</v>
      </c>
      <c r="BG424" t="s">
        <v>74</v>
      </c>
      <c r="BH424" t="s">
        <v>74</v>
      </c>
      <c r="BI424">
        <v>10</v>
      </c>
      <c r="BJ424" t="s">
        <v>2479</v>
      </c>
      <c r="BK424" t="s">
        <v>147</v>
      </c>
      <c r="BL424" t="s">
        <v>2480</v>
      </c>
      <c r="BM424" t="s">
        <v>7521</v>
      </c>
      <c r="BN424" t="s">
        <v>74</v>
      </c>
      <c r="BO424" t="s">
        <v>7522</v>
      </c>
      <c r="BP424" t="s">
        <v>74</v>
      </c>
      <c r="BQ424" t="s">
        <v>74</v>
      </c>
      <c r="BR424" t="s">
        <v>97</v>
      </c>
      <c r="BS424" t="s">
        <v>7523</v>
      </c>
      <c r="BT424" t="str">
        <f>HYPERLINK("https%3A%2F%2Fwww.webofscience.com%2Fwos%2Fwoscc%2Ffull-record%2FWOS:000457129900026","View Full Record in Web of Science")</f>
        <v>View Full Record in Web of Science</v>
      </c>
    </row>
    <row r="425" spans="1:72" x14ac:dyDescent="0.25">
      <c r="A425" t="s">
        <v>72</v>
      </c>
      <c r="B425" t="s">
        <v>7524</v>
      </c>
      <c r="C425" t="s">
        <v>74</v>
      </c>
      <c r="D425" t="s">
        <v>74</v>
      </c>
      <c r="E425" t="s">
        <v>74</v>
      </c>
      <c r="F425" t="s">
        <v>7525</v>
      </c>
      <c r="G425" t="s">
        <v>74</v>
      </c>
      <c r="H425" t="s">
        <v>74</v>
      </c>
      <c r="I425" t="s">
        <v>7526</v>
      </c>
      <c r="J425" t="s">
        <v>779</v>
      </c>
      <c r="K425" t="s">
        <v>74</v>
      </c>
      <c r="L425" t="s">
        <v>74</v>
      </c>
      <c r="M425" t="s">
        <v>77</v>
      </c>
      <c r="N425" t="s">
        <v>78</v>
      </c>
      <c r="O425" t="s">
        <v>74</v>
      </c>
      <c r="P425" t="s">
        <v>74</v>
      </c>
      <c r="Q425" t="s">
        <v>74</v>
      </c>
      <c r="R425" t="s">
        <v>74</v>
      </c>
      <c r="S425" t="s">
        <v>74</v>
      </c>
      <c r="T425" t="s">
        <v>74</v>
      </c>
      <c r="U425" t="s">
        <v>7527</v>
      </c>
      <c r="V425" t="s">
        <v>7528</v>
      </c>
      <c r="W425" t="s">
        <v>7529</v>
      </c>
      <c r="X425" t="s">
        <v>7530</v>
      </c>
      <c r="Y425" t="s">
        <v>7531</v>
      </c>
      <c r="Z425" t="s">
        <v>7532</v>
      </c>
      <c r="AA425" t="s">
        <v>7533</v>
      </c>
      <c r="AB425" t="s">
        <v>7534</v>
      </c>
      <c r="AC425" t="s">
        <v>74</v>
      </c>
      <c r="AD425" t="s">
        <v>74</v>
      </c>
      <c r="AE425" t="s">
        <v>74</v>
      </c>
      <c r="AF425" t="s">
        <v>74</v>
      </c>
      <c r="AG425">
        <v>76</v>
      </c>
      <c r="AH425">
        <v>19</v>
      </c>
      <c r="AI425">
        <v>19</v>
      </c>
      <c r="AJ425">
        <v>16</v>
      </c>
      <c r="AK425">
        <v>132</v>
      </c>
      <c r="AL425" t="s">
        <v>218</v>
      </c>
      <c r="AM425" t="s">
        <v>219</v>
      </c>
      <c r="AN425" t="s">
        <v>220</v>
      </c>
      <c r="AO425" t="s">
        <v>789</v>
      </c>
      <c r="AP425" t="s">
        <v>1320</v>
      </c>
      <c r="AQ425" t="s">
        <v>74</v>
      </c>
      <c r="AR425" t="s">
        <v>790</v>
      </c>
      <c r="AS425" t="s">
        <v>791</v>
      </c>
      <c r="AT425" t="s">
        <v>165</v>
      </c>
      <c r="AU425">
        <v>2018</v>
      </c>
      <c r="AV425">
        <v>35</v>
      </c>
      <c r="AW425">
        <v>3</v>
      </c>
      <c r="AX425" t="s">
        <v>74</v>
      </c>
      <c r="AY425" t="s">
        <v>74</v>
      </c>
      <c r="AZ425" t="s">
        <v>74</v>
      </c>
      <c r="BA425" t="s">
        <v>74</v>
      </c>
      <c r="BB425">
        <v>350</v>
      </c>
      <c r="BC425">
        <v>366</v>
      </c>
      <c r="BD425" t="s">
        <v>74</v>
      </c>
      <c r="BE425" t="s">
        <v>7535</v>
      </c>
      <c r="BF425" t="str">
        <f>HYPERLINK("http://dx.doi.org/10.1111/jpim.12410","http://dx.doi.org/10.1111/jpim.12410")</f>
        <v>http://dx.doi.org/10.1111/jpim.12410</v>
      </c>
      <c r="BG425" t="s">
        <v>74</v>
      </c>
      <c r="BH425" t="s">
        <v>74</v>
      </c>
      <c r="BI425">
        <v>17</v>
      </c>
      <c r="BJ425" t="s">
        <v>794</v>
      </c>
      <c r="BK425" t="s">
        <v>147</v>
      </c>
      <c r="BL425" t="s">
        <v>795</v>
      </c>
      <c r="BM425" t="s">
        <v>7536</v>
      </c>
      <c r="BN425" t="s">
        <v>74</v>
      </c>
      <c r="BO425" t="s">
        <v>7537</v>
      </c>
      <c r="BP425" t="s">
        <v>74</v>
      </c>
      <c r="BQ425" t="s">
        <v>74</v>
      </c>
      <c r="BR425" t="s">
        <v>97</v>
      </c>
      <c r="BS425" t="s">
        <v>7538</v>
      </c>
      <c r="BT425" t="str">
        <f>HYPERLINK("https%3A%2F%2Fwww.webofscience.com%2Fwos%2Fwoscc%2Ffull-record%2FWOS:000430671400005","View Full Record in Web of Science")</f>
        <v>View Full Record in Web of Science</v>
      </c>
    </row>
    <row r="426" spans="1:72" x14ac:dyDescent="0.25">
      <c r="A426" t="s">
        <v>72</v>
      </c>
      <c r="B426" t="s">
        <v>7539</v>
      </c>
      <c r="C426" t="s">
        <v>74</v>
      </c>
      <c r="D426" t="s">
        <v>74</v>
      </c>
      <c r="E426" t="s">
        <v>74</v>
      </c>
      <c r="F426" t="s">
        <v>7540</v>
      </c>
      <c r="G426" t="s">
        <v>74</v>
      </c>
      <c r="H426" t="s">
        <v>74</v>
      </c>
      <c r="I426" t="s">
        <v>7541</v>
      </c>
      <c r="J426" t="s">
        <v>779</v>
      </c>
      <c r="K426" t="s">
        <v>74</v>
      </c>
      <c r="L426" t="s">
        <v>74</v>
      </c>
      <c r="M426" t="s">
        <v>77</v>
      </c>
      <c r="N426" t="s">
        <v>78</v>
      </c>
      <c r="O426" t="s">
        <v>74</v>
      </c>
      <c r="P426" t="s">
        <v>74</v>
      </c>
      <c r="Q426" t="s">
        <v>74</v>
      </c>
      <c r="R426" t="s">
        <v>74</v>
      </c>
      <c r="S426" t="s">
        <v>74</v>
      </c>
      <c r="T426" t="s">
        <v>74</v>
      </c>
      <c r="U426" t="s">
        <v>7542</v>
      </c>
      <c r="V426" t="s">
        <v>7543</v>
      </c>
      <c r="W426" t="s">
        <v>7544</v>
      </c>
      <c r="X426" t="s">
        <v>7545</v>
      </c>
      <c r="Y426" t="s">
        <v>7546</v>
      </c>
      <c r="Z426" t="s">
        <v>7547</v>
      </c>
      <c r="AA426" t="s">
        <v>7548</v>
      </c>
      <c r="AB426" t="s">
        <v>7549</v>
      </c>
      <c r="AC426" t="s">
        <v>74</v>
      </c>
      <c r="AD426" t="s">
        <v>74</v>
      </c>
      <c r="AE426" t="s">
        <v>74</v>
      </c>
      <c r="AF426" t="s">
        <v>74</v>
      </c>
      <c r="AG426">
        <v>133</v>
      </c>
      <c r="AH426">
        <v>19</v>
      </c>
      <c r="AI426">
        <v>19</v>
      </c>
      <c r="AJ426">
        <v>7</v>
      </c>
      <c r="AK426">
        <v>120</v>
      </c>
      <c r="AL426" t="s">
        <v>218</v>
      </c>
      <c r="AM426" t="s">
        <v>219</v>
      </c>
      <c r="AN426" t="s">
        <v>220</v>
      </c>
      <c r="AO426" t="s">
        <v>789</v>
      </c>
      <c r="AP426" t="s">
        <v>1320</v>
      </c>
      <c r="AQ426" t="s">
        <v>74</v>
      </c>
      <c r="AR426" t="s">
        <v>790</v>
      </c>
      <c r="AS426" t="s">
        <v>791</v>
      </c>
      <c r="AT426" t="s">
        <v>200</v>
      </c>
      <c r="AU426">
        <v>2018</v>
      </c>
      <c r="AV426">
        <v>35</v>
      </c>
      <c r="AW426">
        <v>2</v>
      </c>
      <c r="AX426" t="s">
        <v>74</v>
      </c>
      <c r="AY426" t="s">
        <v>74</v>
      </c>
      <c r="AZ426" t="s">
        <v>74</v>
      </c>
      <c r="BA426" t="s">
        <v>74</v>
      </c>
      <c r="BB426">
        <v>230</v>
      </c>
      <c r="BC426">
        <v>253</v>
      </c>
      <c r="BD426" t="s">
        <v>74</v>
      </c>
      <c r="BE426" t="s">
        <v>7550</v>
      </c>
      <c r="BF426" t="str">
        <f>HYPERLINK("http://dx.doi.org/10.1111/jpim.12386","http://dx.doi.org/10.1111/jpim.12386")</f>
        <v>http://dx.doi.org/10.1111/jpim.12386</v>
      </c>
      <c r="BG426" t="s">
        <v>74</v>
      </c>
      <c r="BH426" t="s">
        <v>74</v>
      </c>
      <c r="BI426">
        <v>24</v>
      </c>
      <c r="BJ426" t="s">
        <v>794</v>
      </c>
      <c r="BK426" t="s">
        <v>147</v>
      </c>
      <c r="BL426" t="s">
        <v>795</v>
      </c>
      <c r="BM426" t="s">
        <v>7551</v>
      </c>
      <c r="BN426" t="s">
        <v>74</v>
      </c>
      <c r="BO426" t="s">
        <v>378</v>
      </c>
      <c r="BP426" t="s">
        <v>74</v>
      </c>
      <c r="BQ426" t="s">
        <v>74</v>
      </c>
      <c r="BR426" t="s">
        <v>97</v>
      </c>
      <c r="BS426" t="s">
        <v>7552</v>
      </c>
      <c r="BT426" t="str">
        <f>HYPERLINK("https%3A%2F%2Fwww.webofscience.com%2Fwos%2Fwoscc%2Ffull-record%2FWOS:000423821300006","View Full Record in Web of Science")</f>
        <v>View Full Record in Web of Science</v>
      </c>
    </row>
    <row r="427" spans="1:72" x14ac:dyDescent="0.25">
      <c r="A427" t="s">
        <v>72</v>
      </c>
      <c r="B427" t="s">
        <v>7553</v>
      </c>
      <c r="C427" t="s">
        <v>74</v>
      </c>
      <c r="D427" t="s">
        <v>74</v>
      </c>
      <c r="E427" t="s">
        <v>74</v>
      </c>
      <c r="F427" t="s">
        <v>7554</v>
      </c>
      <c r="G427" t="s">
        <v>74</v>
      </c>
      <c r="H427" t="s">
        <v>74</v>
      </c>
      <c r="I427" t="s">
        <v>7555</v>
      </c>
      <c r="J427" t="s">
        <v>1290</v>
      </c>
      <c r="K427" t="s">
        <v>74</v>
      </c>
      <c r="L427" t="s">
        <v>74</v>
      </c>
      <c r="M427" t="s">
        <v>77</v>
      </c>
      <c r="N427" t="s">
        <v>78</v>
      </c>
      <c r="O427" t="s">
        <v>74</v>
      </c>
      <c r="P427" t="s">
        <v>74</v>
      </c>
      <c r="Q427" t="s">
        <v>74</v>
      </c>
      <c r="R427" t="s">
        <v>74</v>
      </c>
      <c r="S427" t="s">
        <v>74</v>
      </c>
      <c r="T427" t="s">
        <v>7556</v>
      </c>
      <c r="U427" t="s">
        <v>7557</v>
      </c>
      <c r="V427" t="s">
        <v>7558</v>
      </c>
      <c r="W427" t="s">
        <v>7559</v>
      </c>
      <c r="X427" t="s">
        <v>7560</v>
      </c>
      <c r="Y427" t="s">
        <v>7561</v>
      </c>
      <c r="Z427" t="s">
        <v>7562</v>
      </c>
      <c r="AA427" t="s">
        <v>74</v>
      </c>
      <c r="AB427" t="s">
        <v>74</v>
      </c>
      <c r="AC427" t="s">
        <v>74</v>
      </c>
      <c r="AD427" t="s">
        <v>74</v>
      </c>
      <c r="AE427" t="s">
        <v>74</v>
      </c>
      <c r="AF427" t="s">
        <v>74</v>
      </c>
      <c r="AG427">
        <v>71</v>
      </c>
      <c r="AH427">
        <v>19</v>
      </c>
      <c r="AI427">
        <v>19</v>
      </c>
      <c r="AJ427">
        <v>1</v>
      </c>
      <c r="AK427">
        <v>26</v>
      </c>
      <c r="AL427" t="s">
        <v>665</v>
      </c>
      <c r="AM427" t="s">
        <v>666</v>
      </c>
      <c r="AN427" t="s">
        <v>667</v>
      </c>
      <c r="AO427" t="s">
        <v>1300</v>
      </c>
      <c r="AP427" t="s">
        <v>1301</v>
      </c>
      <c r="AQ427" t="s">
        <v>74</v>
      </c>
      <c r="AR427" t="s">
        <v>1302</v>
      </c>
      <c r="AS427" t="s">
        <v>1303</v>
      </c>
      <c r="AT427" t="s">
        <v>74</v>
      </c>
      <c r="AU427">
        <v>2017</v>
      </c>
      <c r="AV427">
        <v>29</v>
      </c>
      <c r="AW427">
        <v>11</v>
      </c>
      <c r="AX427" t="s">
        <v>74</v>
      </c>
      <c r="AY427" t="s">
        <v>74</v>
      </c>
      <c r="AZ427" t="s">
        <v>74</v>
      </c>
      <c r="BA427" t="s">
        <v>74</v>
      </c>
      <c r="BB427">
        <v>2751</v>
      </c>
      <c r="BC427">
        <v>2766</v>
      </c>
      <c r="BD427" t="s">
        <v>74</v>
      </c>
      <c r="BE427" t="s">
        <v>7563</v>
      </c>
      <c r="BF427" t="str">
        <f>HYPERLINK("http://dx.doi.org/10.1108/IJCHM-01-2016-0043","http://dx.doi.org/10.1108/IJCHM-01-2016-0043")</f>
        <v>http://dx.doi.org/10.1108/IJCHM-01-2016-0043</v>
      </c>
      <c r="BG427" t="s">
        <v>74</v>
      </c>
      <c r="BH427" t="s">
        <v>74</v>
      </c>
      <c r="BI427">
        <v>16</v>
      </c>
      <c r="BJ427" t="s">
        <v>1305</v>
      </c>
      <c r="BK427" t="s">
        <v>94</v>
      </c>
      <c r="BL427" t="s">
        <v>1306</v>
      </c>
      <c r="BM427" t="s">
        <v>7564</v>
      </c>
      <c r="BN427" t="s">
        <v>74</v>
      </c>
      <c r="BO427" t="s">
        <v>74</v>
      </c>
      <c r="BP427" t="s">
        <v>74</v>
      </c>
      <c r="BQ427" t="s">
        <v>74</v>
      </c>
      <c r="BR427" t="s">
        <v>97</v>
      </c>
      <c r="BS427" t="s">
        <v>7565</v>
      </c>
      <c r="BT427" t="str">
        <f>HYPERLINK("https%3A%2F%2Fwww.webofscience.com%2Fwos%2Fwoscc%2Ffull-record%2FWOS:000424492200002","View Full Record in Web of Science")</f>
        <v>View Full Record in Web of Science</v>
      </c>
    </row>
    <row r="428" spans="1:72" x14ac:dyDescent="0.25">
      <c r="A428" t="s">
        <v>72</v>
      </c>
      <c r="B428" t="s">
        <v>7566</v>
      </c>
      <c r="C428" t="s">
        <v>74</v>
      </c>
      <c r="D428" t="s">
        <v>74</v>
      </c>
      <c r="E428" t="s">
        <v>74</v>
      </c>
      <c r="F428" t="s">
        <v>7567</v>
      </c>
      <c r="G428" t="s">
        <v>74</v>
      </c>
      <c r="H428" t="s">
        <v>74</v>
      </c>
      <c r="I428" t="s">
        <v>7568</v>
      </c>
      <c r="J428" t="s">
        <v>7569</v>
      </c>
      <c r="K428" t="s">
        <v>74</v>
      </c>
      <c r="L428" t="s">
        <v>74</v>
      </c>
      <c r="M428" t="s">
        <v>77</v>
      </c>
      <c r="N428" t="s">
        <v>78</v>
      </c>
      <c r="O428" t="s">
        <v>74</v>
      </c>
      <c r="P428" t="s">
        <v>74</v>
      </c>
      <c r="Q428" t="s">
        <v>74</v>
      </c>
      <c r="R428" t="s">
        <v>74</v>
      </c>
      <c r="S428" t="s">
        <v>74</v>
      </c>
      <c r="T428" t="s">
        <v>7570</v>
      </c>
      <c r="U428" t="s">
        <v>7571</v>
      </c>
      <c r="V428" t="s">
        <v>7572</v>
      </c>
      <c r="W428" t="s">
        <v>7573</v>
      </c>
      <c r="X428" t="s">
        <v>7574</v>
      </c>
      <c r="Y428" t="s">
        <v>7575</v>
      </c>
      <c r="Z428" t="s">
        <v>7576</v>
      </c>
      <c r="AA428" t="s">
        <v>7577</v>
      </c>
      <c r="AB428" t="s">
        <v>7578</v>
      </c>
      <c r="AC428" t="s">
        <v>7579</v>
      </c>
      <c r="AD428" t="s">
        <v>7580</v>
      </c>
      <c r="AE428" t="s">
        <v>7581</v>
      </c>
      <c r="AF428" t="s">
        <v>74</v>
      </c>
      <c r="AG428">
        <v>48</v>
      </c>
      <c r="AH428">
        <v>19</v>
      </c>
      <c r="AI428">
        <v>19</v>
      </c>
      <c r="AJ428">
        <v>1</v>
      </c>
      <c r="AK428">
        <v>10</v>
      </c>
      <c r="AL428" t="s">
        <v>766</v>
      </c>
      <c r="AM428" t="s">
        <v>1193</v>
      </c>
      <c r="AN428" t="s">
        <v>1498</v>
      </c>
      <c r="AO428" t="s">
        <v>7582</v>
      </c>
      <c r="AP428" t="s">
        <v>7583</v>
      </c>
      <c r="AQ428" t="s">
        <v>74</v>
      </c>
      <c r="AR428" t="s">
        <v>7584</v>
      </c>
      <c r="AS428" t="s">
        <v>7585</v>
      </c>
      <c r="AT428" t="s">
        <v>375</v>
      </c>
      <c r="AU428">
        <v>2016</v>
      </c>
      <c r="AV428">
        <v>32</v>
      </c>
      <c r="AW428">
        <v>5</v>
      </c>
      <c r="AX428" t="s">
        <v>74</v>
      </c>
      <c r="AY428" t="s">
        <v>74</v>
      </c>
      <c r="AZ428" t="s">
        <v>74</v>
      </c>
      <c r="BA428" t="s">
        <v>74</v>
      </c>
      <c r="BB428">
        <v>661</v>
      </c>
      <c r="BC428">
        <v>686</v>
      </c>
      <c r="BD428" t="s">
        <v>74</v>
      </c>
      <c r="BE428" t="s">
        <v>7586</v>
      </c>
      <c r="BF428" t="str">
        <f>HYPERLINK("http://dx.doi.org/10.1007/s10680-016-9380-6","http://dx.doi.org/10.1007/s10680-016-9380-6")</f>
        <v>http://dx.doi.org/10.1007/s10680-016-9380-6</v>
      </c>
      <c r="BG428" t="s">
        <v>74</v>
      </c>
      <c r="BH428" t="s">
        <v>74</v>
      </c>
      <c r="BI428">
        <v>26</v>
      </c>
      <c r="BJ428" t="s">
        <v>5146</v>
      </c>
      <c r="BK428" t="s">
        <v>94</v>
      </c>
      <c r="BL428" t="s">
        <v>5146</v>
      </c>
      <c r="BM428" t="s">
        <v>7587</v>
      </c>
      <c r="BN428">
        <v>30976224</v>
      </c>
      <c r="BO428" t="s">
        <v>718</v>
      </c>
      <c r="BP428" t="s">
        <v>74</v>
      </c>
      <c r="BQ428" t="s">
        <v>74</v>
      </c>
      <c r="BR428" t="s">
        <v>97</v>
      </c>
      <c r="BS428" t="s">
        <v>7588</v>
      </c>
      <c r="BT428" t="str">
        <f>HYPERLINK("https%3A%2F%2Fwww.webofscience.com%2Fwos%2Fwoscc%2Ffull-record%2FWOS:000388996900002","View Full Record in Web of Science")</f>
        <v>View Full Record in Web of Science</v>
      </c>
    </row>
    <row r="429" spans="1:72" x14ac:dyDescent="0.25">
      <c r="A429" t="s">
        <v>72</v>
      </c>
      <c r="B429" t="s">
        <v>7589</v>
      </c>
      <c r="C429" t="s">
        <v>74</v>
      </c>
      <c r="D429" t="s">
        <v>74</v>
      </c>
      <c r="E429" t="s">
        <v>74</v>
      </c>
      <c r="F429" t="s">
        <v>7590</v>
      </c>
      <c r="G429" t="s">
        <v>74</v>
      </c>
      <c r="H429" t="s">
        <v>74</v>
      </c>
      <c r="I429" t="s">
        <v>7591</v>
      </c>
      <c r="J429" t="s">
        <v>1090</v>
      </c>
      <c r="K429" t="s">
        <v>74</v>
      </c>
      <c r="L429" t="s">
        <v>74</v>
      </c>
      <c r="M429" t="s">
        <v>77</v>
      </c>
      <c r="N429" t="s">
        <v>78</v>
      </c>
      <c r="O429" t="s">
        <v>74</v>
      </c>
      <c r="P429" t="s">
        <v>74</v>
      </c>
      <c r="Q429" t="s">
        <v>74</v>
      </c>
      <c r="R429" t="s">
        <v>74</v>
      </c>
      <c r="S429" t="s">
        <v>74</v>
      </c>
      <c r="T429" t="s">
        <v>74</v>
      </c>
      <c r="U429" t="s">
        <v>7592</v>
      </c>
      <c r="V429" t="s">
        <v>7593</v>
      </c>
      <c r="W429" t="s">
        <v>7594</v>
      </c>
      <c r="X429" t="s">
        <v>7595</v>
      </c>
      <c r="Y429" t="s">
        <v>7596</v>
      </c>
      <c r="Z429" t="s">
        <v>4236</v>
      </c>
      <c r="AA429" t="s">
        <v>74</v>
      </c>
      <c r="AB429" t="s">
        <v>74</v>
      </c>
      <c r="AC429" t="s">
        <v>74</v>
      </c>
      <c r="AD429" t="s">
        <v>74</v>
      </c>
      <c r="AE429" t="s">
        <v>74</v>
      </c>
      <c r="AF429" t="s">
        <v>74</v>
      </c>
      <c r="AG429">
        <v>46</v>
      </c>
      <c r="AH429">
        <v>19</v>
      </c>
      <c r="AI429">
        <v>22</v>
      </c>
      <c r="AJ429">
        <v>2</v>
      </c>
      <c r="AK429">
        <v>55</v>
      </c>
      <c r="AL429" t="s">
        <v>1099</v>
      </c>
      <c r="AM429" t="s">
        <v>305</v>
      </c>
      <c r="AN429" t="s">
        <v>1100</v>
      </c>
      <c r="AO429" t="s">
        <v>1101</v>
      </c>
      <c r="AP429" t="s">
        <v>1102</v>
      </c>
      <c r="AQ429" t="s">
        <v>74</v>
      </c>
      <c r="AR429" t="s">
        <v>1103</v>
      </c>
      <c r="AS429" t="s">
        <v>1104</v>
      </c>
      <c r="AT429" t="s">
        <v>7597</v>
      </c>
      <c r="AU429">
        <v>2015</v>
      </c>
      <c r="AV429">
        <v>27</v>
      </c>
      <c r="AW429">
        <v>2</v>
      </c>
      <c r="AX429" t="s">
        <v>74</v>
      </c>
      <c r="AY429" t="s">
        <v>74</v>
      </c>
      <c r="AZ429" t="s">
        <v>74</v>
      </c>
      <c r="BA429" t="s">
        <v>74</v>
      </c>
      <c r="BB429">
        <v>206</v>
      </c>
      <c r="BC429">
        <v>213</v>
      </c>
      <c r="BD429" t="s">
        <v>74</v>
      </c>
      <c r="BE429" t="s">
        <v>7598</v>
      </c>
      <c r="BF429" t="str">
        <f>HYPERLINK("http://dx.doi.org/10.1080/10400419.2015.1030309","http://dx.doi.org/10.1080/10400419.2015.1030309")</f>
        <v>http://dx.doi.org/10.1080/10400419.2015.1030309</v>
      </c>
      <c r="BG429" t="s">
        <v>74</v>
      </c>
      <c r="BH429" t="s">
        <v>74</v>
      </c>
      <c r="BI429">
        <v>8</v>
      </c>
      <c r="BJ429" t="s">
        <v>1107</v>
      </c>
      <c r="BK429" t="s">
        <v>94</v>
      </c>
      <c r="BL429" t="s">
        <v>460</v>
      </c>
      <c r="BM429" t="s">
        <v>7599</v>
      </c>
      <c r="BN429" t="s">
        <v>74</v>
      </c>
      <c r="BO429" t="s">
        <v>74</v>
      </c>
      <c r="BP429" t="s">
        <v>74</v>
      </c>
      <c r="BQ429" t="s">
        <v>74</v>
      </c>
      <c r="BR429" t="s">
        <v>97</v>
      </c>
      <c r="BS429" t="s">
        <v>7600</v>
      </c>
      <c r="BT429" t="str">
        <f>HYPERLINK("https%3A%2F%2Fwww.webofscience.com%2Fwos%2Fwoscc%2Ffull-record%2FWOS:000356257400011","View Full Record in Web of Science")</f>
        <v>View Full Record in Web of Science</v>
      </c>
    </row>
    <row r="430" spans="1:72" x14ac:dyDescent="0.25">
      <c r="A430" t="s">
        <v>72</v>
      </c>
      <c r="B430" t="s">
        <v>7601</v>
      </c>
      <c r="C430" t="s">
        <v>74</v>
      </c>
      <c r="D430" t="s">
        <v>74</v>
      </c>
      <c r="E430" t="s">
        <v>74</v>
      </c>
      <c r="F430" t="s">
        <v>7602</v>
      </c>
      <c r="G430" t="s">
        <v>74</v>
      </c>
      <c r="H430" t="s">
        <v>74</v>
      </c>
      <c r="I430" t="s">
        <v>7603</v>
      </c>
      <c r="J430" t="s">
        <v>3424</v>
      </c>
      <c r="K430" t="s">
        <v>74</v>
      </c>
      <c r="L430" t="s">
        <v>74</v>
      </c>
      <c r="M430" t="s">
        <v>77</v>
      </c>
      <c r="N430" t="s">
        <v>78</v>
      </c>
      <c r="O430" t="s">
        <v>74</v>
      </c>
      <c r="P430" t="s">
        <v>74</v>
      </c>
      <c r="Q430" t="s">
        <v>74</v>
      </c>
      <c r="R430" t="s">
        <v>74</v>
      </c>
      <c r="S430" t="s">
        <v>74</v>
      </c>
      <c r="T430" t="s">
        <v>7604</v>
      </c>
      <c r="U430" t="s">
        <v>7605</v>
      </c>
      <c r="V430" t="s">
        <v>7606</v>
      </c>
      <c r="W430" t="s">
        <v>7607</v>
      </c>
      <c r="X430" t="s">
        <v>3445</v>
      </c>
      <c r="Y430" t="s">
        <v>7608</v>
      </c>
      <c r="Z430" t="s">
        <v>2763</v>
      </c>
      <c r="AA430" t="s">
        <v>74</v>
      </c>
      <c r="AB430" t="s">
        <v>74</v>
      </c>
      <c r="AC430" t="s">
        <v>74</v>
      </c>
      <c r="AD430" t="s">
        <v>74</v>
      </c>
      <c r="AE430" t="s">
        <v>74</v>
      </c>
      <c r="AF430" t="s">
        <v>74</v>
      </c>
      <c r="AG430">
        <v>69</v>
      </c>
      <c r="AH430">
        <v>19</v>
      </c>
      <c r="AI430">
        <v>21</v>
      </c>
      <c r="AJ430">
        <v>2</v>
      </c>
      <c r="AK430">
        <v>68</v>
      </c>
      <c r="AL430" t="s">
        <v>218</v>
      </c>
      <c r="AM430" t="s">
        <v>219</v>
      </c>
      <c r="AN430" t="s">
        <v>220</v>
      </c>
      <c r="AO430" t="s">
        <v>3431</v>
      </c>
      <c r="AP430" t="s">
        <v>3432</v>
      </c>
      <c r="AQ430" t="s">
        <v>74</v>
      </c>
      <c r="AR430" t="s">
        <v>3433</v>
      </c>
      <c r="AS430" t="s">
        <v>3434</v>
      </c>
      <c r="AT430" t="s">
        <v>256</v>
      </c>
      <c r="AU430">
        <v>2013</v>
      </c>
      <c r="AV430">
        <v>51</v>
      </c>
      <c r="AW430">
        <v>4</v>
      </c>
      <c r="AX430" t="s">
        <v>74</v>
      </c>
      <c r="AY430" t="s">
        <v>74</v>
      </c>
      <c r="AZ430" t="s">
        <v>74</v>
      </c>
      <c r="BA430" t="s">
        <v>74</v>
      </c>
      <c r="BB430">
        <v>491</v>
      </c>
      <c r="BC430">
        <v>515</v>
      </c>
      <c r="BD430" t="s">
        <v>74</v>
      </c>
      <c r="BE430" t="s">
        <v>7609</v>
      </c>
      <c r="BF430" t="str">
        <f>HYPERLINK("http://dx.doi.org/10.1111/j.1744-7941.2012.00049.x","http://dx.doi.org/10.1111/j.1744-7941.2012.00049.x")</f>
        <v>http://dx.doi.org/10.1111/j.1744-7941.2012.00049.x</v>
      </c>
      <c r="BG430" t="s">
        <v>74</v>
      </c>
      <c r="BH430" t="s">
        <v>74</v>
      </c>
      <c r="BI430">
        <v>25</v>
      </c>
      <c r="BJ430" t="s">
        <v>673</v>
      </c>
      <c r="BK430" t="s">
        <v>94</v>
      </c>
      <c r="BL430" t="s">
        <v>95</v>
      </c>
      <c r="BM430" t="s">
        <v>7610</v>
      </c>
      <c r="BN430" t="s">
        <v>74</v>
      </c>
      <c r="BO430" t="s">
        <v>74</v>
      </c>
      <c r="BP430" t="s">
        <v>74</v>
      </c>
      <c r="BQ430" t="s">
        <v>74</v>
      </c>
      <c r="BR430" t="s">
        <v>97</v>
      </c>
      <c r="BS430" t="s">
        <v>7611</v>
      </c>
      <c r="BT430" t="str">
        <f>HYPERLINK("https%3A%2F%2Fwww.webofscience.com%2Fwos%2Fwoscc%2Ffull-record%2FWOS:000325494700008","View Full Record in Web of Science")</f>
        <v>View Full Record in Web of Science</v>
      </c>
    </row>
    <row r="431" spans="1:72" x14ac:dyDescent="0.25">
      <c r="A431" t="s">
        <v>72</v>
      </c>
      <c r="B431" t="s">
        <v>7612</v>
      </c>
      <c r="C431" t="s">
        <v>74</v>
      </c>
      <c r="D431" t="s">
        <v>74</v>
      </c>
      <c r="E431" t="s">
        <v>74</v>
      </c>
      <c r="F431" t="s">
        <v>7613</v>
      </c>
      <c r="G431" t="s">
        <v>74</v>
      </c>
      <c r="H431" t="s">
        <v>74</v>
      </c>
      <c r="I431" t="s">
        <v>7614</v>
      </c>
      <c r="J431" t="s">
        <v>1916</v>
      </c>
      <c r="K431" t="s">
        <v>74</v>
      </c>
      <c r="L431" t="s">
        <v>74</v>
      </c>
      <c r="M431" t="s">
        <v>77</v>
      </c>
      <c r="N431" t="s">
        <v>78</v>
      </c>
      <c r="O431" t="s">
        <v>74</v>
      </c>
      <c r="P431" t="s">
        <v>74</v>
      </c>
      <c r="Q431" t="s">
        <v>74</v>
      </c>
      <c r="R431" t="s">
        <v>74</v>
      </c>
      <c r="S431" t="s">
        <v>74</v>
      </c>
      <c r="T431" t="s">
        <v>7615</v>
      </c>
      <c r="U431" t="s">
        <v>7616</v>
      </c>
      <c r="V431" t="s">
        <v>7617</v>
      </c>
      <c r="W431" t="s">
        <v>7618</v>
      </c>
      <c r="X431" t="s">
        <v>7619</v>
      </c>
      <c r="Y431" t="s">
        <v>7620</v>
      </c>
      <c r="Z431" t="s">
        <v>7621</v>
      </c>
      <c r="AA431" t="s">
        <v>7622</v>
      </c>
      <c r="AB431" t="s">
        <v>7623</v>
      </c>
      <c r="AC431" t="s">
        <v>74</v>
      </c>
      <c r="AD431" t="s">
        <v>74</v>
      </c>
      <c r="AE431" t="s">
        <v>74</v>
      </c>
      <c r="AF431" t="s">
        <v>74</v>
      </c>
      <c r="AG431">
        <v>56</v>
      </c>
      <c r="AH431">
        <v>19</v>
      </c>
      <c r="AI431">
        <v>20</v>
      </c>
      <c r="AJ431">
        <v>0</v>
      </c>
      <c r="AK431">
        <v>49</v>
      </c>
      <c r="AL431" t="s">
        <v>665</v>
      </c>
      <c r="AM431" t="s">
        <v>666</v>
      </c>
      <c r="AN431" t="s">
        <v>667</v>
      </c>
      <c r="AO431" t="s">
        <v>1926</v>
      </c>
      <c r="AP431" t="s">
        <v>1927</v>
      </c>
      <c r="AQ431" t="s">
        <v>74</v>
      </c>
      <c r="AR431" t="s">
        <v>1928</v>
      </c>
      <c r="AS431" t="s">
        <v>1929</v>
      </c>
      <c r="AT431" t="s">
        <v>74</v>
      </c>
      <c r="AU431">
        <v>2013</v>
      </c>
      <c r="AV431">
        <v>51</v>
      </c>
      <c r="AW431">
        <v>6</v>
      </c>
      <c r="AX431" t="s">
        <v>74</v>
      </c>
      <c r="AY431" t="s">
        <v>74</v>
      </c>
      <c r="AZ431" t="s">
        <v>74</v>
      </c>
      <c r="BA431" t="s">
        <v>74</v>
      </c>
      <c r="BB431">
        <v>1293</v>
      </c>
      <c r="BC431">
        <v>1310</v>
      </c>
      <c r="BD431" t="s">
        <v>74</v>
      </c>
      <c r="BE431" t="s">
        <v>7624</v>
      </c>
      <c r="BF431" t="str">
        <f>HYPERLINK("http://dx.doi.org/10.1108/MD-12-2011-0482","http://dx.doi.org/10.1108/MD-12-2011-0482")</f>
        <v>http://dx.doi.org/10.1108/MD-12-2011-0482</v>
      </c>
      <c r="BG431" t="s">
        <v>74</v>
      </c>
      <c r="BH431" t="s">
        <v>74</v>
      </c>
      <c r="BI431">
        <v>18</v>
      </c>
      <c r="BJ431" t="s">
        <v>93</v>
      </c>
      <c r="BK431" t="s">
        <v>94</v>
      </c>
      <c r="BL431" t="s">
        <v>95</v>
      </c>
      <c r="BM431" t="s">
        <v>7625</v>
      </c>
      <c r="BN431" t="s">
        <v>74</v>
      </c>
      <c r="BO431" t="s">
        <v>7626</v>
      </c>
      <c r="BP431" t="s">
        <v>74</v>
      </c>
      <c r="BQ431" t="s">
        <v>74</v>
      </c>
      <c r="BR431" t="s">
        <v>97</v>
      </c>
      <c r="BS431" t="s">
        <v>7627</v>
      </c>
      <c r="BT431" t="str">
        <f>HYPERLINK("https%3A%2F%2Fwww.webofscience.com%2Fwos%2Fwoscc%2Ffull-record%2FWOS:000321940300010","View Full Record in Web of Science")</f>
        <v>View Full Record in Web of Science</v>
      </c>
    </row>
    <row r="432" spans="1:72" x14ac:dyDescent="0.25">
      <c r="A432" t="s">
        <v>72</v>
      </c>
      <c r="B432" t="s">
        <v>7628</v>
      </c>
      <c r="C432" t="s">
        <v>74</v>
      </c>
      <c r="D432" t="s">
        <v>74</v>
      </c>
      <c r="E432" t="s">
        <v>74</v>
      </c>
      <c r="F432" t="s">
        <v>7628</v>
      </c>
      <c r="G432" t="s">
        <v>74</v>
      </c>
      <c r="H432" t="s">
        <v>74</v>
      </c>
      <c r="I432" t="s">
        <v>7629</v>
      </c>
      <c r="J432" t="s">
        <v>2532</v>
      </c>
      <c r="K432" t="s">
        <v>74</v>
      </c>
      <c r="L432" t="s">
        <v>74</v>
      </c>
      <c r="M432" t="s">
        <v>77</v>
      </c>
      <c r="N432" t="s">
        <v>78</v>
      </c>
      <c r="O432" t="s">
        <v>74</v>
      </c>
      <c r="P432" t="s">
        <v>74</v>
      </c>
      <c r="Q432" t="s">
        <v>74</v>
      </c>
      <c r="R432" t="s">
        <v>74</v>
      </c>
      <c r="S432" t="s">
        <v>74</v>
      </c>
      <c r="T432" t="s">
        <v>74</v>
      </c>
      <c r="U432" t="s">
        <v>74</v>
      </c>
      <c r="V432" t="s">
        <v>74</v>
      </c>
      <c r="W432" t="s">
        <v>7630</v>
      </c>
      <c r="X432" t="s">
        <v>74</v>
      </c>
      <c r="Y432" t="s">
        <v>74</v>
      </c>
      <c r="Z432" t="s">
        <v>74</v>
      </c>
      <c r="AA432" t="s">
        <v>74</v>
      </c>
      <c r="AB432" t="s">
        <v>74</v>
      </c>
      <c r="AC432" t="s">
        <v>74</v>
      </c>
      <c r="AD432" t="s">
        <v>74</v>
      </c>
      <c r="AE432" t="s">
        <v>74</v>
      </c>
      <c r="AF432" t="s">
        <v>74</v>
      </c>
      <c r="AG432">
        <v>88</v>
      </c>
      <c r="AH432">
        <v>19</v>
      </c>
      <c r="AI432">
        <v>19</v>
      </c>
      <c r="AJ432">
        <v>0</v>
      </c>
      <c r="AK432">
        <v>5</v>
      </c>
      <c r="AL432" t="s">
        <v>7631</v>
      </c>
      <c r="AM432" t="s">
        <v>305</v>
      </c>
      <c r="AN432" t="s">
        <v>7632</v>
      </c>
      <c r="AO432" t="s">
        <v>2540</v>
      </c>
      <c r="AP432" t="s">
        <v>74</v>
      </c>
      <c r="AQ432" t="s">
        <v>74</v>
      </c>
      <c r="AR432" t="s">
        <v>2541</v>
      </c>
      <c r="AS432" t="s">
        <v>2542</v>
      </c>
      <c r="AT432" t="s">
        <v>91</v>
      </c>
      <c r="AU432">
        <v>1987</v>
      </c>
      <c r="AV432">
        <v>21</v>
      </c>
      <c r="AW432">
        <v>3</v>
      </c>
      <c r="AX432" t="s">
        <v>74</v>
      </c>
      <c r="AY432" t="s">
        <v>74</v>
      </c>
      <c r="AZ432" t="s">
        <v>74</v>
      </c>
      <c r="BA432" t="s">
        <v>74</v>
      </c>
      <c r="BB432">
        <v>241</v>
      </c>
      <c r="BC432">
        <v>254</v>
      </c>
      <c r="BD432" t="s">
        <v>74</v>
      </c>
      <c r="BE432" t="s">
        <v>7633</v>
      </c>
      <c r="BF432" t="str">
        <f>HYPERLINK("http://dx.doi.org/10.1080/00343408712331344428","http://dx.doi.org/10.1080/00343408712331344428")</f>
        <v>http://dx.doi.org/10.1080/00343408712331344428</v>
      </c>
      <c r="BG432" t="s">
        <v>74</v>
      </c>
      <c r="BH432" t="s">
        <v>74</v>
      </c>
      <c r="BI432">
        <v>14</v>
      </c>
      <c r="BJ432" t="s">
        <v>2544</v>
      </c>
      <c r="BK432" t="s">
        <v>94</v>
      </c>
      <c r="BL432" t="s">
        <v>2545</v>
      </c>
      <c r="BM432" t="s">
        <v>7634</v>
      </c>
      <c r="BN432" t="s">
        <v>74</v>
      </c>
      <c r="BO432" t="s">
        <v>74</v>
      </c>
      <c r="BP432" t="s">
        <v>74</v>
      </c>
      <c r="BQ432" t="s">
        <v>74</v>
      </c>
      <c r="BR432" t="s">
        <v>97</v>
      </c>
      <c r="BS432" t="s">
        <v>7635</v>
      </c>
      <c r="BT432" t="str">
        <f>HYPERLINK("https%3A%2F%2Fwww.webofscience.com%2Fwos%2Fwoscc%2Ffull-record%2FWOS:A1987J000600005","View Full Record in Web of Science")</f>
        <v>View Full Record in Web of Science</v>
      </c>
    </row>
    <row r="433" spans="1:72" x14ac:dyDescent="0.25">
      <c r="A433" t="s">
        <v>72</v>
      </c>
      <c r="B433" t="s">
        <v>7636</v>
      </c>
      <c r="C433" t="s">
        <v>74</v>
      </c>
      <c r="D433" t="s">
        <v>74</v>
      </c>
      <c r="E433" t="s">
        <v>74</v>
      </c>
      <c r="F433" t="s">
        <v>7636</v>
      </c>
      <c r="G433" t="s">
        <v>74</v>
      </c>
      <c r="H433" t="s">
        <v>74</v>
      </c>
      <c r="I433" t="s">
        <v>7637</v>
      </c>
      <c r="J433" t="s">
        <v>7638</v>
      </c>
      <c r="K433" t="s">
        <v>74</v>
      </c>
      <c r="L433" t="s">
        <v>74</v>
      </c>
      <c r="M433" t="s">
        <v>77</v>
      </c>
      <c r="N433" t="s">
        <v>78</v>
      </c>
      <c r="O433" t="s">
        <v>74</v>
      </c>
      <c r="P433" t="s">
        <v>74</v>
      </c>
      <c r="Q433" t="s">
        <v>74</v>
      </c>
      <c r="R433" t="s">
        <v>74</v>
      </c>
      <c r="S433" t="s">
        <v>74</v>
      </c>
      <c r="T433" t="s">
        <v>74</v>
      </c>
      <c r="U433" t="s">
        <v>74</v>
      </c>
      <c r="V433" t="s">
        <v>74</v>
      </c>
      <c r="W433" t="s">
        <v>7639</v>
      </c>
      <c r="X433" t="s">
        <v>7640</v>
      </c>
      <c r="Y433" t="s">
        <v>74</v>
      </c>
      <c r="Z433" t="s">
        <v>74</v>
      </c>
      <c r="AA433" t="s">
        <v>74</v>
      </c>
      <c r="AB433" t="s">
        <v>74</v>
      </c>
      <c r="AC433" t="s">
        <v>74</v>
      </c>
      <c r="AD433" t="s">
        <v>74</v>
      </c>
      <c r="AE433" t="s">
        <v>74</v>
      </c>
      <c r="AF433" t="s">
        <v>74</v>
      </c>
      <c r="AG433">
        <v>23</v>
      </c>
      <c r="AH433">
        <v>19</v>
      </c>
      <c r="AI433">
        <v>19</v>
      </c>
      <c r="AJ433">
        <v>0</v>
      </c>
      <c r="AK433">
        <v>0</v>
      </c>
      <c r="AL433" t="s">
        <v>786</v>
      </c>
      <c r="AM433" t="s">
        <v>219</v>
      </c>
      <c r="AN433" t="s">
        <v>220</v>
      </c>
      <c r="AO433" t="s">
        <v>7641</v>
      </c>
      <c r="AP433" t="s">
        <v>7642</v>
      </c>
      <c r="AQ433" t="s">
        <v>74</v>
      </c>
      <c r="AR433" t="s">
        <v>7643</v>
      </c>
      <c r="AS433" t="s">
        <v>7644</v>
      </c>
      <c r="AT433" t="s">
        <v>74</v>
      </c>
      <c r="AU433">
        <v>1973</v>
      </c>
      <c r="AV433">
        <v>38</v>
      </c>
      <c r="AW433">
        <v>4</v>
      </c>
      <c r="AX433" t="s">
        <v>74</v>
      </c>
      <c r="AY433" t="s">
        <v>74</v>
      </c>
      <c r="AZ433" t="s">
        <v>74</v>
      </c>
      <c r="BA433" t="s">
        <v>74</v>
      </c>
      <c r="BB433">
        <v>391</v>
      </c>
      <c r="BC433">
        <v>411</v>
      </c>
      <c r="BD433" t="s">
        <v>74</v>
      </c>
      <c r="BE433" t="s">
        <v>74</v>
      </c>
      <c r="BF433" t="s">
        <v>74</v>
      </c>
      <c r="BG433" t="s">
        <v>74</v>
      </c>
      <c r="BH433" t="s">
        <v>74</v>
      </c>
      <c r="BI433">
        <v>21</v>
      </c>
      <c r="BJ433" t="s">
        <v>3492</v>
      </c>
      <c r="BK433" t="s">
        <v>94</v>
      </c>
      <c r="BL433" t="s">
        <v>3492</v>
      </c>
      <c r="BM433" t="s">
        <v>7645</v>
      </c>
      <c r="BN433" t="s">
        <v>74</v>
      </c>
      <c r="BO433" t="s">
        <v>74</v>
      </c>
      <c r="BP433" t="s">
        <v>74</v>
      </c>
      <c r="BQ433" t="s">
        <v>74</v>
      </c>
      <c r="BR433" t="s">
        <v>97</v>
      </c>
      <c r="BS433" t="s">
        <v>7646</v>
      </c>
      <c r="BT433" t="str">
        <f>HYPERLINK("https%3A%2F%2Fwww.webofscience.com%2Fwos%2Fwoscc%2Ffull-record%2FWOS:A1973T238000002","View Full Record in Web of Science")</f>
        <v>View Full Record in Web of Science</v>
      </c>
    </row>
    <row r="434" spans="1:72" x14ac:dyDescent="0.25">
      <c r="A434" t="s">
        <v>72</v>
      </c>
      <c r="B434" t="s">
        <v>3624</v>
      </c>
      <c r="C434" t="s">
        <v>74</v>
      </c>
      <c r="D434" t="s">
        <v>74</v>
      </c>
      <c r="E434" t="s">
        <v>74</v>
      </c>
      <c r="F434" t="s">
        <v>7647</v>
      </c>
      <c r="G434" t="s">
        <v>74</v>
      </c>
      <c r="H434" t="s">
        <v>74</v>
      </c>
      <c r="I434" t="s">
        <v>7648</v>
      </c>
      <c r="J434" t="s">
        <v>1290</v>
      </c>
      <c r="K434" t="s">
        <v>74</v>
      </c>
      <c r="L434" t="s">
        <v>74</v>
      </c>
      <c r="M434" t="s">
        <v>77</v>
      </c>
      <c r="N434" t="s">
        <v>78</v>
      </c>
      <c r="O434" t="s">
        <v>74</v>
      </c>
      <c r="P434" t="s">
        <v>74</v>
      </c>
      <c r="Q434" t="s">
        <v>74</v>
      </c>
      <c r="R434" t="s">
        <v>74</v>
      </c>
      <c r="S434" t="s">
        <v>74</v>
      </c>
      <c r="T434" t="s">
        <v>7649</v>
      </c>
      <c r="U434" t="s">
        <v>7650</v>
      </c>
      <c r="V434" t="s">
        <v>7651</v>
      </c>
      <c r="W434" t="s">
        <v>7652</v>
      </c>
      <c r="X434" t="s">
        <v>3631</v>
      </c>
      <c r="Y434" t="s">
        <v>3843</v>
      </c>
      <c r="Z434" t="s">
        <v>3633</v>
      </c>
      <c r="AA434" t="s">
        <v>74</v>
      </c>
      <c r="AB434" t="s">
        <v>74</v>
      </c>
      <c r="AC434" t="s">
        <v>74</v>
      </c>
      <c r="AD434" t="s">
        <v>74</v>
      </c>
      <c r="AE434" t="s">
        <v>74</v>
      </c>
      <c r="AF434" t="s">
        <v>74</v>
      </c>
      <c r="AG434">
        <v>118</v>
      </c>
      <c r="AH434">
        <v>18</v>
      </c>
      <c r="AI434">
        <v>18</v>
      </c>
      <c r="AJ434">
        <v>9</v>
      </c>
      <c r="AK434">
        <v>40</v>
      </c>
      <c r="AL434" t="s">
        <v>665</v>
      </c>
      <c r="AM434" t="s">
        <v>666</v>
      </c>
      <c r="AN434" t="s">
        <v>667</v>
      </c>
      <c r="AO434" t="s">
        <v>1300</v>
      </c>
      <c r="AP434" t="s">
        <v>1301</v>
      </c>
      <c r="AQ434" t="s">
        <v>74</v>
      </c>
      <c r="AR434" t="s">
        <v>1302</v>
      </c>
      <c r="AS434" t="s">
        <v>1303</v>
      </c>
      <c r="AT434" t="s">
        <v>7653</v>
      </c>
      <c r="AU434">
        <v>2021</v>
      </c>
      <c r="AV434">
        <v>33</v>
      </c>
      <c r="AW434">
        <v>12</v>
      </c>
      <c r="AX434" t="s">
        <v>74</v>
      </c>
      <c r="AY434" t="s">
        <v>74</v>
      </c>
      <c r="AZ434" t="s">
        <v>74</v>
      </c>
      <c r="BA434" t="s">
        <v>74</v>
      </c>
      <c r="BB434">
        <v>4258</v>
      </c>
      <c r="BC434">
        <v>4285</v>
      </c>
      <c r="BD434" t="s">
        <v>74</v>
      </c>
      <c r="BE434" t="s">
        <v>7654</v>
      </c>
      <c r="BF434" t="str">
        <f>HYPERLINK("http://dx.doi.org/10.1108/IJCHM-02-2021-0276","http://dx.doi.org/10.1108/IJCHM-02-2021-0276")</f>
        <v>http://dx.doi.org/10.1108/IJCHM-02-2021-0276</v>
      </c>
      <c r="BG434" t="s">
        <v>74</v>
      </c>
      <c r="BH434" t="s">
        <v>7655</v>
      </c>
      <c r="BI434">
        <v>28</v>
      </c>
      <c r="BJ434" t="s">
        <v>1305</v>
      </c>
      <c r="BK434" t="s">
        <v>94</v>
      </c>
      <c r="BL434" t="s">
        <v>1306</v>
      </c>
      <c r="BM434" t="s">
        <v>7656</v>
      </c>
      <c r="BN434" t="s">
        <v>74</v>
      </c>
      <c r="BO434" t="s">
        <v>74</v>
      </c>
      <c r="BP434" t="s">
        <v>74</v>
      </c>
      <c r="BQ434" t="s">
        <v>74</v>
      </c>
      <c r="BR434" t="s">
        <v>97</v>
      </c>
      <c r="BS434" t="s">
        <v>7657</v>
      </c>
      <c r="BT434" t="str">
        <f>HYPERLINK("https%3A%2F%2Fwww.webofscience.com%2Fwos%2Fwoscc%2Ffull-record%2FWOS:000705654600001","View Full Record in Web of Science")</f>
        <v>View Full Record in Web of Science</v>
      </c>
    </row>
    <row r="435" spans="1:72" x14ac:dyDescent="0.25">
      <c r="A435" t="s">
        <v>72</v>
      </c>
      <c r="B435" t="s">
        <v>7658</v>
      </c>
      <c r="C435" t="s">
        <v>74</v>
      </c>
      <c r="D435" t="s">
        <v>74</v>
      </c>
      <c r="E435" t="s">
        <v>74</v>
      </c>
      <c r="F435" t="s">
        <v>7659</v>
      </c>
      <c r="G435" t="s">
        <v>74</v>
      </c>
      <c r="H435" t="s">
        <v>74</v>
      </c>
      <c r="I435" t="s">
        <v>7660</v>
      </c>
      <c r="J435" t="s">
        <v>7661</v>
      </c>
      <c r="K435" t="s">
        <v>74</v>
      </c>
      <c r="L435" t="s">
        <v>74</v>
      </c>
      <c r="M435" t="s">
        <v>77</v>
      </c>
      <c r="N435" t="s">
        <v>78</v>
      </c>
      <c r="O435" t="s">
        <v>74</v>
      </c>
      <c r="P435" t="s">
        <v>74</v>
      </c>
      <c r="Q435" t="s">
        <v>74</v>
      </c>
      <c r="R435" t="s">
        <v>74</v>
      </c>
      <c r="S435" t="s">
        <v>74</v>
      </c>
      <c r="T435" t="s">
        <v>7662</v>
      </c>
      <c r="U435" t="s">
        <v>7663</v>
      </c>
      <c r="V435" t="s">
        <v>7664</v>
      </c>
      <c r="W435" t="s">
        <v>7665</v>
      </c>
      <c r="X435" t="s">
        <v>7666</v>
      </c>
      <c r="Y435" t="s">
        <v>7667</v>
      </c>
      <c r="Z435" t="s">
        <v>7668</v>
      </c>
      <c r="AA435" t="s">
        <v>7669</v>
      </c>
      <c r="AB435" t="s">
        <v>7670</v>
      </c>
      <c r="AC435" t="s">
        <v>74</v>
      </c>
      <c r="AD435" t="s">
        <v>74</v>
      </c>
      <c r="AE435" t="s">
        <v>74</v>
      </c>
      <c r="AF435" t="s">
        <v>74</v>
      </c>
      <c r="AG435">
        <v>34</v>
      </c>
      <c r="AH435">
        <v>18</v>
      </c>
      <c r="AI435">
        <v>19</v>
      </c>
      <c r="AJ435">
        <v>2</v>
      </c>
      <c r="AK435">
        <v>13</v>
      </c>
      <c r="AL435" t="s">
        <v>218</v>
      </c>
      <c r="AM435" t="s">
        <v>219</v>
      </c>
      <c r="AN435" t="s">
        <v>220</v>
      </c>
      <c r="AO435" t="s">
        <v>7671</v>
      </c>
      <c r="AP435" t="s">
        <v>7672</v>
      </c>
      <c r="AQ435" t="s">
        <v>74</v>
      </c>
      <c r="AR435" t="s">
        <v>7673</v>
      </c>
      <c r="AS435" t="s">
        <v>7674</v>
      </c>
      <c r="AT435" t="s">
        <v>584</v>
      </c>
      <c r="AU435">
        <v>2021</v>
      </c>
      <c r="AV435">
        <v>74</v>
      </c>
      <c r="AW435">
        <v>4</v>
      </c>
      <c r="AX435" t="s">
        <v>74</v>
      </c>
      <c r="AY435" t="s">
        <v>74</v>
      </c>
      <c r="AZ435" t="s">
        <v>74</v>
      </c>
      <c r="BA435" t="s">
        <v>74</v>
      </c>
      <c r="BB435">
        <v>768</v>
      </c>
      <c r="BC435">
        <v>777</v>
      </c>
      <c r="BD435" t="s">
        <v>74</v>
      </c>
      <c r="BE435" t="s">
        <v>7675</v>
      </c>
      <c r="BF435" t="str">
        <f>HYPERLINK("http://dx.doi.org/10.1111/1471-0307.12807","http://dx.doi.org/10.1111/1471-0307.12807")</f>
        <v>http://dx.doi.org/10.1111/1471-0307.12807</v>
      </c>
      <c r="BG435" t="s">
        <v>74</v>
      </c>
      <c r="BH435" t="s">
        <v>7676</v>
      </c>
      <c r="BI435">
        <v>10</v>
      </c>
      <c r="BJ435" t="s">
        <v>7677</v>
      </c>
      <c r="BK435" t="s">
        <v>283</v>
      </c>
      <c r="BL435" t="s">
        <v>7677</v>
      </c>
      <c r="BM435" t="s">
        <v>7678</v>
      </c>
      <c r="BN435" t="s">
        <v>74</v>
      </c>
      <c r="BO435" t="s">
        <v>74</v>
      </c>
      <c r="BP435" t="s">
        <v>74</v>
      </c>
      <c r="BQ435" t="s">
        <v>74</v>
      </c>
      <c r="BR435" t="s">
        <v>97</v>
      </c>
      <c r="BS435" t="s">
        <v>7679</v>
      </c>
      <c r="BT435" t="str">
        <f>HYPERLINK("https%3A%2F%2Fwww.webofscience.com%2Fwos%2Fwoscc%2Ffull-record%2FWOS:000689686600001","View Full Record in Web of Science")</f>
        <v>View Full Record in Web of Science</v>
      </c>
    </row>
    <row r="436" spans="1:72" x14ac:dyDescent="0.25">
      <c r="A436" t="s">
        <v>72</v>
      </c>
      <c r="B436" t="s">
        <v>7680</v>
      </c>
      <c r="C436" t="s">
        <v>74</v>
      </c>
      <c r="D436" t="s">
        <v>74</v>
      </c>
      <c r="E436" t="s">
        <v>74</v>
      </c>
      <c r="F436" t="s">
        <v>7681</v>
      </c>
      <c r="G436" t="s">
        <v>74</v>
      </c>
      <c r="H436" t="s">
        <v>74</v>
      </c>
      <c r="I436" t="s">
        <v>7682</v>
      </c>
      <c r="J436" t="s">
        <v>2365</v>
      </c>
      <c r="K436" t="s">
        <v>74</v>
      </c>
      <c r="L436" t="s">
        <v>74</v>
      </c>
      <c r="M436" t="s">
        <v>77</v>
      </c>
      <c r="N436" t="s">
        <v>78</v>
      </c>
      <c r="O436" t="s">
        <v>74</v>
      </c>
      <c r="P436" t="s">
        <v>74</v>
      </c>
      <c r="Q436" t="s">
        <v>74</v>
      </c>
      <c r="R436" t="s">
        <v>74</v>
      </c>
      <c r="S436" t="s">
        <v>74</v>
      </c>
      <c r="T436" t="s">
        <v>7683</v>
      </c>
      <c r="U436" t="s">
        <v>7684</v>
      </c>
      <c r="V436" t="s">
        <v>7685</v>
      </c>
      <c r="W436" t="s">
        <v>7686</v>
      </c>
      <c r="X436" t="s">
        <v>7687</v>
      </c>
      <c r="Y436" t="s">
        <v>7688</v>
      </c>
      <c r="Z436" t="s">
        <v>7689</v>
      </c>
      <c r="AA436" t="s">
        <v>7690</v>
      </c>
      <c r="AB436" t="s">
        <v>7691</v>
      </c>
      <c r="AC436" t="s">
        <v>74</v>
      </c>
      <c r="AD436" t="s">
        <v>74</v>
      </c>
      <c r="AE436" t="s">
        <v>74</v>
      </c>
      <c r="AF436" t="s">
        <v>74</v>
      </c>
      <c r="AG436">
        <v>133</v>
      </c>
      <c r="AH436">
        <v>18</v>
      </c>
      <c r="AI436">
        <v>18</v>
      </c>
      <c r="AJ436">
        <v>10</v>
      </c>
      <c r="AK436">
        <v>72</v>
      </c>
      <c r="AL436" t="s">
        <v>329</v>
      </c>
      <c r="AM436" t="s">
        <v>330</v>
      </c>
      <c r="AN436" t="s">
        <v>331</v>
      </c>
      <c r="AO436" t="s">
        <v>2375</v>
      </c>
      <c r="AP436" t="s">
        <v>2376</v>
      </c>
      <c r="AQ436" t="s">
        <v>74</v>
      </c>
      <c r="AR436" t="s">
        <v>2377</v>
      </c>
      <c r="AS436" t="s">
        <v>2378</v>
      </c>
      <c r="AT436" t="s">
        <v>496</v>
      </c>
      <c r="AU436">
        <v>2021</v>
      </c>
      <c r="AV436">
        <v>170</v>
      </c>
      <c r="AW436" t="s">
        <v>74</v>
      </c>
      <c r="AX436" t="s">
        <v>74</v>
      </c>
      <c r="AY436" t="s">
        <v>74</v>
      </c>
      <c r="AZ436" t="s">
        <v>74</v>
      </c>
      <c r="BA436" t="s">
        <v>74</v>
      </c>
      <c r="BB436" t="s">
        <v>74</v>
      </c>
      <c r="BC436" t="s">
        <v>74</v>
      </c>
      <c r="BD436">
        <v>120877</v>
      </c>
      <c r="BE436" t="s">
        <v>7692</v>
      </c>
      <c r="BF436" t="str">
        <f>HYPERLINK("http://dx.doi.org/10.1016/j.techfore.2021.120877","http://dx.doi.org/10.1016/j.techfore.2021.120877")</f>
        <v>http://dx.doi.org/10.1016/j.techfore.2021.120877</v>
      </c>
      <c r="BG436" t="s">
        <v>74</v>
      </c>
      <c r="BH436" t="s">
        <v>4580</v>
      </c>
      <c r="BI436">
        <v>13</v>
      </c>
      <c r="BJ436" t="s">
        <v>2380</v>
      </c>
      <c r="BK436" t="s">
        <v>94</v>
      </c>
      <c r="BL436" t="s">
        <v>2246</v>
      </c>
      <c r="BM436" t="s">
        <v>7693</v>
      </c>
      <c r="BN436" t="s">
        <v>74</v>
      </c>
      <c r="BO436" t="s">
        <v>74</v>
      </c>
      <c r="BP436" t="s">
        <v>74</v>
      </c>
      <c r="BQ436" t="s">
        <v>74</v>
      </c>
      <c r="BR436" t="s">
        <v>97</v>
      </c>
      <c r="BS436" t="s">
        <v>7694</v>
      </c>
      <c r="BT436" t="str">
        <f>HYPERLINK("https%3A%2F%2Fwww.webofscience.com%2Fwos%2Fwoscc%2Ffull-record%2FWOS:000672563900005","View Full Record in Web of Science")</f>
        <v>View Full Record in Web of Science</v>
      </c>
    </row>
    <row r="437" spans="1:72" x14ac:dyDescent="0.25">
      <c r="A437" t="s">
        <v>72</v>
      </c>
      <c r="B437" t="s">
        <v>7695</v>
      </c>
      <c r="C437" t="s">
        <v>74</v>
      </c>
      <c r="D437" t="s">
        <v>74</v>
      </c>
      <c r="E437" t="s">
        <v>74</v>
      </c>
      <c r="F437" t="s">
        <v>7696</v>
      </c>
      <c r="G437" t="s">
        <v>74</v>
      </c>
      <c r="H437" t="s">
        <v>74</v>
      </c>
      <c r="I437" t="s">
        <v>7697</v>
      </c>
      <c r="J437" t="s">
        <v>6372</v>
      </c>
      <c r="K437" t="s">
        <v>74</v>
      </c>
      <c r="L437" t="s">
        <v>74</v>
      </c>
      <c r="M437" t="s">
        <v>77</v>
      </c>
      <c r="N437" t="s">
        <v>78</v>
      </c>
      <c r="O437" t="s">
        <v>74</v>
      </c>
      <c r="P437" t="s">
        <v>74</v>
      </c>
      <c r="Q437" t="s">
        <v>74</v>
      </c>
      <c r="R437" t="s">
        <v>74</v>
      </c>
      <c r="S437" t="s">
        <v>74</v>
      </c>
      <c r="T437" t="s">
        <v>7698</v>
      </c>
      <c r="U437" t="s">
        <v>7699</v>
      </c>
      <c r="V437" t="s">
        <v>7700</v>
      </c>
      <c r="W437" t="s">
        <v>7701</v>
      </c>
      <c r="X437" t="s">
        <v>7702</v>
      </c>
      <c r="Y437" t="s">
        <v>7703</v>
      </c>
      <c r="Z437" t="s">
        <v>7704</v>
      </c>
      <c r="AA437" t="s">
        <v>74</v>
      </c>
      <c r="AB437" t="s">
        <v>74</v>
      </c>
      <c r="AC437" t="s">
        <v>7705</v>
      </c>
      <c r="AD437" t="s">
        <v>7706</v>
      </c>
      <c r="AE437" t="s">
        <v>7707</v>
      </c>
      <c r="AF437" t="s">
        <v>74</v>
      </c>
      <c r="AG437">
        <v>57</v>
      </c>
      <c r="AH437">
        <v>18</v>
      </c>
      <c r="AI437">
        <v>18</v>
      </c>
      <c r="AJ437">
        <v>12</v>
      </c>
      <c r="AK437">
        <v>68</v>
      </c>
      <c r="AL437" t="s">
        <v>2473</v>
      </c>
      <c r="AM437" t="s">
        <v>2102</v>
      </c>
      <c r="AN437" t="s">
        <v>2474</v>
      </c>
      <c r="AO437" t="s">
        <v>74</v>
      </c>
      <c r="AP437" t="s">
        <v>6384</v>
      </c>
      <c r="AQ437" t="s">
        <v>74</v>
      </c>
      <c r="AR437" t="s">
        <v>6385</v>
      </c>
      <c r="AS437" t="s">
        <v>6386</v>
      </c>
      <c r="AT437" t="s">
        <v>405</v>
      </c>
      <c r="AU437">
        <v>2020</v>
      </c>
      <c r="AV437">
        <v>17</v>
      </c>
      <c r="AW437">
        <v>4</v>
      </c>
      <c r="AX437" t="s">
        <v>74</v>
      </c>
      <c r="AY437" t="s">
        <v>74</v>
      </c>
      <c r="AZ437" t="s">
        <v>74</v>
      </c>
      <c r="BA437" t="s">
        <v>74</v>
      </c>
      <c r="BB437" t="s">
        <v>74</v>
      </c>
      <c r="BC437" t="s">
        <v>74</v>
      </c>
      <c r="BD437">
        <v>1150</v>
      </c>
      <c r="BE437" t="s">
        <v>7708</v>
      </c>
      <c r="BF437" t="str">
        <f>HYPERLINK("http://dx.doi.org/10.3390/ijerph17041150","http://dx.doi.org/10.3390/ijerph17041150")</f>
        <v>http://dx.doi.org/10.3390/ijerph17041150</v>
      </c>
      <c r="BG437" t="s">
        <v>74</v>
      </c>
      <c r="BH437" t="s">
        <v>74</v>
      </c>
      <c r="BI437">
        <v>17</v>
      </c>
      <c r="BJ437" t="s">
        <v>6388</v>
      </c>
      <c r="BK437" t="s">
        <v>147</v>
      </c>
      <c r="BL437" t="s">
        <v>6389</v>
      </c>
      <c r="BM437" t="s">
        <v>7709</v>
      </c>
      <c r="BN437">
        <v>32059559</v>
      </c>
      <c r="BO437" t="s">
        <v>4398</v>
      </c>
      <c r="BP437" t="s">
        <v>74</v>
      </c>
      <c r="BQ437" t="s">
        <v>74</v>
      </c>
      <c r="BR437" t="s">
        <v>97</v>
      </c>
      <c r="BS437" t="s">
        <v>7710</v>
      </c>
      <c r="BT437" t="str">
        <f>HYPERLINK("https%3A%2F%2Fwww.webofscience.com%2Fwos%2Fwoscc%2Ffull-record%2FWOS:000522388500026","View Full Record in Web of Science")</f>
        <v>View Full Record in Web of Science</v>
      </c>
    </row>
    <row r="438" spans="1:72" x14ac:dyDescent="0.25">
      <c r="A438" t="s">
        <v>72</v>
      </c>
      <c r="B438" t="s">
        <v>5943</v>
      </c>
      <c r="C438" t="s">
        <v>74</v>
      </c>
      <c r="D438" t="s">
        <v>74</v>
      </c>
      <c r="E438" t="s">
        <v>74</v>
      </c>
      <c r="F438" t="s">
        <v>5944</v>
      </c>
      <c r="G438" t="s">
        <v>74</v>
      </c>
      <c r="H438" t="s">
        <v>74</v>
      </c>
      <c r="I438" t="s">
        <v>7711</v>
      </c>
      <c r="J438" t="s">
        <v>4325</v>
      </c>
      <c r="K438" t="s">
        <v>74</v>
      </c>
      <c r="L438" t="s">
        <v>74</v>
      </c>
      <c r="M438" t="s">
        <v>77</v>
      </c>
      <c r="N438" t="s">
        <v>78</v>
      </c>
      <c r="O438" t="s">
        <v>74</v>
      </c>
      <c r="P438" t="s">
        <v>74</v>
      </c>
      <c r="Q438" t="s">
        <v>74</v>
      </c>
      <c r="R438" t="s">
        <v>74</v>
      </c>
      <c r="S438" t="s">
        <v>74</v>
      </c>
      <c r="T438" t="s">
        <v>74</v>
      </c>
      <c r="U438" t="s">
        <v>7712</v>
      </c>
      <c r="V438" t="s">
        <v>7713</v>
      </c>
      <c r="W438" t="s">
        <v>7714</v>
      </c>
      <c r="X438" t="s">
        <v>5950</v>
      </c>
      <c r="Y438" t="s">
        <v>7715</v>
      </c>
      <c r="Z438" t="s">
        <v>7716</v>
      </c>
      <c r="AA438" t="s">
        <v>5953</v>
      </c>
      <c r="AB438" t="s">
        <v>7717</v>
      </c>
      <c r="AC438" t="s">
        <v>74</v>
      </c>
      <c r="AD438" t="s">
        <v>74</v>
      </c>
      <c r="AE438" t="s">
        <v>74</v>
      </c>
      <c r="AF438" t="s">
        <v>74</v>
      </c>
      <c r="AG438">
        <v>94</v>
      </c>
      <c r="AH438">
        <v>18</v>
      </c>
      <c r="AI438">
        <v>18</v>
      </c>
      <c r="AJ438">
        <v>6</v>
      </c>
      <c r="AK438">
        <v>45</v>
      </c>
      <c r="AL438" t="s">
        <v>218</v>
      </c>
      <c r="AM438" t="s">
        <v>219</v>
      </c>
      <c r="AN438" t="s">
        <v>220</v>
      </c>
      <c r="AO438" t="s">
        <v>4332</v>
      </c>
      <c r="AP438" t="s">
        <v>4333</v>
      </c>
      <c r="AQ438" t="s">
        <v>74</v>
      </c>
      <c r="AR438" t="s">
        <v>4334</v>
      </c>
      <c r="AS438" t="s">
        <v>4335</v>
      </c>
      <c r="AT438" t="s">
        <v>496</v>
      </c>
      <c r="AU438">
        <v>2019</v>
      </c>
      <c r="AV438">
        <v>28</v>
      </c>
      <c r="AW438">
        <v>3</v>
      </c>
      <c r="AX438" t="s">
        <v>74</v>
      </c>
      <c r="AY438" t="s">
        <v>74</v>
      </c>
      <c r="AZ438" t="s">
        <v>74</v>
      </c>
      <c r="BA438" t="s">
        <v>74</v>
      </c>
      <c r="BB438">
        <v>329</v>
      </c>
      <c r="BC438">
        <v>342</v>
      </c>
      <c r="BD438" t="s">
        <v>74</v>
      </c>
      <c r="BE438" t="s">
        <v>7718</v>
      </c>
      <c r="BF438" t="str">
        <f>HYPERLINK("http://dx.doi.org/10.1111/caim.12328","http://dx.doi.org/10.1111/caim.12328")</f>
        <v>http://dx.doi.org/10.1111/caim.12328</v>
      </c>
      <c r="BG438" t="s">
        <v>74</v>
      </c>
      <c r="BH438" t="s">
        <v>74</v>
      </c>
      <c r="BI438">
        <v>14</v>
      </c>
      <c r="BJ438" t="s">
        <v>442</v>
      </c>
      <c r="BK438" t="s">
        <v>94</v>
      </c>
      <c r="BL438" t="s">
        <v>95</v>
      </c>
      <c r="BM438" t="s">
        <v>7719</v>
      </c>
      <c r="BN438" t="s">
        <v>74</v>
      </c>
      <c r="BO438" t="s">
        <v>2267</v>
      </c>
      <c r="BP438" t="s">
        <v>74</v>
      </c>
      <c r="BQ438" t="s">
        <v>74</v>
      </c>
      <c r="BR438" t="s">
        <v>97</v>
      </c>
      <c r="BS438" t="s">
        <v>7720</v>
      </c>
      <c r="BT438" t="str">
        <f>HYPERLINK("https%3A%2F%2Fwww.webofscience.com%2Fwos%2Fwoscc%2Ffull-record%2FWOS:000478905200005","View Full Record in Web of Science")</f>
        <v>View Full Record in Web of Science</v>
      </c>
    </row>
    <row r="439" spans="1:72" x14ac:dyDescent="0.25">
      <c r="A439" t="s">
        <v>72</v>
      </c>
      <c r="B439" t="s">
        <v>7721</v>
      </c>
      <c r="C439" t="s">
        <v>74</v>
      </c>
      <c r="D439" t="s">
        <v>74</v>
      </c>
      <c r="E439" t="s">
        <v>74</v>
      </c>
      <c r="F439" t="s">
        <v>7722</v>
      </c>
      <c r="G439" t="s">
        <v>74</v>
      </c>
      <c r="H439" t="s">
        <v>74</v>
      </c>
      <c r="I439" t="s">
        <v>7723</v>
      </c>
      <c r="J439" t="s">
        <v>758</v>
      </c>
      <c r="K439" t="s">
        <v>74</v>
      </c>
      <c r="L439" t="s">
        <v>74</v>
      </c>
      <c r="M439" t="s">
        <v>77</v>
      </c>
      <c r="N439" t="s">
        <v>78</v>
      </c>
      <c r="O439" t="s">
        <v>74</v>
      </c>
      <c r="P439" t="s">
        <v>74</v>
      </c>
      <c r="Q439" t="s">
        <v>74</v>
      </c>
      <c r="R439" t="s">
        <v>74</v>
      </c>
      <c r="S439" t="s">
        <v>74</v>
      </c>
      <c r="T439" t="s">
        <v>7724</v>
      </c>
      <c r="U439" t="s">
        <v>7725</v>
      </c>
      <c r="V439" t="s">
        <v>7726</v>
      </c>
      <c r="W439" t="s">
        <v>7727</v>
      </c>
      <c r="X439" t="s">
        <v>7728</v>
      </c>
      <c r="Y439" t="s">
        <v>7729</v>
      </c>
      <c r="Z439" t="s">
        <v>7730</v>
      </c>
      <c r="AA439" t="s">
        <v>7731</v>
      </c>
      <c r="AB439" t="s">
        <v>7732</v>
      </c>
      <c r="AC439" t="s">
        <v>7733</v>
      </c>
      <c r="AD439" t="s">
        <v>7733</v>
      </c>
      <c r="AE439" t="s">
        <v>7734</v>
      </c>
      <c r="AF439" t="s">
        <v>74</v>
      </c>
      <c r="AG439">
        <v>82</v>
      </c>
      <c r="AH439">
        <v>18</v>
      </c>
      <c r="AI439">
        <v>19</v>
      </c>
      <c r="AJ439">
        <v>1</v>
      </c>
      <c r="AK439">
        <v>41</v>
      </c>
      <c r="AL439" t="s">
        <v>766</v>
      </c>
      <c r="AM439" t="s">
        <v>330</v>
      </c>
      <c r="AN439" t="s">
        <v>1452</v>
      </c>
      <c r="AO439" t="s">
        <v>768</v>
      </c>
      <c r="AP439" t="s">
        <v>769</v>
      </c>
      <c r="AQ439" t="s">
        <v>74</v>
      </c>
      <c r="AR439" t="s">
        <v>770</v>
      </c>
      <c r="AS439" t="s">
        <v>771</v>
      </c>
      <c r="AT439" t="s">
        <v>91</v>
      </c>
      <c r="AU439">
        <v>2019</v>
      </c>
      <c r="AV439">
        <v>34</v>
      </c>
      <c r="AW439">
        <v>3</v>
      </c>
      <c r="AX439" t="s">
        <v>74</v>
      </c>
      <c r="AY439" t="s">
        <v>74</v>
      </c>
      <c r="AZ439" t="s">
        <v>74</v>
      </c>
      <c r="BA439" t="s">
        <v>74</v>
      </c>
      <c r="BB439">
        <v>377</v>
      </c>
      <c r="BC439">
        <v>388</v>
      </c>
      <c r="BD439" t="s">
        <v>74</v>
      </c>
      <c r="BE439" t="s">
        <v>7735</v>
      </c>
      <c r="BF439" t="str">
        <f>HYPERLINK("http://dx.doi.org/10.1007/s10869-018-9546-9","http://dx.doi.org/10.1007/s10869-018-9546-9")</f>
        <v>http://dx.doi.org/10.1007/s10869-018-9546-9</v>
      </c>
      <c r="BG439" t="s">
        <v>74</v>
      </c>
      <c r="BH439" t="s">
        <v>74</v>
      </c>
      <c r="BI439">
        <v>12</v>
      </c>
      <c r="BJ439" t="s">
        <v>773</v>
      </c>
      <c r="BK439" t="s">
        <v>94</v>
      </c>
      <c r="BL439" t="s">
        <v>227</v>
      </c>
      <c r="BM439" t="s">
        <v>7736</v>
      </c>
      <c r="BN439" t="s">
        <v>74</v>
      </c>
      <c r="BO439" t="s">
        <v>74</v>
      </c>
      <c r="BP439" t="s">
        <v>74</v>
      </c>
      <c r="BQ439" t="s">
        <v>74</v>
      </c>
      <c r="BR439" t="s">
        <v>97</v>
      </c>
      <c r="BS439" t="s">
        <v>7737</v>
      </c>
      <c r="BT439" t="str">
        <f>HYPERLINK("https%3A%2F%2Fwww.webofscience.com%2Fwos%2Fwoscc%2Ffull-record%2FWOS:000468340400008","View Full Record in Web of Science")</f>
        <v>View Full Record in Web of Science</v>
      </c>
    </row>
    <row r="440" spans="1:72" x14ac:dyDescent="0.25">
      <c r="A440" t="s">
        <v>72</v>
      </c>
      <c r="B440" t="s">
        <v>7738</v>
      </c>
      <c r="C440" t="s">
        <v>74</v>
      </c>
      <c r="D440" t="s">
        <v>74</v>
      </c>
      <c r="E440" t="s">
        <v>74</v>
      </c>
      <c r="F440" t="s">
        <v>7739</v>
      </c>
      <c r="G440" t="s">
        <v>74</v>
      </c>
      <c r="H440" t="s">
        <v>74</v>
      </c>
      <c r="I440" t="s">
        <v>7740</v>
      </c>
      <c r="J440" t="s">
        <v>2463</v>
      </c>
      <c r="K440" t="s">
        <v>74</v>
      </c>
      <c r="L440" t="s">
        <v>74</v>
      </c>
      <c r="M440" t="s">
        <v>77</v>
      </c>
      <c r="N440" t="s">
        <v>78</v>
      </c>
      <c r="O440" t="s">
        <v>74</v>
      </c>
      <c r="P440" t="s">
        <v>74</v>
      </c>
      <c r="Q440" t="s">
        <v>74</v>
      </c>
      <c r="R440" t="s">
        <v>74</v>
      </c>
      <c r="S440" t="s">
        <v>74</v>
      </c>
      <c r="T440" t="s">
        <v>7741</v>
      </c>
      <c r="U440" t="s">
        <v>7742</v>
      </c>
      <c r="V440" t="s">
        <v>7743</v>
      </c>
      <c r="W440" t="s">
        <v>7744</v>
      </c>
      <c r="X440" t="s">
        <v>7745</v>
      </c>
      <c r="Y440" t="s">
        <v>7746</v>
      </c>
      <c r="Z440" t="s">
        <v>7747</v>
      </c>
      <c r="AA440" t="s">
        <v>7748</v>
      </c>
      <c r="AB440" t="s">
        <v>7749</v>
      </c>
      <c r="AC440" t="s">
        <v>74</v>
      </c>
      <c r="AD440" t="s">
        <v>74</v>
      </c>
      <c r="AE440" t="s">
        <v>74</v>
      </c>
      <c r="AF440" t="s">
        <v>74</v>
      </c>
      <c r="AG440">
        <v>117</v>
      </c>
      <c r="AH440">
        <v>18</v>
      </c>
      <c r="AI440">
        <v>18</v>
      </c>
      <c r="AJ440">
        <v>14</v>
      </c>
      <c r="AK440">
        <v>61</v>
      </c>
      <c r="AL440" t="s">
        <v>2473</v>
      </c>
      <c r="AM440" t="s">
        <v>2102</v>
      </c>
      <c r="AN440" t="s">
        <v>2474</v>
      </c>
      <c r="AO440" t="s">
        <v>74</v>
      </c>
      <c r="AP440" t="s">
        <v>2475</v>
      </c>
      <c r="AQ440" t="s">
        <v>74</v>
      </c>
      <c r="AR440" t="s">
        <v>2476</v>
      </c>
      <c r="AS440" t="s">
        <v>2477</v>
      </c>
      <c r="AT440" t="s">
        <v>7750</v>
      </c>
      <c r="AU440">
        <v>2019</v>
      </c>
      <c r="AV440">
        <v>11</v>
      </c>
      <c r="AW440">
        <v>10</v>
      </c>
      <c r="AX440" t="s">
        <v>74</v>
      </c>
      <c r="AY440" t="s">
        <v>74</v>
      </c>
      <c r="AZ440" t="s">
        <v>74</v>
      </c>
      <c r="BA440" t="s">
        <v>74</v>
      </c>
      <c r="BB440" t="s">
        <v>74</v>
      </c>
      <c r="BC440" t="s">
        <v>74</v>
      </c>
      <c r="BD440">
        <v>2793</v>
      </c>
      <c r="BE440" t="s">
        <v>7751</v>
      </c>
      <c r="BF440" t="str">
        <f>HYPERLINK("http://dx.doi.org/10.3390/su11102793","http://dx.doi.org/10.3390/su11102793")</f>
        <v>http://dx.doi.org/10.3390/su11102793</v>
      </c>
      <c r="BG440" t="s">
        <v>74</v>
      </c>
      <c r="BH440" t="s">
        <v>74</v>
      </c>
      <c r="BI440">
        <v>21</v>
      </c>
      <c r="BJ440" t="s">
        <v>2479</v>
      </c>
      <c r="BK440" t="s">
        <v>147</v>
      </c>
      <c r="BL440" t="s">
        <v>2480</v>
      </c>
      <c r="BM440" t="s">
        <v>7752</v>
      </c>
      <c r="BN440" t="s">
        <v>74</v>
      </c>
      <c r="BO440" t="s">
        <v>3205</v>
      </c>
      <c r="BP440" t="s">
        <v>74</v>
      </c>
      <c r="BQ440" t="s">
        <v>74</v>
      </c>
      <c r="BR440" t="s">
        <v>97</v>
      </c>
      <c r="BS440" t="s">
        <v>7753</v>
      </c>
      <c r="BT440" t="str">
        <f>HYPERLINK("https%3A%2F%2Fwww.webofscience.com%2Fwos%2Fwoscc%2Ffull-record%2FWOS:000471010300076","View Full Record in Web of Science")</f>
        <v>View Full Record in Web of Science</v>
      </c>
    </row>
    <row r="441" spans="1:72" x14ac:dyDescent="0.25">
      <c r="A441" t="s">
        <v>72</v>
      </c>
      <c r="B441" t="s">
        <v>7754</v>
      </c>
      <c r="C441" t="s">
        <v>74</v>
      </c>
      <c r="D441" t="s">
        <v>74</v>
      </c>
      <c r="E441" t="s">
        <v>74</v>
      </c>
      <c r="F441" t="s">
        <v>7755</v>
      </c>
      <c r="G441" t="s">
        <v>74</v>
      </c>
      <c r="H441" t="s">
        <v>74</v>
      </c>
      <c r="I441" t="s">
        <v>7756</v>
      </c>
      <c r="J441" t="s">
        <v>1692</v>
      </c>
      <c r="K441" t="s">
        <v>74</v>
      </c>
      <c r="L441" t="s">
        <v>74</v>
      </c>
      <c r="M441" t="s">
        <v>77</v>
      </c>
      <c r="N441" t="s">
        <v>78</v>
      </c>
      <c r="O441" t="s">
        <v>74</v>
      </c>
      <c r="P441" t="s">
        <v>74</v>
      </c>
      <c r="Q441" t="s">
        <v>74</v>
      </c>
      <c r="R441" t="s">
        <v>74</v>
      </c>
      <c r="S441" t="s">
        <v>74</v>
      </c>
      <c r="T441" t="s">
        <v>7757</v>
      </c>
      <c r="U441" t="s">
        <v>7758</v>
      </c>
      <c r="V441" t="s">
        <v>7759</v>
      </c>
      <c r="W441" t="s">
        <v>7760</v>
      </c>
      <c r="X441" t="s">
        <v>7761</v>
      </c>
      <c r="Y441" t="s">
        <v>7762</v>
      </c>
      <c r="Z441" t="s">
        <v>7763</v>
      </c>
      <c r="AA441" t="s">
        <v>7764</v>
      </c>
      <c r="AB441" t="s">
        <v>7765</v>
      </c>
      <c r="AC441" t="s">
        <v>7766</v>
      </c>
      <c r="AD441" t="s">
        <v>7767</v>
      </c>
      <c r="AE441" t="s">
        <v>7768</v>
      </c>
      <c r="AF441" t="s">
        <v>74</v>
      </c>
      <c r="AG441">
        <v>151</v>
      </c>
      <c r="AH441">
        <v>18</v>
      </c>
      <c r="AI441">
        <v>20</v>
      </c>
      <c r="AJ441">
        <v>3</v>
      </c>
      <c r="AK441">
        <v>59</v>
      </c>
      <c r="AL441" t="s">
        <v>350</v>
      </c>
      <c r="AM441" t="s">
        <v>351</v>
      </c>
      <c r="AN441" t="s">
        <v>352</v>
      </c>
      <c r="AO441" t="s">
        <v>1701</v>
      </c>
      <c r="AP441" t="s">
        <v>1702</v>
      </c>
      <c r="AQ441" t="s">
        <v>74</v>
      </c>
      <c r="AR441" t="s">
        <v>1703</v>
      </c>
      <c r="AS441" t="s">
        <v>1704</v>
      </c>
      <c r="AT441" t="s">
        <v>165</v>
      </c>
      <c r="AU441">
        <v>2019</v>
      </c>
      <c r="AV441">
        <v>43</v>
      </c>
      <c r="AW441">
        <v>3</v>
      </c>
      <c r="AX441" t="s">
        <v>74</v>
      </c>
      <c r="AY441" t="s">
        <v>74</v>
      </c>
      <c r="AZ441" t="s">
        <v>74</v>
      </c>
      <c r="BA441" t="s">
        <v>74</v>
      </c>
      <c r="BB441">
        <v>582</v>
      </c>
      <c r="BC441">
        <v>610</v>
      </c>
      <c r="BD441" t="s">
        <v>74</v>
      </c>
      <c r="BE441" t="s">
        <v>7769</v>
      </c>
      <c r="BF441" t="str">
        <f>HYPERLINK("http://dx.doi.org/10.1177/1042258718798630","http://dx.doi.org/10.1177/1042258718798630")</f>
        <v>http://dx.doi.org/10.1177/1042258718798630</v>
      </c>
      <c r="BG441" t="s">
        <v>74</v>
      </c>
      <c r="BH441" t="s">
        <v>74</v>
      </c>
      <c r="BI441">
        <v>29</v>
      </c>
      <c r="BJ441" t="s">
        <v>337</v>
      </c>
      <c r="BK441" t="s">
        <v>94</v>
      </c>
      <c r="BL441" t="s">
        <v>95</v>
      </c>
      <c r="BM441" t="s">
        <v>7770</v>
      </c>
      <c r="BN441" t="s">
        <v>74</v>
      </c>
      <c r="BO441" t="s">
        <v>7771</v>
      </c>
      <c r="BP441" t="s">
        <v>74</v>
      </c>
      <c r="BQ441" t="s">
        <v>74</v>
      </c>
      <c r="BR441" t="s">
        <v>97</v>
      </c>
      <c r="BS441" t="s">
        <v>7772</v>
      </c>
      <c r="BT441" t="str">
        <f>HYPERLINK("https%3A%2F%2Fwww.webofscience.com%2Fwos%2Fwoscc%2Ffull-record%2FWOS:000468933700007","View Full Record in Web of Science")</f>
        <v>View Full Record in Web of Science</v>
      </c>
    </row>
    <row r="442" spans="1:72" x14ac:dyDescent="0.25">
      <c r="A442" t="s">
        <v>72</v>
      </c>
      <c r="B442" t="s">
        <v>7773</v>
      </c>
      <c r="C442" t="s">
        <v>74</v>
      </c>
      <c r="D442" t="s">
        <v>74</v>
      </c>
      <c r="E442" t="s">
        <v>74</v>
      </c>
      <c r="F442" t="s">
        <v>7774</v>
      </c>
      <c r="G442" t="s">
        <v>74</v>
      </c>
      <c r="H442" t="s">
        <v>74</v>
      </c>
      <c r="I442" t="s">
        <v>7775</v>
      </c>
      <c r="J442" t="s">
        <v>7776</v>
      </c>
      <c r="K442" t="s">
        <v>74</v>
      </c>
      <c r="L442" t="s">
        <v>74</v>
      </c>
      <c r="M442" t="s">
        <v>77</v>
      </c>
      <c r="N442" t="s">
        <v>78</v>
      </c>
      <c r="O442" t="s">
        <v>74</v>
      </c>
      <c r="P442" t="s">
        <v>74</v>
      </c>
      <c r="Q442" t="s">
        <v>74</v>
      </c>
      <c r="R442" t="s">
        <v>74</v>
      </c>
      <c r="S442" t="s">
        <v>74</v>
      </c>
      <c r="T442" t="s">
        <v>7777</v>
      </c>
      <c r="U442" t="s">
        <v>7778</v>
      </c>
      <c r="V442" t="s">
        <v>7779</v>
      </c>
      <c r="W442" t="s">
        <v>7780</v>
      </c>
      <c r="X442" t="s">
        <v>7781</v>
      </c>
      <c r="Y442" t="s">
        <v>7782</v>
      </c>
      <c r="Z442" t="s">
        <v>7783</v>
      </c>
      <c r="AA442" t="s">
        <v>74</v>
      </c>
      <c r="AB442" t="s">
        <v>7784</v>
      </c>
      <c r="AC442" t="s">
        <v>7785</v>
      </c>
      <c r="AD442" t="s">
        <v>7454</v>
      </c>
      <c r="AE442" t="s">
        <v>7786</v>
      </c>
      <c r="AF442" t="s">
        <v>74</v>
      </c>
      <c r="AG442">
        <v>79</v>
      </c>
      <c r="AH442">
        <v>18</v>
      </c>
      <c r="AI442">
        <v>19</v>
      </c>
      <c r="AJ442">
        <v>4</v>
      </c>
      <c r="AK442">
        <v>83</v>
      </c>
      <c r="AL442" t="s">
        <v>1533</v>
      </c>
      <c r="AM442" t="s">
        <v>1534</v>
      </c>
      <c r="AN442" t="s">
        <v>1535</v>
      </c>
      <c r="AO442" t="s">
        <v>7787</v>
      </c>
      <c r="AP442" t="s">
        <v>7788</v>
      </c>
      <c r="AQ442" t="s">
        <v>74</v>
      </c>
      <c r="AR442" t="s">
        <v>7789</v>
      </c>
      <c r="AS442" t="s">
        <v>7790</v>
      </c>
      <c r="AT442" t="s">
        <v>375</v>
      </c>
      <c r="AU442">
        <v>2018</v>
      </c>
      <c r="AV442">
        <v>12</v>
      </c>
      <c r="AW442">
        <v>4</v>
      </c>
      <c r="AX442" t="s">
        <v>74</v>
      </c>
      <c r="AY442" t="s">
        <v>74</v>
      </c>
      <c r="AZ442" t="s">
        <v>74</v>
      </c>
      <c r="BA442" t="s">
        <v>74</v>
      </c>
      <c r="BB442">
        <v>663</v>
      </c>
      <c r="BC442">
        <v>684</v>
      </c>
      <c r="BD442" t="s">
        <v>74</v>
      </c>
      <c r="BE442" t="s">
        <v>7791</v>
      </c>
      <c r="BF442" t="str">
        <f>HYPERLINK("http://dx.doi.org/10.1007/s11628-018-0387-4","http://dx.doi.org/10.1007/s11628-018-0387-4")</f>
        <v>http://dx.doi.org/10.1007/s11628-018-0387-4</v>
      </c>
      <c r="BG442" t="s">
        <v>74</v>
      </c>
      <c r="BH442" t="s">
        <v>74</v>
      </c>
      <c r="BI442">
        <v>22</v>
      </c>
      <c r="BJ442" t="s">
        <v>93</v>
      </c>
      <c r="BK442" t="s">
        <v>94</v>
      </c>
      <c r="BL442" t="s">
        <v>95</v>
      </c>
      <c r="BM442" t="s">
        <v>7792</v>
      </c>
      <c r="BN442" t="s">
        <v>74</v>
      </c>
      <c r="BO442" t="s">
        <v>74</v>
      </c>
      <c r="BP442" t="s">
        <v>74</v>
      </c>
      <c r="BQ442" t="s">
        <v>74</v>
      </c>
      <c r="BR442" t="s">
        <v>97</v>
      </c>
      <c r="BS442" t="s">
        <v>7793</v>
      </c>
      <c r="BT442" t="str">
        <f>HYPERLINK("https%3A%2F%2Fwww.webofscience.com%2Fwos%2Fwoscc%2Ffull-record%2FWOS:000449005500002","View Full Record in Web of Science")</f>
        <v>View Full Record in Web of Science</v>
      </c>
    </row>
    <row r="443" spans="1:72" x14ac:dyDescent="0.25">
      <c r="A443" t="s">
        <v>72</v>
      </c>
      <c r="B443" t="s">
        <v>7794</v>
      </c>
      <c r="C443" t="s">
        <v>74</v>
      </c>
      <c r="D443" t="s">
        <v>74</v>
      </c>
      <c r="E443" t="s">
        <v>74</v>
      </c>
      <c r="F443" t="s">
        <v>7795</v>
      </c>
      <c r="G443" t="s">
        <v>74</v>
      </c>
      <c r="H443" t="s">
        <v>74</v>
      </c>
      <c r="I443" t="s">
        <v>7796</v>
      </c>
      <c r="J443" t="s">
        <v>2228</v>
      </c>
      <c r="K443" t="s">
        <v>74</v>
      </c>
      <c r="L443" t="s">
        <v>74</v>
      </c>
      <c r="M443" t="s">
        <v>77</v>
      </c>
      <c r="N443" t="s">
        <v>78</v>
      </c>
      <c r="O443" t="s">
        <v>74</v>
      </c>
      <c r="P443" t="s">
        <v>74</v>
      </c>
      <c r="Q443" t="s">
        <v>74</v>
      </c>
      <c r="R443" t="s">
        <v>74</v>
      </c>
      <c r="S443" t="s">
        <v>74</v>
      </c>
      <c r="T443" t="s">
        <v>7797</v>
      </c>
      <c r="U443" t="s">
        <v>7798</v>
      </c>
      <c r="V443" t="s">
        <v>7799</v>
      </c>
      <c r="W443" t="s">
        <v>7800</v>
      </c>
      <c r="X443" t="s">
        <v>4329</v>
      </c>
      <c r="Y443" t="s">
        <v>7801</v>
      </c>
      <c r="Z443" t="s">
        <v>7802</v>
      </c>
      <c r="AA443" t="s">
        <v>7803</v>
      </c>
      <c r="AB443" t="s">
        <v>7804</v>
      </c>
      <c r="AC443" t="s">
        <v>7805</v>
      </c>
      <c r="AD443" t="s">
        <v>7806</v>
      </c>
      <c r="AE443" t="s">
        <v>7807</v>
      </c>
      <c r="AF443" t="s">
        <v>74</v>
      </c>
      <c r="AG443">
        <v>111</v>
      </c>
      <c r="AH443">
        <v>18</v>
      </c>
      <c r="AI443">
        <v>19</v>
      </c>
      <c r="AJ443">
        <v>5</v>
      </c>
      <c r="AK443">
        <v>70</v>
      </c>
      <c r="AL443" t="s">
        <v>1099</v>
      </c>
      <c r="AM443" t="s">
        <v>305</v>
      </c>
      <c r="AN443" t="s">
        <v>1100</v>
      </c>
      <c r="AO443" t="s">
        <v>2239</v>
      </c>
      <c r="AP443" t="s">
        <v>2240</v>
      </c>
      <c r="AQ443" t="s">
        <v>74</v>
      </c>
      <c r="AR443" t="s">
        <v>2241</v>
      </c>
      <c r="AS443" t="s">
        <v>2242</v>
      </c>
      <c r="AT443" t="s">
        <v>74</v>
      </c>
      <c r="AU443">
        <v>2018</v>
      </c>
      <c r="AV443">
        <v>20</v>
      </c>
      <c r="AW443">
        <v>2</v>
      </c>
      <c r="AX443" t="s">
        <v>74</v>
      </c>
      <c r="AY443" t="s">
        <v>74</v>
      </c>
      <c r="AZ443" t="s">
        <v>74</v>
      </c>
      <c r="BA443" t="s">
        <v>74</v>
      </c>
      <c r="BB443">
        <v>232</v>
      </c>
      <c r="BC443">
        <v>253</v>
      </c>
      <c r="BD443" t="s">
        <v>74</v>
      </c>
      <c r="BE443" t="s">
        <v>7808</v>
      </c>
      <c r="BF443" t="str">
        <f>HYPERLINK("http://dx.doi.org/10.1080/14719037.2017.1302245","http://dx.doi.org/10.1080/14719037.2017.1302245")</f>
        <v>http://dx.doi.org/10.1080/14719037.2017.1302245</v>
      </c>
      <c r="BG443" t="s">
        <v>74</v>
      </c>
      <c r="BH443" t="s">
        <v>74</v>
      </c>
      <c r="BI443">
        <v>22</v>
      </c>
      <c r="BJ443" t="s">
        <v>2245</v>
      </c>
      <c r="BK443" t="s">
        <v>94</v>
      </c>
      <c r="BL443" t="s">
        <v>2246</v>
      </c>
      <c r="BM443" t="s">
        <v>7809</v>
      </c>
      <c r="BN443" t="s">
        <v>74</v>
      </c>
      <c r="BO443" t="s">
        <v>74</v>
      </c>
      <c r="BP443" t="s">
        <v>74</v>
      </c>
      <c r="BQ443" t="s">
        <v>74</v>
      </c>
      <c r="BR443" t="s">
        <v>97</v>
      </c>
      <c r="BS443" t="s">
        <v>7810</v>
      </c>
      <c r="BT443" t="str">
        <f>HYPERLINK("https%3A%2F%2Fwww.webofscience.com%2Fwos%2Fwoscc%2Ffull-record%2FWOS:000423768600002","View Full Record in Web of Science")</f>
        <v>View Full Record in Web of Science</v>
      </c>
    </row>
    <row r="444" spans="1:72" x14ac:dyDescent="0.25">
      <c r="A444" t="s">
        <v>72</v>
      </c>
      <c r="B444" t="s">
        <v>7811</v>
      </c>
      <c r="C444" t="s">
        <v>74</v>
      </c>
      <c r="D444" t="s">
        <v>74</v>
      </c>
      <c r="E444" t="s">
        <v>74</v>
      </c>
      <c r="F444" t="s">
        <v>7812</v>
      </c>
      <c r="G444" t="s">
        <v>74</v>
      </c>
      <c r="H444" t="s">
        <v>74</v>
      </c>
      <c r="I444" t="s">
        <v>7813</v>
      </c>
      <c r="J444" t="s">
        <v>7814</v>
      </c>
      <c r="K444" t="s">
        <v>74</v>
      </c>
      <c r="L444" t="s">
        <v>74</v>
      </c>
      <c r="M444" t="s">
        <v>77</v>
      </c>
      <c r="N444" t="s">
        <v>78</v>
      </c>
      <c r="O444" t="s">
        <v>74</v>
      </c>
      <c r="P444" t="s">
        <v>74</v>
      </c>
      <c r="Q444" t="s">
        <v>74</v>
      </c>
      <c r="R444" t="s">
        <v>74</v>
      </c>
      <c r="S444" t="s">
        <v>74</v>
      </c>
      <c r="T444" t="s">
        <v>74</v>
      </c>
      <c r="U444" t="s">
        <v>7815</v>
      </c>
      <c r="V444" t="s">
        <v>7816</v>
      </c>
      <c r="W444" t="s">
        <v>7817</v>
      </c>
      <c r="X444" t="s">
        <v>7818</v>
      </c>
      <c r="Y444" t="s">
        <v>7819</v>
      </c>
      <c r="Z444" t="s">
        <v>7820</v>
      </c>
      <c r="AA444" t="s">
        <v>7821</v>
      </c>
      <c r="AB444" t="s">
        <v>7822</v>
      </c>
      <c r="AC444" t="s">
        <v>74</v>
      </c>
      <c r="AD444" t="s">
        <v>74</v>
      </c>
      <c r="AE444" t="s">
        <v>74</v>
      </c>
      <c r="AF444" t="s">
        <v>74</v>
      </c>
      <c r="AG444">
        <v>36</v>
      </c>
      <c r="AH444">
        <v>18</v>
      </c>
      <c r="AI444">
        <v>18</v>
      </c>
      <c r="AJ444">
        <v>6</v>
      </c>
      <c r="AK444">
        <v>63</v>
      </c>
      <c r="AL444" t="s">
        <v>7823</v>
      </c>
      <c r="AM444" t="s">
        <v>1395</v>
      </c>
      <c r="AN444" t="s">
        <v>7824</v>
      </c>
      <c r="AO444" t="s">
        <v>7825</v>
      </c>
      <c r="AP444" t="s">
        <v>7826</v>
      </c>
      <c r="AQ444" t="s">
        <v>74</v>
      </c>
      <c r="AR444" t="s">
        <v>7827</v>
      </c>
      <c r="AS444" t="s">
        <v>7828</v>
      </c>
      <c r="AT444" t="s">
        <v>892</v>
      </c>
      <c r="AU444">
        <v>2017</v>
      </c>
      <c r="AV444">
        <v>78</v>
      </c>
      <c r="AW444">
        <v>1</v>
      </c>
      <c r="AX444" t="s">
        <v>74</v>
      </c>
      <c r="AY444" t="s">
        <v>74</v>
      </c>
      <c r="AZ444" t="s">
        <v>74</v>
      </c>
      <c r="BA444" t="s">
        <v>74</v>
      </c>
      <c r="BB444">
        <v>35</v>
      </c>
      <c r="BC444">
        <v>52</v>
      </c>
      <c r="BD444" t="s">
        <v>74</v>
      </c>
      <c r="BE444" t="s">
        <v>7829</v>
      </c>
      <c r="BF444" t="str">
        <f>HYPERLINK("http://dx.doi.org/10.5860/crl.78.1.35","http://dx.doi.org/10.5860/crl.78.1.35")</f>
        <v>http://dx.doi.org/10.5860/crl.78.1.35</v>
      </c>
      <c r="BG444" t="s">
        <v>74</v>
      </c>
      <c r="BH444" t="s">
        <v>74</v>
      </c>
      <c r="BI444">
        <v>18</v>
      </c>
      <c r="BJ444" t="s">
        <v>7086</v>
      </c>
      <c r="BK444" t="s">
        <v>94</v>
      </c>
      <c r="BL444" t="s">
        <v>7086</v>
      </c>
      <c r="BM444" t="s">
        <v>7830</v>
      </c>
      <c r="BN444" t="s">
        <v>74</v>
      </c>
      <c r="BO444" t="s">
        <v>2482</v>
      </c>
      <c r="BP444" t="s">
        <v>74</v>
      </c>
      <c r="BQ444" t="s">
        <v>74</v>
      </c>
      <c r="BR444" t="s">
        <v>97</v>
      </c>
      <c r="BS444" t="s">
        <v>7831</v>
      </c>
      <c r="BT444" t="str">
        <f>HYPERLINK("https%3A%2F%2Fwww.webofscience.com%2Fwos%2Fwoscc%2Ffull-record%2FWOS:000396372600004","View Full Record in Web of Science")</f>
        <v>View Full Record in Web of Science</v>
      </c>
    </row>
    <row r="445" spans="1:72" x14ac:dyDescent="0.25">
      <c r="A445" t="s">
        <v>72</v>
      </c>
      <c r="B445" t="s">
        <v>7832</v>
      </c>
      <c r="C445" t="s">
        <v>74</v>
      </c>
      <c r="D445" t="s">
        <v>74</v>
      </c>
      <c r="E445" t="s">
        <v>74</v>
      </c>
      <c r="F445" t="s">
        <v>7833</v>
      </c>
      <c r="G445" t="s">
        <v>74</v>
      </c>
      <c r="H445" t="s">
        <v>74</v>
      </c>
      <c r="I445" t="s">
        <v>7834</v>
      </c>
      <c r="J445" t="s">
        <v>4325</v>
      </c>
      <c r="K445" t="s">
        <v>74</v>
      </c>
      <c r="L445" t="s">
        <v>74</v>
      </c>
      <c r="M445" t="s">
        <v>77</v>
      </c>
      <c r="N445" t="s">
        <v>78</v>
      </c>
      <c r="O445" t="s">
        <v>74</v>
      </c>
      <c r="P445" t="s">
        <v>74</v>
      </c>
      <c r="Q445" t="s">
        <v>74</v>
      </c>
      <c r="R445" t="s">
        <v>74</v>
      </c>
      <c r="S445" t="s">
        <v>74</v>
      </c>
      <c r="T445" t="s">
        <v>74</v>
      </c>
      <c r="U445" t="s">
        <v>7835</v>
      </c>
      <c r="V445" t="s">
        <v>7836</v>
      </c>
      <c r="W445" t="s">
        <v>7837</v>
      </c>
      <c r="X445" t="s">
        <v>7838</v>
      </c>
      <c r="Y445" t="s">
        <v>7839</v>
      </c>
      <c r="Z445" t="s">
        <v>7840</v>
      </c>
      <c r="AA445" t="s">
        <v>7841</v>
      </c>
      <c r="AB445" t="s">
        <v>7842</v>
      </c>
      <c r="AC445" t="s">
        <v>74</v>
      </c>
      <c r="AD445" t="s">
        <v>74</v>
      </c>
      <c r="AE445" t="s">
        <v>74</v>
      </c>
      <c r="AF445" t="s">
        <v>74</v>
      </c>
      <c r="AG445">
        <v>49</v>
      </c>
      <c r="AH445">
        <v>18</v>
      </c>
      <c r="AI445">
        <v>18</v>
      </c>
      <c r="AJ445">
        <v>1</v>
      </c>
      <c r="AK445">
        <v>79</v>
      </c>
      <c r="AL445" t="s">
        <v>218</v>
      </c>
      <c r="AM445" t="s">
        <v>219</v>
      </c>
      <c r="AN445" t="s">
        <v>220</v>
      </c>
      <c r="AO445" t="s">
        <v>4332</v>
      </c>
      <c r="AP445" t="s">
        <v>4333</v>
      </c>
      <c r="AQ445" t="s">
        <v>74</v>
      </c>
      <c r="AR445" t="s">
        <v>4334</v>
      </c>
      <c r="AS445" t="s">
        <v>4335</v>
      </c>
      <c r="AT445" t="s">
        <v>375</v>
      </c>
      <c r="AU445">
        <v>2016</v>
      </c>
      <c r="AV445">
        <v>25</v>
      </c>
      <c r="AW445">
        <v>4</v>
      </c>
      <c r="AX445" t="s">
        <v>74</v>
      </c>
      <c r="AY445" t="s">
        <v>74</v>
      </c>
      <c r="AZ445" t="s">
        <v>74</v>
      </c>
      <c r="BA445" t="s">
        <v>74</v>
      </c>
      <c r="BB445">
        <v>431</v>
      </c>
      <c r="BC445">
        <v>444</v>
      </c>
      <c r="BD445" t="s">
        <v>74</v>
      </c>
      <c r="BE445" t="s">
        <v>7843</v>
      </c>
      <c r="BF445" t="str">
        <f>HYPERLINK("http://dx.doi.org/10.1111/caim.12163","http://dx.doi.org/10.1111/caim.12163")</f>
        <v>http://dx.doi.org/10.1111/caim.12163</v>
      </c>
      <c r="BG445" t="s">
        <v>74</v>
      </c>
      <c r="BH445" t="s">
        <v>74</v>
      </c>
      <c r="BI445">
        <v>14</v>
      </c>
      <c r="BJ445" t="s">
        <v>442</v>
      </c>
      <c r="BK445" t="s">
        <v>94</v>
      </c>
      <c r="BL445" t="s">
        <v>95</v>
      </c>
      <c r="BM445" t="s">
        <v>7844</v>
      </c>
      <c r="BN445" t="s">
        <v>74</v>
      </c>
      <c r="BO445" t="s">
        <v>378</v>
      </c>
      <c r="BP445" t="s">
        <v>74</v>
      </c>
      <c r="BQ445" t="s">
        <v>74</v>
      </c>
      <c r="BR445" t="s">
        <v>97</v>
      </c>
      <c r="BS445" t="s">
        <v>7845</v>
      </c>
      <c r="BT445" t="str">
        <f>HYPERLINK("https%3A%2F%2Fwww.webofscience.com%2Fwos%2Fwoscc%2Ffull-record%2FWOS:000387336200002","View Full Record in Web of Science")</f>
        <v>View Full Record in Web of Science</v>
      </c>
    </row>
    <row r="446" spans="1:72" x14ac:dyDescent="0.25">
      <c r="A446" t="s">
        <v>72</v>
      </c>
      <c r="B446" t="s">
        <v>1736</v>
      </c>
      <c r="C446" t="s">
        <v>74</v>
      </c>
      <c r="D446" t="s">
        <v>74</v>
      </c>
      <c r="E446" t="s">
        <v>74</v>
      </c>
      <c r="F446" t="s">
        <v>1737</v>
      </c>
      <c r="G446" t="s">
        <v>74</v>
      </c>
      <c r="H446" t="s">
        <v>74</v>
      </c>
      <c r="I446" t="s">
        <v>7846</v>
      </c>
      <c r="J446" t="s">
        <v>7847</v>
      </c>
      <c r="K446" t="s">
        <v>74</v>
      </c>
      <c r="L446" t="s">
        <v>74</v>
      </c>
      <c r="M446" t="s">
        <v>77</v>
      </c>
      <c r="N446" t="s">
        <v>78</v>
      </c>
      <c r="O446" t="s">
        <v>74</v>
      </c>
      <c r="P446" t="s">
        <v>74</v>
      </c>
      <c r="Q446" t="s">
        <v>74</v>
      </c>
      <c r="R446" t="s">
        <v>74</v>
      </c>
      <c r="S446" t="s">
        <v>74</v>
      </c>
      <c r="T446" t="s">
        <v>7848</v>
      </c>
      <c r="U446" t="s">
        <v>7849</v>
      </c>
      <c r="V446" t="s">
        <v>7850</v>
      </c>
      <c r="W446" t="s">
        <v>7851</v>
      </c>
      <c r="X446" t="s">
        <v>7852</v>
      </c>
      <c r="Y446" t="s">
        <v>1745</v>
      </c>
      <c r="Z446" t="s">
        <v>1746</v>
      </c>
      <c r="AA446" t="s">
        <v>1747</v>
      </c>
      <c r="AB446" t="s">
        <v>1748</v>
      </c>
      <c r="AC446" t="s">
        <v>7853</v>
      </c>
      <c r="AD446" t="s">
        <v>7854</v>
      </c>
      <c r="AE446" t="s">
        <v>7855</v>
      </c>
      <c r="AF446" t="s">
        <v>74</v>
      </c>
      <c r="AG446">
        <v>88</v>
      </c>
      <c r="AH446">
        <v>18</v>
      </c>
      <c r="AI446">
        <v>20</v>
      </c>
      <c r="AJ446">
        <v>6</v>
      </c>
      <c r="AK446">
        <v>75</v>
      </c>
      <c r="AL446" t="s">
        <v>665</v>
      </c>
      <c r="AM446" t="s">
        <v>666</v>
      </c>
      <c r="AN446" t="s">
        <v>667</v>
      </c>
      <c r="AO446" t="s">
        <v>7856</v>
      </c>
      <c r="AP446" t="s">
        <v>7857</v>
      </c>
      <c r="AQ446" t="s">
        <v>74</v>
      </c>
      <c r="AR446" t="s">
        <v>7858</v>
      </c>
      <c r="AS446" t="s">
        <v>7859</v>
      </c>
      <c r="AT446" t="s">
        <v>74</v>
      </c>
      <c r="AU446">
        <v>2016</v>
      </c>
      <c r="AV446">
        <v>36</v>
      </c>
      <c r="AW446">
        <v>10</v>
      </c>
      <c r="AX446" t="s">
        <v>74</v>
      </c>
      <c r="AY446" t="s">
        <v>74</v>
      </c>
      <c r="AZ446" t="s">
        <v>74</v>
      </c>
      <c r="BA446" t="s">
        <v>74</v>
      </c>
      <c r="BB446">
        <v>1222</v>
      </c>
      <c r="BC446">
        <v>1246</v>
      </c>
      <c r="BD446" t="s">
        <v>74</v>
      </c>
      <c r="BE446" t="s">
        <v>7860</v>
      </c>
      <c r="BF446" t="str">
        <f>HYPERLINK("http://dx.doi.org/10.1108/IJOPM-04-2015-0234","http://dx.doi.org/10.1108/IJOPM-04-2015-0234")</f>
        <v>http://dx.doi.org/10.1108/IJOPM-04-2015-0234</v>
      </c>
      <c r="BG446" t="s">
        <v>74</v>
      </c>
      <c r="BH446" t="s">
        <v>74</v>
      </c>
      <c r="BI446">
        <v>25</v>
      </c>
      <c r="BJ446" t="s">
        <v>442</v>
      </c>
      <c r="BK446" t="s">
        <v>94</v>
      </c>
      <c r="BL446" t="s">
        <v>95</v>
      </c>
      <c r="BM446" t="s">
        <v>7861</v>
      </c>
      <c r="BN446" t="s">
        <v>74</v>
      </c>
      <c r="BO446" t="s">
        <v>7537</v>
      </c>
      <c r="BP446" t="s">
        <v>74</v>
      </c>
      <c r="BQ446" t="s">
        <v>74</v>
      </c>
      <c r="BR446" t="s">
        <v>97</v>
      </c>
      <c r="BS446" t="s">
        <v>7862</v>
      </c>
      <c r="BT446" t="str">
        <f>HYPERLINK("https%3A%2F%2Fwww.webofscience.com%2Fwos%2Fwoscc%2Ffull-record%2FWOS:000387084100006","View Full Record in Web of Science")</f>
        <v>View Full Record in Web of Science</v>
      </c>
    </row>
    <row r="447" spans="1:72" x14ac:dyDescent="0.25">
      <c r="A447" t="s">
        <v>72</v>
      </c>
      <c r="B447" t="s">
        <v>7863</v>
      </c>
      <c r="C447" t="s">
        <v>74</v>
      </c>
      <c r="D447" t="s">
        <v>74</v>
      </c>
      <c r="E447" t="s">
        <v>74</v>
      </c>
      <c r="F447" t="s">
        <v>7864</v>
      </c>
      <c r="G447" t="s">
        <v>74</v>
      </c>
      <c r="H447" t="s">
        <v>74</v>
      </c>
      <c r="I447" t="s">
        <v>7865</v>
      </c>
      <c r="J447" t="s">
        <v>7866</v>
      </c>
      <c r="K447" t="s">
        <v>74</v>
      </c>
      <c r="L447" t="s">
        <v>74</v>
      </c>
      <c r="M447" t="s">
        <v>77</v>
      </c>
      <c r="N447" t="s">
        <v>78</v>
      </c>
      <c r="O447" t="s">
        <v>74</v>
      </c>
      <c r="P447" t="s">
        <v>74</v>
      </c>
      <c r="Q447" t="s">
        <v>74</v>
      </c>
      <c r="R447" t="s">
        <v>74</v>
      </c>
      <c r="S447" t="s">
        <v>74</v>
      </c>
      <c r="T447" t="s">
        <v>7867</v>
      </c>
      <c r="U447" t="s">
        <v>7868</v>
      </c>
      <c r="V447" t="s">
        <v>7869</v>
      </c>
      <c r="W447" t="s">
        <v>7870</v>
      </c>
      <c r="X447" t="s">
        <v>7871</v>
      </c>
      <c r="Y447" t="s">
        <v>7872</v>
      </c>
      <c r="Z447" t="s">
        <v>7873</v>
      </c>
      <c r="AA447" t="s">
        <v>7874</v>
      </c>
      <c r="AB447" t="s">
        <v>7875</v>
      </c>
      <c r="AC447" t="s">
        <v>7876</v>
      </c>
      <c r="AD447" t="s">
        <v>7877</v>
      </c>
      <c r="AE447" t="s">
        <v>7878</v>
      </c>
      <c r="AF447" t="s">
        <v>74</v>
      </c>
      <c r="AG447">
        <v>91</v>
      </c>
      <c r="AH447">
        <v>18</v>
      </c>
      <c r="AI447">
        <v>18</v>
      </c>
      <c r="AJ447">
        <v>1</v>
      </c>
      <c r="AK447">
        <v>57</v>
      </c>
      <c r="AL447" t="s">
        <v>434</v>
      </c>
      <c r="AM447" t="s">
        <v>435</v>
      </c>
      <c r="AN447" t="s">
        <v>436</v>
      </c>
      <c r="AO447" t="s">
        <v>7879</v>
      </c>
      <c r="AP447" t="s">
        <v>7880</v>
      </c>
      <c r="AQ447" t="s">
        <v>74</v>
      </c>
      <c r="AR447" t="s">
        <v>7881</v>
      </c>
      <c r="AS447" t="s">
        <v>7882</v>
      </c>
      <c r="AT447" t="s">
        <v>7883</v>
      </c>
      <c r="AU447">
        <v>2013</v>
      </c>
      <c r="AV447">
        <v>30</v>
      </c>
      <c r="AW447">
        <v>3</v>
      </c>
      <c r="AX447" t="s">
        <v>74</v>
      </c>
      <c r="AY447" t="s">
        <v>74</v>
      </c>
      <c r="AZ447" t="s">
        <v>74</v>
      </c>
      <c r="BA447" t="s">
        <v>74</v>
      </c>
      <c r="BB447">
        <v>227</v>
      </c>
      <c r="BC447">
        <v>245</v>
      </c>
      <c r="BD447" t="s">
        <v>74</v>
      </c>
      <c r="BE447" t="s">
        <v>7884</v>
      </c>
      <c r="BF447" t="str">
        <f>HYPERLINK("http://dx.doi.org/10.1016/j.jengtecman.2013.05.001","http://dx.doi.org/10.1016/j.jengtecman.2013.05.001")</f>
        <v>http://dx.doi.org/10.1016/j.jengtecman.2013.05.001</v>
      </c>
      <c r="BG447" t="s">
        <v>74</v>
      </c>
      <c r="BH447" t="s">
        <v>74</v>
      </c>
      <c r="BI447">
        <v>19</v>
      </c>
      <c r="BJ447" t="s">
        <v>794</v>
      </c>
      <c r="BK447" t="s">
        <v>147</v>
      </c>
      <c r="BL447" t="s">
        <v>795</v>
      </c>
      <c r="BM447" t="s">
        <v>7885</v>
      </c>
      <c r="BN447" t="s">
        <v>74</v>
      </c>
      <c r="BO447" t="s">
        <v>74</v>
      </c>
      <c r="BP447" t="s">
        <v>74</v>
      </c>
      <c r="BQ447" t="s">
        <v>74</v>
      </c>
      <c r="BR447" t="s">
        <v>97</v>
      </c>
      <c r="BS447" t="s">
        <v>7886</v>
      </c>
      <c r="BT447" t="str">
        <f>HYPERLINK("https%3A%2F%2Fwww.webofscience.com%2Fwos%2Fwoscc%2Ffull-record%2FWOS:000324715100003","View Full Record in Web of Science")</f>
        <v>View Full Record in Web of Science</v>
      </c>
    </row>
    <row r="448" spans="1:72" x14ac:dyDescent="0.25">
      <c r="A448" t="s">
        <v>72</v>
      </c>
      <c r="B448" t="s">
        <v>7887</v>
      </c>
      <c r="C448" t="s">
        <v>74</v>
      </c>
      <c r="D448" t="s">
        <v>74</v>
      </c>
      <c r="E448" t="s">
        <v>74</v>
      </c>
      <c r="F448" t="s">
        <v>7888</v>
      </c>
      <c r="G448" t="s">
        <v>74</v>
      </c>
      <c r="H448" t="s">
        <v>74</v>
      </c>
      <c r="I448" t="s">
        <v>7889</v>
      </c>
      <c r="J448" t="s">
        <v>1951</v>
      </c>
      <c r="K448" t="s">
        <v>74</v>
      </c>
      <c r="L448" t="s">
        <v>74</v>
      </c>
      <c r="M448" t="s">
        <v>77</v>
      </c>
      <c r="N448" t="s">
        <v>78</v>
      </c>
      <c r="O448" t="s">
        <v>74</v>
      </c>
      <c r="P448" t="s">
        <v>74</v>
      </c>
      <c r="Q448" t="s">
        <v>74</v>
      </c>
      <c r="R448" t="s">
        <v>74</v>
      </c>
      <c r="S448" t="s">
        <v>74</v>
      </c>
      <c r="T448" t="s">
        <v>7890</v>
      </c>
      <c r="U448" t="s">
        <v>7891</v>
      </c>
      <c r="V448" t="s">
        <v>7892</v>
      </c>
      <c r="W448" t="s">
        <v>7893</v>
      </c>
      <c r="X448" t="s">
        <v>104</v>
      </c>
      <c r="Y448" t="s">
        <v>7894</v>
      </c>
      <c r="Z448" t="s">
        <v>7895</v>
      </c>
      <c r="AA448" t="s">
        <v>107</v>
      </c>
      <c r="AB448" t="s">
        <v>108</v>
      </c>
      <c r="AC448" t="s">
        <v>74</v>
      </c>
      <c r="AD448" t="s">
        <v>74</v>
      </c>
      <c r="AE448" t="s">
        <v>74</v>
      </c>
      <c r="AF448" t="s">
        <v>74</v>
      </c>
      <c r="AG448">
        <v>45</v>
      </c>
      <c r="AH448">
        <v>18</v>
      </c>
      <c r="AI448">
        <v>20</v>
      </c>
      <c r="AJ448">
        <v>2</v>
      </c>
      <c r="AK448">
        <v>113</v>
      </c>
      <c r="AL448" t="s">
        <v>7896</v>
      </c>
      <c r="AM448" t="s">
        <v>7897</v>
      </c>
      <c r="AN448" t="s">
        <v>7898</v>
      </c>
      <c r="AO448" t="s">
        <v>1963</v>
      </c>
      <c r="AP448" t="s">
        <v>74</v>
      </c>
      <c r="AQ448" t="s">
        <v>74</v>
      </c>
      <c r="AR448" t="s">
        <v>1965</v>
      </c>
      <c r="AS448" t="s">
        <v>1966</v>
      </c>
      <c r="AT448" t="s">
        <v>2734</v>
      </c>
      <c r="AU448">
        <v>2013</v>
      </c>
      <c r="AV448">
        <v>22</v>
      </c>
      <c r="AW448">
        <v>1</v>
      </c>
      <c r="AX448" t="s">
        <v>74</v>
      </c>
      <c r="AY448" t="s">
        <v>74</v>
      </c>
      <c r="AZ448" t="s">
        <v>74</v>
      </c>
      <c r="BA448" t="s">
        <v>74</v>
      </c>
      <c r="BB448">
        <v>15</v>
      </c>
      <c r="BC448">
        <v>25</v>
      </c>
      <c r="BD448" t="s">
        <v>74</v>
      </c>
      <c r="BE448" t="s">
        <v>7899</v>
      </c>
      <c r="BF448" t="str">
        <f>HYPERLINK("http://dx.doi.org/10.1080/1359432X.2011.626244","http://dx.doi.org/10.1080/1359432X.2011.626244")</f>
        <v>http://dx.doi.org/10.1080/1359432X.2011.626244</v>
      </c>
      <c r="BG448" t="s">
        <v>74</v>
      </c>
      <c r="BH448" t="s">
        <v>74</v>
      </c>
      <c r="BI448">
        <v>11</v>
      </c>
      <c r="BJ448" t="s">
        <v>202</v>
      </c>
      <c r="BK448" t="s">
        <v>94</v>
      </c>
      <c r="BL448" t="s">
        <v>203</v>
      </c>
      <c r="BM448" t="s">
        <v>2736</v>
      </c>
      <c r="BN448" t="s">
        <v>74</v>
      </c>
      <c r="BO448" t="s">
        <v>74</v>
      </c>
      <c r="BP448" t="s">
        <v>74</v>
      </c>
      <c r="BQ448" t="s">
        <v>74</v>
      </c>
      <c r="BR448" t="s">
        <v>97</v>
      </c>
      <c r="BS448" t="s">
        <v>7900</v>
      </c>
      <c r="BT448" t="str">
        <f>HYPERLINK("https%3A%2F%2Fwww.webofscience.com%2Fwos%2Fwoscc%2Ffull-record%2FWOS:000313630400003","View Full Record in Web of Science")</f>
        <v>View Full Record in Web of Science</v>
      </c>
    </row>
    <row r="449" spans="1:72" x14ac:dyDescent="0.25">
      <c r="A449" t="s">
        <v>72</v>
      </c>
      <c r="B449" t="s">
        <v>7901</v>
      </c>
      <c r="C449" t="s">
        <v>74</v>
      </c>
      <c r="D449" t="s">
        <v>74</v>
      </c>
      <c r="E449" t="s">
        <v>74</v>
      </c>
      <c r="F449" t="s">
        <v>7902</v>
      </c>
      <c r="G449" t="s">
        <v>74</v>
      </c>
      <c r="H449" t="s">
        <v>74</v>
      </c>
      <c r="I449" t="s">
        <v>7903</v>
      </c>
      <c r="J449" t="s">
        <v>7904</v>
      </c>
      <c r="K449" t="s">
        <v>74</v>
      </c>
      <c r="L449" t="s">
        <v>74</v>
      </c>
      <c r="M449" t="s">
        <v>77</v>
      </c>
      <c r="N449" t="s">
        <v>78</v>
      </c>
      <c r="O449" t="s">
        <v>74</v>
      </c>
      <c r="P449" t="s">
        <v>74</v>
      </c>
      <c r="Q449" t="s">
        <v>74</v>
      </c>
      <c r="R449" t="s">
        <v>74</v>
      </c>
      <c r="S449" t="s">
        <v>74</v>
      </c>
      <c r="T449" t="s">
        <v>7905</v>
      </c>
      <c r="U449" t="s">
        <v>7906</v>
      </c>
      <c r="V449" t="s">
        <v>7907</v>
      </c>
      <c r="W449" t="s">
        <v>7908</v>
      </c>
      <c r="X449" t="s">
        <v>7909</v>
      </c>
      <c r="Y449" t="s">
        <v>7910</v>
      </c>
      <c r="Z449" t="s">
        <v>7911</v>
      </c>
      <c r="AA449" t="s">
        <v>74</v>
      </c>
      <c r="AB449" t="s">
        <v>74</v>
      </c>
      <c r="AC449" t="s">
        <v>74</v>
      </c>
      <c r="AD449" t="s">
        <v>74</v>
      </c>
      <c r="AE449" t="s">
        <v>74</v>
      </c>
      <c r="AF449" t="s">
        <v>74</v>
      </c>
      <c r="AG449">
        <v>67</v>
      </c>
      <c r="AH449">
        <v>18</v>
      </c>
      <c r="AI449">
        <v>18</v>
      </c>
      <c r="AJ449">
        <v>1</v>
      </c>
      <c r="AK449">
        <v>36</v>
      </c>
      <c r="AL449" t="s">
        <v>7912</v>
      </c>
      <c r="AM449" t="s">
        <v>7913</v>
      </c>
      <c r="AN449" t="s">
        <v>7914</v>
      </c>
      <c r="AO449" t="s">
        <v>7915</v>
      </c>
      <c r="AP449" t="s">
        <v>7916</v>
      </c>
      <c r="AQ449" t="s">
        <v>74</v>
      </c>
      <c r="AR449" t="s">
        <v>7917</v>
      </c>
      <c r="AS449" t="s">
        <v>7918</v>
      </c>
      <c r="AT449" t="s">
        <v>74</v>
      </c>
      <c r="AU449">
        <v>2010</v>
      </c>
      <c r="AV449">
        <v>24</v>
      </c>
      <c r="AW449">
        <v>2</v>
      </c>
      <c r="AX449" t="s">
        <v>74</v>
      </c>
      <c r="AY449" t="s">
        <v>74</v>
      </c>
      <c r="AZ449" t="s">
        <v>74</v>
      </c>
      <c r="BA449" t="s">
        <v>74</v>
      </c>
      <c r="BB449">
        <v>173</v>
      </c>
      <c r="BC449">
        <v>193</v>
      </c>
      <c r="BD449" t="s">
        <v>74</v>
      </c>
      <c r="BE449" t="s">
        <v>7919</v>
      </c>
      <c r="BF449" t="str">
        <f>HYPERLINK("http://dx.doi.org/10.1688/1862-0000_ZfP_2010_02_Pundt","http://dx.doi.org/10.1688/1862-0000_ZfP_2010_02_Pundt")</f>
        <v>http://dx.doi.org/10.1688/1862-0000_ZfP_2010_02_Pundt</v>
      </c>
      <c r="BG449" t="s">
        <v>74</v>
      </c>
      <c r="BH449" t="s">
        <v>74</v>
      </c>
      <c r="BI449">
        <v>21</v>
      </c>
      <c r="BJ449" t="s">
        <v>202</v>
      </c>
      <c r="BK449" t="s">
        <v>94</v>
      </c>
      <c r="BL449" t="s">
        <v>203</v>
      </c>
      <c r="BM449" t="s">
        <v>7920</v>
      </c>
      <c r="BN449" t="s">
        <v>74</v>
      </c>
      <c r="BO449" t="s">
        <v>74</v>
      </c>
      <c r="BP449" t="s">
        <v>74</v>
      </c>
      <c r="BQ449" t="s">
        <v>74</v>
      </c>
      <c r="BR449" t="s">
        <v>97</v>
      </c>
      <c r="BS449" t="s">
        <v>7921</v>
      </c>
      <c r="BT449" t="str">
        <f>HYPERLINK("https%3A%2F%2Fwww.webofscience.com%2Fwos%2Fwoscc%2Ffull-record%2FWOS:000280039600005","View Full Record in Web of Science")</f>
        <v>View Full Record in Web of Science</v>
      </c>
    </row>
    <row r="450" spans="1:72" x14ac:dyDescent="0.25">
      <c r="A450" t="s">
        <v>72</v>
      </c>
      <c r="B450" t="s">
        <v>7922</v>
      </c>
      <c r="C450" t="s">
        <v>74</v>
      </c>
      <c r="D450" t="s">
        <v>74</v>
      </c>
      <c r="E450" t="s">
        <v>74</v>
      </c>
      <c r="F450" t="s">
        <v>7922</v>
      </c>
      <c r="G450" t="s">
        <v>74</v>
      </c>
      <c r="H450" t="s">
        <v>74</v>
      </c>
      <c r="I450" t="s">
        <v>7923</v>
      </c>
      <c r="J450" t="s">
        <v>3984</v>
      </c>
      <c r="K450" t="s">
        <v>74</v>
      </c>
      <c r="L450" t="s">
        <v>74</v>
      </c>
      <c r="M450" t="s">
        <v>77</v>
      </c>
      <c r="N450" t="s">
        <v>78</v>
      </c>
      <c r="O450" t="s">
        <v>74</v>
      </c>
      <c r="P450" t="s">
        <v>74</v>
      </c>
      <c r="Q450" t="s">
        <v>74</v>
      </c>
      <c r="R450" t="s">
        <v>74</v>
      </c>
      <c r="S450" t="s">
        <v>74</v>
      </c>
      <c r="T450" t="s">
        <v>74</v>
      </c>
      <c r="U450" t="s">
        <v>74</v>
      </c>
      <c r="V450" t="s">
        <v>7924</v>
      </c>
      <c r="W450" t="s">
        <v>7925</v>
      </c>
      <c r="X450" t="s">
        <v>7926</v>
      </c>
      <c r="Y450" t="s">
        <v>7927</v>
      </c>
      <c r="Z450" t="s">
        <v>7928</v>
      </c>
      <c r="AA450" t="s">
        <v>7929</v>
      </c>
      <c r="AB450" t="s">
        <v>7930</v>
      </c>
      <c r="AC450" t="s">
        <v>74</v>
      </c>
      <c r="AD450" t="s">
        <v>74</v>
      </c>
      <c r="AE450" t="s">
        <v>74</v>
      </c>
      <c r="AF450" t="s">
        <v>74</v>
      </c>
      <c r="AG450">
        <v>28</v>
      </c>
      <c r="AH450">
        <v>18</v>
      </c>
      <c r="AI450">
        <v>18</v>
      </c>
      <c r="AJ450">
        <v>0</v>
      </c>
      <c r="AK450">
        <v>15</v>
      </c>
      <c r="AL450" t="s">
        <v>1099</v>
      </c>
      <c r="AM450" t="s">
        <v>305</v>
      </c>
      <c r="AN450" t="s">
        <v>1100</v>
      </c>
      <c r="AO450" t="s">
        <v>3993</v>
      </c>
      <c r="AP450" t="s">
        <v>3994</v>
      </c>
      <c r="AQ450" t="s">
        <v>74</v>
      </c>
      <c r="AR450" t="s">
        <v>3995</v>
      </c>
      <c r="AS450" t="s">
        <v>3996</v>
      </c>
      <c r="AT450" t="s">
        <v>892</v>
      </c>
      <c r="AU450">
        <v>2006</v>
      </c>
      <c r="AV450">
        <v>14</v>
      </c>
      <c r="AW450">
        <v>1</v>
      </c>
      <c r="AX450" t="s">
        <v>74</v>
      </c>
      <c r="AY450" t="s">
        <v>74</v>
      </c>
      <c r="AZ450" t="s">
        <v>74</v>
      </c>
      <c r="BA450" t="s">
        <v>74</v>
      </c>
      <c r="BB450">
        <v>95</v>
      </c>
      <c r="BC450">
        <v>117</v>
      </c>
      <c r="BD450" t="s">
        <v>74</v>
      </c>
      <c r="BE450" t="s">
        <v>7931</v>
      </c>
      <c r="BF450" t="str">
        <f>HYPERLINK("http://dx.doi.org/10.1080/09654310500339893","http://dx.doi.org/10.1080/09654310500339893")</f>
        <v>http://dx.doi.org/10.1080/09654310500339893</v>
      </c>
      <c r="BG450" t="s">
        <v>74</v>
      </c>
      <c r="BH450" t="s">
        <v>74</v>
      </c>
      <c r="BI450">
        <v>23</v>
      </c>
      <c r="BJ450" t="s">
        <v>3998</v>
      </c>
      <c r="BK450" t="s">
        <v>94</v>
      </c>
      <c r="BL450" t="s">
        <v>3999</v>
      </c>
      <c r="BM450" t="s">
        <v>7932</v>
      </c>
      <c r="BN450" t="s">
        <v>74</v>
      </c>
      <c r="BO450" t="s">
        <v>111</v>
      </c>
      <c r="BP450" t="s">
        <v>74</v>
      </c>
      <c r="BQ450" t="s">
        <v>74</v>
      </c>
      <c r="BR450" t="s">
        <v>97</v>
      </c>
      <c r="BS450" t="s">
        <v>7933</v>
      </c>
      <c r="BT450" t="str">
        <f>HYPERLINK("https%3A%2F%2Fwww.webofscience.com%2Fwos%2Fwoscc%2Ffull-record%2FWOS:000234804500007","View Full Record in Web of Science")</f>
        <v>View Full Record in Web of Science</v>
      </c>
    </row>
    <row r="451" spans="1:72" x14ac:dyDescent="0.25">
      <c r="A451" t="s">
        <v>72</v>
      </c>
      <c r="B451" t="s">
        <v>7934</v>
      </c>
      <c r="C451" t="s">
        <v>74</v>
      </c>
      <c r="D451" t="s">
        <v>74</v>
      </c>
      <c r="E451" t="s">
        <v>74</v>
      </c>
      <c r="F451" t="s">
        <v>7934</v>
      </c>
      <c r="G451" t="s">
        <v>74</v>
      </c>
      <c r="H451" t="s">
        <v>74</v>
      </c>
      <c r="I451" t="s">
        <v>7935</v>
      </c>
      <c r="J451" t="s">
        <v>7936</v>
      </c>
      <c r="K451" t="s">
        <v>74</v>
      </c>
      <c r="L451" t="s">
        <v>74</v>
      </c>
      <c r="M451" t="s">
        <v>77</v>
      </c>
      <c r="N451" t="s">
        <v>78</v>
      </c>
      <c r="O451" t="s">
        <v>74</v>
      </c>
      <c r="P451" t="s">
        <v>74</v>
      </c>
      <c r="Q451" t="s">
        <v>74</v>
      </c>
      <c r="R451" t="s">
        <v>74</v>
      </c>
      <c r="S451" t="s">
        <v>74</v>
      </c>
      <c r="T451" t="s">
        <v>7937</v>
      </c>
      <c r="U451" t="s">
        <v>7938</v>
      </c>
      <c r="V451" t="s">
        <v>7939</v>
      </c>
      <c r="W451" t="s">
        <v>7940</v>
      </c>
      <c r="X451" t="s">
        <v>7941</v>
      </c>
      <c r="Y451" t="s">
        <v>7942</v>
      </c>
      <c r="Z451" t="s">
        <v>74</v>
      </c>
      <c r="AA451" t="s">
        <v>74</v>
      </c>
      <c r="AB451" t="s">
        <v>74</v>
      </c>
      <c r="AC451" t="s">
        <v>74</v>
      </c>
      <c r="AD451" t="s">
        <v>74</v>
      </c>
      <c r="AE451" t="s">
        <v>74</v>
      </c>
      <c r="AF451" t="s">
        <v>74</v>
      </c>
      <c r="AG451">
        <v>60</v>
      </c>
      <c r="AH451">
        <v>18</v>
      </c>
      <c r="AI451">
        <v>20</v>
      </c>
      <c r="AJ451">
        <v>5</v>
      </c>
      <c r="AK451">
        <v>19</v>
      </c>
      <c r="AL451" t="s">
        <v>1192</v>
      </c>
      <c r="AM451" t="s">
        <v>1193</v>
      </c>
      <c r="AN451" t="s">
        <v>1194</v>
      </c>
      <c r="AO451" t="s">
        <v>7943</v>
      </c>
      <c r="AP451" t="s">
        <v>74</v>
      </c>
      <c r="AQ451" t="s">
        <v>74</v>
      </c>
      <c r="AR451" t="s">
        <v>7944</v>
      </c>
      <c r="AS451" t="s">
        <v>7945</v>
      </c>
      <c r="AT451" t="s">
        <v>405</v>
      </c>
      <c r="AU451">
        <v>2000</v>
      </c>
      <c r="AV451">
        <v>16</v>
      </c>
      <c r="AW451">
        <v>1</v>
      </c>
      <c r="AX451" t="s">
        <v>74</v>
      </c>
      <c r="AY451" t="s">
        <v>74</v>
      </c>
      <c r="AZ451" t="s">
        <v>74</v>
      </c>
      <c r="BA451" t="s">
        <v>74</v>
      </c>
      <c r="BB451">
        <v>13</v>
      </c>
      <c r="BC451">
        <v>38</v>
      </c>
      <c r="BD451" t="s">
        <v>74</v>
      </c>
      <c r="BE451" t="s">
        <v>7946</v>
      </c>
      <c r="BF451" t="str">
        <f>HYPERLINK("http://dx.doi.org/10.1023/A:1007731916317","http://dx.doi.org/10.1023/A:1007731916317")</f>
        <v>http://dx.doi.org/10.1023/A:1007731916317</v>
      </c>
      <c r="BG451" t="s">
        <v>74</v>
      </c>
      <c r="BH451" t="s">
        <v>74</v>
      </c>
      <c r="BI451">
        <v>26</v>
      </c>
      <c r="BJ451" t="s">
        <v>7947</v>
      </c>
      <c r="BK451" t="s">
        <v>94</v>
      </c>
      <c r="BL451" t="s">
        <v>95</v>
      </c>
      <c r="BM451" t="s">
        <v>7948</v>
      </c>
      <c r="BN451" t="s">
        <v>74</v>
      </c>
      <c r="BO451" t="s">
        <v>74</v>
      </c>
      <c r="BP451" t="s">
        <v>74</v>
      </c>
      <c r="BQ451" t="s">
        <v>74</v>
      </c>
      <c r="BR451" t="s">
        <v>97</v>
      </c>
      <c r="BS451" t="s">
        <v>7949</v>
      </c>
      <c r="BT451" t="str">
        <f>HYPERLINK("https%3A%2F%2Fwww.webofscience.com%2Fwos%2Fwoscc%2Ffull-record%2FWOS:000084413400002","View Full Record in Web of Science")</f>
        <v>View Full Record in Web of Science</v>
      </c>
    </row>
    <row r="452" spans="1:72" x14ac:dyDescent="0.25">
      <c r="A452" t="s">
        <v>72</v>
      </c>
      <c r="B452" t="s">
        <v>7950</v>
      </c>
      <c r="C452" t="s">
        <v>74</v>
      </c>
      <c r="D452" t="s">
        <v>74</v>
      </c>
      <c r="E452" t="s">
        <v>74</v>
      </c>
      <c r="F452" t="s">
        <v>7951</v>
      </c>
      <c r="G452" t="s">
        <v>74</v>
      </c>
      <c r="H452" t="s">
        <v>74</v>
      </c>
      <c r="I452" t="s">
        <v>7952</v>
      </c>
      <c r="J452" t="s">
        <v>7953</v>
      </c>
      <c r="K452" t="s">
        <v>74</v>
      </c>
      <c r="L452" t="s">
        <v>74</v>
      </c>
      <c r="M452" t="s">
        <v>77</v>
      </c>
      <c r="N452" t="s">
        <v>78</v>
      </c>
      <c r="O452" t="s">
        <v>74</v>
      </c>
      <c r="P452" t="s">
        <v>74</v>
      </c>
      <c r="Q452" t="s">
        <v>74</v>
      </c>
      <c r="R452" t="s">
        <v>74</v>
      </c>
      <c r="S452" t="s">
        <v>74</v>
      </c>
      <c r="T452" t="s">
        <v>7954</v>
      </c>
      <c r="U452" t="s">
        <v>7955</v>
      </c>
      <c r="V452" t="s">
        <v>7956</v>
      </c>
      <c r="W452" t="s">
        <v>7957</v>
      </c>
      <c r="X452" t="s">
        <v>74</v>
      </c>
      <c r="Y452" t="s">
        <v>7958</v>
      </c>
      <c r="Z452" t="s">
        <v>7959</v>
      </c>
      <c r="AA452" t="s">
        <v>74</v>
      </c>
      <c r="AB452" t="s">
        <v>7960</v>
      </c>
      <c r="AC452" t="s">
        <v>7961</v>
      </c>
      <c r="AD452" t="s">
        <v>7962</v>
      </c>
      <c r="AE452" t="s">
        <v>7963</v>
      </c>
      <c r="AF452" t="s">
        <v>74</v>
      </c>
      <c r="AG452">
        <v>56</v>
      </c>
      <c r="AH452">
        <v>17</v>
      </c>
      <c r="AI452">
        <v>17</v>
      </c>
      <c r="AJ452">
        <v>10</v>
      </c>
      <c r="AK452">
        <v>29</v>
      </c>
      <c r="AL452" t="s">
        <v>434</v>
      </c>
      <c r="AM452" t="s">
        <v>435</v>
      </c>
      <c r="AN452" t="s">
        <v>436</v>
      </c>
      <c r="AO452" t="s">
        <v>7964</v>
      </c>
      <c r="AP452" t="s">
        <v>7965</v>
      </c>
      <c r="AQ452" t="s">
        <v>74</v>
      </c>
      <c r="AR452" t="s">
        <v>7966</v>
      </c>
      <c r="AS452" t="s">
        <v>7967</v>
      </c>
      <c r="AT452" t="s">
        <v>200</v>
      </c>
      <c r="AU452">
        <v>2022</v>
      </c>
      <c r="AV452">
        <v>13</v>
      </c>
      <c r="AW452">
        <v>1</v>
      </c>
      <c r="AX452" t="s">
        <v>74</v>
      </c>
      <c r="AY452" t="s">
        <v>74</v>
      </c>
      <c r="AZ452" t="s">
        <v>74</v>
      </c>
      <c r="BA452" t="s">
        <v>74</v>
      </c>
      <c r="BB452" t="s">
        <v>74</v>
      </c>
      <c r="BC452" t="s">
        <v>74</v>
      </c>
      <c r="BD452">
        <v>100440</v>
      </c>
      <c r="BE452" t="s">
        <v>7968</v>
      </c>
      <c r="BF452" t="str">
        <f>HYPERLINK("http://dx.doi.org/10.1016/j.jfbs.2021.100440","http://dx.doi.org/10.1016/j.jfbs.2021.100440")</f>
        <v>http://dx.doi.org/10.1016/j.jfbs.2021.100440</v>
      </c>
      <c r="BG452" t="s">
        <v>74</v>
      </c>
      <c r="BH452" t="s">
        <v>7969</v>
      </c>
      <c r="BI452">
        <v>9</v>
      </c>
      <c r="BJ452" t="s">
        <v>93</v>
      </c>
      <c r="BK452" t="s">
        <v>94</v>
      </c>
      <c r="BL452" t="s">
        <v>95</v>
      </c>
      <c r="BM452" t="s">
        <v>7970</v>
      </c>
      <c r="BN452" t="s">
        <v>74</v>
      </c>
      <c r="BO452" t="s">
        <v>408</v>
      </c>
      <c r="BP452" t="s">
        <v>74</v>
      </c>
      <c r="BQ452" t="s">
        <v>74</v>
      </c>
      <c r="BR452" t="s">
        <v>97</v>
      </c>
      <c r="BS452" t="s">
        <v>7971</v>
      </c>
      <c r="BT452" t="str">
        <f>HYPERLINK("https%3A%2F%2Fwww.webofscience.com%2Fwos%2Fwoscc%2Ffull-record%2FWOS:000774288400007","View Full Record in Web of Science")</f>
        <v>View Full Record in Web of Science</v>
      </c>
    </row>
    <row r="453" spans="1:72" x14ac:dyDescent="0.25">
      <c r="A453" t="s">
        <v>72</v>
      </c>
      <c r="B453" t="s">
        <v>7972</v>
      </c>
      <c r="C453" t="s">
        <v>74</v>
      </c>
      <c r="D453" t="s">
        <v>74</v>
      </c>
      <c r="E453" t="s">
        <v>74</v>
      </c>
      <c r="F453" t="s">
        <v>7973</v>
      </c>
      <c r="G453" t="s">
        <v>74</v>
      </c>
      <c r="H453" t="s">
        <v>74</v>
      </c>
      <c r="I453" t="s">
        <v>7974</v>
      </c>
      <c r="J453" t="s">
        <v>5961</v>
      </c>
      <c r="K453" t="s">
        <v>74</v>
      </c>
      <c r="L453" t="s">
        <v>74</v>
      </c>
      <c r="M453" t="s">
        <v>77</v>
      </c>
      <c r="N453" t="s">
        <v>78</v>
      </c>
      <c r="O453" t="s">
        <v>74</v>
      </c>
      <c r="P453" t="s">
        <v>74</v>
      </c>
      <c r="Q453" t="s">
        <v>74</v>
      </c>
      <c r="R453" t="s">
        <v>74</v>
      </c>
      <c r="S453" t="s">
        <v>74</v>
      </c>
      <c r="T453" t="s">
        <v>7975</v>
      </c>
      <c r="U453" t="s">
        <v>7976</v>
      </c>
      <c r="V453" t="s">
        <v>7977</v>
      </c>
      <c r="W453" t="s">
        <v>7978</v>
      </c>
      <c r="X453" t="s">
        <v>7979</v>
      </c>
      <c r="Y453" t="s">
        <v>7980</v>
      </c>
      <c r="Z453" t="s">
        <v>7981</v>
      </c>
      <c r="AA453" t="s">
        <v>7982</v>
      </c>
      <c r="AB453" t="s">
        <v>7983</v>
      </c>
      <c r="AC453" t="s">
        <v>7984</v>
      </c>
      <c r="AD453" t="s">
        <v>575</v>
      </c>
      <c r="AE453" t="s">
        <v>7985</v>
      </c>
      <c r="AF453" t="s">
        <v>74</v>
      </c>
      <c r="AG453">
        <v>94</v>
      </c>
      <c r="AH453">
        <v>17</v>
      </c>
      <c r="AI453">
        <v>18</v>
      </c>
      <c r="AJ453">
        <v>2</v>
      </c>
      <c r="AK453">
        <v>51</v>
      </c>
      <c r="AL453" t="s">
        <v>665</v>
      </c>
      <c r="AM453" t="s">
        <v>666</v>
      </c>
      <c r="AN453" t="s">
        <v>667</v>
      </c>
      <c r="AO453" t="s">
        <v>5974</v>
      </c>
      <c r="AP453" t="s">
        <v>5975</v>
      </c>
      <c r="AQ453" t="s">
        <v>74</v>
      </c>
      <c r="AR453" t="s">
        <v>5976</v>
      </c>
      <c r="AS453" t="s">
        <v>5977</v>
      </c>
      <c r="AT453" t="s">
        <v>7986</v>
      </c>
      <c r="AU453">
        <v>2021</v>
      </c>
      <c r="AV453">
        <v>14</v>
      </c>
      <c r="AW453">
        <v>3</v>
      </c>
      <c r="AX453" t="s">
        <v>74</v>
      </c>
      <c r="AY453" t="s">
        <v>74</v>
      </c>
      <c r="AZ453" t="s">
        <v>74</v>
      </c>
      <c r="BA453" t="s">
        <v>74</v>
      </c>
      <c r="BB453">
        <v>545</v>
      </c>
      <c r="BC453">
        <v>562</v>
      </c>
      <c r="BD453" t="s">
        <v>74</v>
      </c>
      <c r="BE453" t="s">
        <v>7987</v>
      </c>
      <c r="BF453" t="str">
        <f>HYPERLINK("http://dx.doi.org/10.1108/IJMPB-01-2020-0032","http://dx.doi.org/10.1108/IJMPB-01-2020-0032")</f>
        <v>http://dx.doi.org/10.1108/IJMPB-01-2020-0032</v>
      </c>
      <c r="BG453" t="s">
        <v>74</v>
      </c>
      <c r="BH453" t="s">
        <v>7030</v>
      </c>
      <c r="BI453">
        <v>18</v>
      </c>
      <c r="BJ453" t="s">
        <v>93</v>
      </c>
      <c r="BK453" t="s">
        <v>94</v>
      </c>
      <c r="BL453" t="s">
        <v>95</v>
      </c>
      <c r="BM453" t="s">
        <v>7988</v>
      </c>
      <c r="BN453" t="s">
        <v>74</v>
      </c>
      <c r="BO453" t="s">
        <v>74</v>
      </c>
      <c r="BP453" t="s">
        <v>74</v>
      </c>
      <c r="BQ453" t="s">
        <v>74</v>
      </c>
      <c r="BR453" t="s">
        <v>97</v>
      </c>
      <c r="BS453" t="s">
        <v>7989</v>
      </c>
      <c r="BT453" t="str">
        <f>HYPERLINK("https%3A%2F%2Fwww.webofscience.com%2Fwos%2Fwoscc%2Ffull-record%2FWOS:000562874800001","View Full Record in Web of Science")</f>
        <v>View Full Record in Web of Science</v>
      </c>
    </row>
    <row r="454" spans="1:72" x14ac:dyDescent="0.25">
      <c r="A454" t="s">
        <v>72</v>
      </c>
      <c r="B454" t="s">
        <v>7990</v>
      </c>
      <c r="C454" t="s">
        <v>74</v>
      </c>
      <c r="D454" t="s">
        <v>74</v>
      </c>
      <c r="E454" t="s">
        <v>74</v>
      </c>
      <c r="F454" t="s">
        <v>7991</v>
      </c>
      <c r="G454" t="s">
        <v>74</v>
      </c>
      <c r="H454" t="s">
        <v>74</v>
      </c>
      <c r="I454" t="s">
        <v>7992</v>
      </c>
      <c r="J454" t="s">
        <v>7993</v>
      </c>
      <c r="K454" t="s">
        <v>74</v>
      </c>
      <c r="L454" t="s">
        <v>74</v>
      </c>
      <c r="M454" t="s">
        <v>77</v>
      </c>
      <c r="N454" t="s">
        <v>78</v>
      </c>
      <c r="O454" t="s">
        <v>74</v>
      </c>
      <c r="P454" t="s">
        <v>74</v>
      </c>
      <c r="Q454" t="s">
        <v>74</v>
      </c>
      <c r="R454" t="s">
        <v>74</v>
      </c>
      <c r="S454" t="s">
        <v>74</v>
      </c>
      <c r="T454" t="s">
        <v>7994</v>
      </c>
      <c r="U454" t="s">
        <v>7995</v>
      </c>
      <c r="V454" t="s">
        <v>7996</v>
      </c>
      <c r="W454" t="s">
        <v>7997</v>
      </c>
      <c r="X454" t="s">
        <v>7998</v>
      </c>
      <c r="Y454" t="s">
        <v>7999</v>
      </c>
      <c r="Z454" t="s">
        <v>8000</v>
      </c>
      <c r="AA454" t="s">
        <v>8001</v>
      </c>
      <c r="AB454" t="s">
        <v>74</v>
      </c>
      <c r="AC454" t="s">
        <v>74</v>
      </c>
      <c r="AD454" t="s">
        <v>74</v>
      </c>
      <c r="AE454" t="s">
        <v>74</v>
      </c>
      <c r="AF454" t="s">
        <v>74</v>
      </c>
      <c r="AG454">
        <v>80</v>
      </c>
      <c r="AH454">
        <v>17</v>
      </c>
      <c r="AI454">
        <v>18</v>
      </c>
      <c r="AJ454">
        <v>11</v>
      </c>
      <c r="AK454">
        <v>48</v>
      </c>
      <c r="AL454" t="s">
        <v>8002</v>
      </c>
      <c r="AM454" t="s">
        <v>8003</v>
      </c>
      <c r="AN454" t="s">
        <v>8004</v>
      </c>
      <c r="AO454" t="s">
        <v>8005</v>
      </c>
      <c r="AP454" t="s">
        <v>8006</v>
      </c>
      <c r="AQ454" t="s">
        <v>74</v>
      </c>
      <c r="AR454" t="s">
        <v>8007</v>
      </c>
      <c r="AS454" t="s">
        <v>8008</v>
      </c>
      <c r="AT454" t="s">
        <v>392</v>
      </c>
      <c r="AU454">
        <v>2020</v>
      </c>
      <c r="AV454">
        <v>36</v>
      </c>
      <c r="AW454">
        <v>2</v>
      </c>
      <c r="AX454" t="s">
        <v>74</v>
      </c>
      <c r="AY454" t="s">
        <v>74</v>
      </c>
      <c r="AZ454" t="s">
        <v>74</v>
      </c>
      <c r="BA454" t="s">
        <v>74</v>
      </c>
      <c r="BB454">
        <v>103</v>
      </c>
      <c r="BC454">
        <v>110</v>
      </c>
      <c r="BD454" t="s">
        <v>74</v>
      </c>
      <c r="BE454" t="s">
        <v>8009</v>
      </c>
      <c r="BF454" t="str">
        <f>HYPERLINK("http://dx.doi.org/10.5093/jwop2020a8","http://dx.doi.org/10.5093/jwop2020a8")</f>
        <v>http://dx.doi.org/10.5093/jwop2020a8</v>
      </c>
      <c r="BG454" t="s">
        <v>74</v>
      </c>
      <c r="BH454" t="s">
        <v>74</v>
      </c>
      <c r="BI454">
        <v>8</v>
      </c>
      <c r="BJ454" t="s">
        <v>692</v>
      </c>
      <c r="BK454" t="s">
        <v>94</v>
      </c>
      <c r="BL454" t="s">
        <v>460</v>
      </c>
      <c r="BM454" t="s">
        <v>8010</v>
      </c>
      <c r="BN454" t="s">
        <v>74</v>
      </c>
      <c r="BO454" t="s">
        <v>8011</v>
      </c>
      <c r="BP454" t="s">
        <v>74</v>
      </c>
      <c r="BQ454" t="s">
        <v>74</v>
      </c>
      <c r="BR454" t="s">
        <v>97</v>
      </c>
      <c r="BS454" t="s">
        <v>8012</v>
      </c>
      <c r="BT454" t="str">
        <f>HYPERLINK("https%3A%2F%2Fwww.webofscience.com%2Fwos%2Fwoscc%2Ffull-record%2FWOS:000555476100003","View Full Record in Web of Science")</f>
        <v>View Full Record in Web of Science</v>
      </c>
    </row>
    <row r="455" spans="1:72" x14ac:dyDescent="0.25">
      <c r="A455" t="s">
        <v>72</v>
      </c>
      <c r="B455" t="s">
        <v>8013</v>
      </c>
      <c r="C455" t="s">
        <v>74</v>
      </c>
      <c r="D455" t="s">
        <v>74</v>
      </c>
      <c r="E455" t="s">
        <v>74</v>
      </c>
      <c r="F455" t="s">
        <v>8014</v>
      </c>
      <c r="G455" t="s">
        <v>74</v>
      </c>
      <c r="H455" t="s">
        <v>74</v>
      </c>
      <c r="I455" t="s">
        <v>8015</v>
      </c>
      <c r="J455" t="s">
        <v>3424</v>
      </c>
      <c r="K455" t="s">
        <v>74</v>
      </c>
      <c r="L455" t="s">
        <v>74</v>
      </c>
      <c r="M455" t="s">
        <v>77</v>
      </c>
      <c r="N455" t="s">
        <v>78</v>
      </c>
      <c r="O455" t="s">
        <v>74</v>
      </c>
      <c r="P455" t="s">
        <v>74</v>
      </c>
      <c r="Q455" t="s">
        <v>74</v>
      </c>
      <c r="R455" t="s">
        <v>74</v>
      </c>
      <c r="S455" t="s">
        <v>74</v>
      </c>
      <c r="T455" t="s">
        <v>8016</v>
      </c>
      <c r="U455" t="s">
        <v>8017</v>
      </c>
      <c r="V455" t="s">
        <v>8018</v>
      </c>
      <c r="W455" t="s">
        <v>8019</v>
      </c>
      <c r="X455" t="s">
        <v>8020</v>
      </c>
      <c r="Y455" t="s">
        <v>8021</v>
      </c>
      <c r="Z455" t="s">
        <v>8022</v>
      </c>
      <c r="AA455" t="s">
        <v>8023</v>
      </c>
      <c r="AB455" t="s">
        <v>8024</v>
      </c>
      <c r="AC455" t="s">
        <v>74</v>
      </c>
      <c r="AD455" t="s">
        <v>74</v>
      </c>
      <c r="AE455" t="s">
        <v>74</v>
      </c>
      <c r="AF455" t="s">
        <v>74</v>
      </c>
      <c r="AG455">
        <v>51</v>
      </c>
      <c r="AH455">
        <v>17</v>
      </c>
      <c r="AI455">
        <v>17</v>
      </c>
      <c r="AJ455">
        <v>5</v>
      </c>
      <c r="AK455">
        <v>64</v>
      </c>
      <c r="AL455" t="s">
        <v>218</v>
      </c>
      <c r="AM455" t="s">
        <v>219</v>
      </c>
      <c r="AN455" t="s">
        <v>220</v>
      </c>
      <c r="AO455" t="s">
        <v>3431</v>
      </c>
      <c r="AP455" t="s">
        <v>3432</v>
      </c>
      <c r="AQ455" t="s">
        <v>74</v>
      </c>
      <c r="AR455" t="s">
        <v>3433</v>
      </c>
      <c r="AS455" t="s">
        <v>3434</v>
      </c>
      <c r="AT455" t="s">
        <v>792</v>
      </c>
      <c r="AU455">
        <v>2020</v>
      </c>
      <c r="AV455">
        <v>58</v>
      </c>
      <c r="AW455">
        <v>3</v>
      </c>
      <c r="AX455" t="s">
        <v>74</v>
      </c>
      <c r="AY455" t="s">
        <v>74</v>
      </c>
      <c r="AZ455" t="s">
        <v>74</v>
      </c>
      <c r="BA455" t="s">
        <v>74</v>
      </c>
      <c r="BB455">
        <v>356</v>
      </c>
      <c r="BC455">
        <v>377</v>
      </c>
      <c r="BD455" t="s">
        <v>74</v>
      </c>
      <c r="BE455" t="s">
        <v>8025</v>
      </c>
      <c r="BF455" t="str">
        <f>HYPERLINK("http://dx.doi.org/10.1111/1744-7941.12227","http://dx.doi.org/10.1111/1744-7941.12227")</f>
        <v>http://dx.doi.org/10.1111/1744-7941.12227</v>
      </c>
      <c r="BG455" t="s">
        <v>74</v>
      </c>
      <c r="BH455" t="s">
        <v>74</v>
      </c>
      <c r="BI455">
        <v>22</v>
      </c>
      <c r="BJ455" t="s">
        <v>673</v>
      </c>
      <c r="BK455" t="s">
        <v>94</v>
      </c>
      <c r="BL455" t="s">
        <v>95</v>
      </c>
      <c r="BM455" t="s">
        <v>8026</v>
      </c>
      <c r="BN455" t="s">
        <v>74</v>
      </c>
      <c r="BO455" t="s">
        <v>74</v>
      </c>
      <c r="BP455" t="s">
        <v>74</v>
      </c>
      <c r="BQ455" t="s">
        <v>74</v>
      </c>
      <c r="BR455" t="s">
        <v>97</v>
      </c>
      <c r="BS455" t="s">
        <v>8027</v>
      </c>
      <c r="BT455" t="str">
        <f>HYPERLINK("https%3A%2F%2Fwww.webofscience.com%2Fwos%2Fwoscc%2Ffull-record%2FWOS:000545724800003","View Full Record in Web of Science")</f>
        <v>View Full Record in Web of Science</v>
      </c>
    </row>
    <row r="456" spans="1:72" x14ac:dyDescent="0.25">
      <c r="A456" t="s">
        <v>72</v>
      </c>
      <c r="B456" t="s">
        <v>8028</v>
      </c>
      <c r="C456" t="s">
        <v>74</v>
      </c>
      <c r="D456" t="s">
        <v>74</v>
      </c>
      <c r="E456" t="s">
        <v>74</v>
      </c>
      <c r="F456" t="s">
        <v>8029</v>
      </c>
      <c r="G456" t="s">
        <v>74</v>
      </c>
      <c r="H456" t="s">
        <v>74</v>
      </c>
      <c r="I456" t="s">
        <v>8030</v>
      </c>
      <c r="J456" t="s">
        <v>3375</v>
      </c>
      <c r="K456" t="s">
        <v>74</v>
      </c>
      <c r="L456" t="s">
        <v>74</v>
      </c>
      <c r="M456" t="s">
        <v>77</v>
      </c>
      <c r="N456" t="s">
        <v>78</v>
      </c>
      <c r="O456" t="s">
        <v>74</v>
      </c>
      <c r="P456" t="s">
        <v>74</v>
      </c>
      <c r="Q456" t="s">
        <v>74</v>
      </c>
      <c r="R456" t="s">
        <v>74</v>
      </c>
      <c r="S456" t="s">
        <v>74</v>
      </c>
      <c r="T456" t="s">
        <v>8031</v>
      </c>
      <c r="U456" t="s">
        <v>8032</v>
      </c>
      <c r="V456" t="s">
        <v>8033</v>
      </c>
      <c r="W456" t="s">
        <v>8034</v>
      </c>
      <c r="X456" t="s">
        <v>523</v>
      </c>
      <c r="Y456" t="s">
        <v>8035</v>
      </c>
      <c r="Z456" t="s">
        <v>8036</v>
      </c>
      <c r="AA456" t="s">
        <v>74</v>
      </c>
      <c r="AB456" t="s">
        <v>8037</v>
      </c>
      <c r="AC456" t="s">
        <v>74</v>
      </c>
      <c r="AD456" t="s">
        <v>74</v>
      </c>
      <c r="AE456" t="s">
        <v>74</v>
      </c>
      <c r="AF456" t="s">
        <v>74</v>
      </c>
      <c r="AG456">
        <v>60</v>
      </c>
      <c r="AH456">
        <v>17</v>
      </c>
      <c r="AI456">
        <v>18</v>
      </c>
      <c r="AJ456">
        <v>7</v>
      </c>
      <c r="AK456">
        <v>35</v>
      </c>
      <c r="AL456" t="s">
        <v>218</v>
      </c>
      <c r="AM456" t="s">
        <v>219</v>
      </c>
      <c r="AN456" t="s">
        <v>220</v>
      </c>
      <c r="AO456" t="s">
        <v>3382</v>
      </c>
      <c r="AP456" t="s">
        <v>3383</v>
      </c>
      <c r="AQ456" t="s">
        <v>74</v>
      </c>
      <c r="AR456" t="s">
        <v>3384</v>
      </c>
      <c r="AS456" t="s">
        <v>3385</v>
      </c>
      <c r="AT456" t="s">
        <v>496</v>
      </c>
      <c r="AU456">
        <v>2020</v>
      </c>
      <c r="AV456">
        <v>79</v>
      </c>
      <c r="AW456">
        <v>3</v>
      </c>
      <c r="AX456" t="s">
        <v>74</v>
      </c>
      <c r="AY456" t="s">
        <v>74</v>
      </c>
      <c r="AZ456" t="s">
        <v>74</v>
      </c>
      <c r="BA456" t="s">
        <v>74</v>
      </c>
      <c r="BB456">
        <v>271</v>
      </c>
      <c r="BC456">
        <v>278</v>
      </c>
      <c r="BD456" t="s">
        <v>74</v>
      </c>
      <c r="BE456" t="s">
        <v>8038</v>
      </c>
      <c r="BF456" t="str">
        <f>HYPERLINK("http://dx.doi.org/10.1111/1467-8500.12435","http://dx.doi.org/10.1111/1467-8500.12435")</f>
        <v>http://dx.doi.org/10.1111/1467-8500.12435</v>
      </c>
      <c r="BG456" t="s">
        <v>74</v>
      </c>
      <c r="BH456" t="s">
        <v>2176</v>
      </c>
      <c r="BI456">
        <v>8</v>
      </c>
      <c r="BJ456" t="s">
        <v>1564</v>
      </c>
      <c r="BK456" t="s">
        <v>94</v>
      </c>
      <c r="BL456" t="s">
        <v>1564</v>
      </c>
      <c r="BM456" t="s">
        <v>8039</v>
      </c>
      <c r="BN456" t="s">
        <v>74</v>
      </c>
      <c r="BO456" t="s">
        <v>74</v>
      </c>
      <c r="BP456" t="s">
        <v>74</v>
      </c>
      <c r="BQ456" t="s">
        <v>74</v>
      </c>
      <c r="BR456" t="s">
        <v>97</v>
      </c>
      <c r="BS456" t="s">
        <v>8040</v>
      </c>
      <c r="BT456" t="str">
        <f>HYPERLINK("https%3A%2F%2Fwww.webofscience.com%2Fwos%2Fwoscc%2Ffull-record%2FWOS:000541041100001","View Full Record in Web of Science")</f>
        <v>View Full Record in Web of Science</v>
      </c>
    </row>
    <row r="457" spans="1:72" x14ac:dyDescent="0.25">
      <c r="A457" t="s">
        <v>72</v>
      </c>
      <c r="B457" t="s">
        <v>8041</v>
      </c>
      <c r="C457" t="s">
        <v>74</v>
      </c>
      <c r="D457" t="s">
        <v>74</v>
      </c>
      <c r="E457" t="s">
        <v>74</v>
      </c>
      <c r="F457" t="s">
        <v>8042</v>
      </c>
      <c r="G457" t="s">
        <v>74</v>
      </c>
      <c r="H457" t="s">
        <v>74</v>
      </c>
      <c r="I457" t="s">
        <v>8043</v>
      </c>
      <c r="J457" t="s">
        <v>3123</v>
      </c>
      <c r="K457" t="s">
        <v>74</v>
      </c>
      <c r="L457" t="s">
        <v>74</v>
      </c>
      <c r="M457" t="s">
        <v>77</v>
      </c>
      <c r="N457" t="s">
        <v>78</v>
      </c>
      <c r="O457" t="s">
        <v>74</v>
      </c>
      <c r="P457" t="s">
        <v>74</v>
      </c>
      <c r="Q457" t="s">
        <v>74</v>
      </c>
      <c r="R457" t="s">
        <v>74</v>
      </c>
      <c r="S457" t="s">
        <v>74</v>
      </c>
      <c r="T457" t="s">
        <v>8044</v>
      </c>
      <c r="U457" t="s">
        <v>8045</v>
      </c>
      <c r="V457" t="s">
        <v>8046</v>
      </c>
      <c r="W457" t="s">
        <v>8047</v>
      </c>
      <c r="X457" t="s">
        <v>8048</v>
      </c>
      <c r="Y457" t="s">
        <v>8049</v>
      </c>
      <c r="Z457" t="s">
        <v>8050</v>
      </c>
      <c r="AA457" t="s">
        <v>8051</v>
      </c>
      <c r="AB457" t="s">
        <v>8052</v>
      </c>
      <c r="AC457" t="s">
        <v>74</v>
      </c>
      <c r="AD457" t="s">
        <v>74</v>
      </c>
      <c r="AE457" t="s">
        <v>74</v>
      </c>
      <c r="AF457" t="s">
        <v>74</v>
      </c>
      <c r="AG457">
        <v>76</v>
      </c>
      <c r="AH457">
        <v>17</v>
      </c>
      <c r="AI457">
        <v>18</v>
      </c>
      <c r="AJ457">
        <v>15</v>
      </c>
      <c r="AK457">
        <v>77</v>
      </c>
      <c r="AL457" t="s">
        <v>766</v>
      </c>
      <c r="AM457" t="s">
        <v>330</v>
      </c>
      <c r="AN457" t="s">
        <v>1452</v>
      </c>
      <c r="AO457" t="s">
        <v>3132</v>
      </c>
      <c r="AP457" t="s">
        <v>3133</v>
      </c>
      <c r="AQ457" t="s">
        <v>74</v>
      </c>
      <c r="AR457" t="s">
        <v>3134</v>
      </c>
      <c r="AS457" t="s">
        <v>3135</v>
      </c>
      <c r="AT457" t="s">
        <v>375</v>
      </c>
      <c r="AU457">
        <v>2021</v>
      </c>
      <c r="AV457">
        <v>38</v>
      </c>
      <c r="AW457">
        <v>4</v>
      </c>
      <c r="AX457" t="s">
        <v>74</v>
      </c>
      <c r="AY457" t="s">
        <v>74</v>
      </c>
      <c r="AZ457" t="s">
        <v>74</v>
      </c>
      <c r="BA457" t="s">
        <v>74</v>
      </c>
      <c r="BB457">
        <v>1305</v>
      </c>
      <c r="BC457">
        <v>1326</v>
      </c>
      <c r="BD457" t="s">
        <v>74</v>
      </c>
      <c r="BE457" t="s">
        <v>8053</v>
      </c>
      <c r="BF457" t="str">
        <f>HYPERLINK("http://dx.doi.org/10.1007/s10490-020-09714-0","http://dx.doi.org/10.1007/s10490-020-09714-0")</f>
        <v>http://dx.doi.org/10.1007/s10490-020-09714-0</v>
      </c>
      <c r="BG457" t="s">
        <v>74</v>
      </c>
      <c r="BH457" t="s">
        <v>6160</v>
      </c>
      <c r="BI457">
        <v>22</v>
      </c>
      <c r="BJ457" t="s">
        <v>442</v>
      </c>
      <c r="BK457" t="s">
        <v>94</v>
      </c>
      <c r="BL457" t="s">
        <v>95</v>
      </c>
      <c r="BM457" t="s">
        <v>8054</v>
      </c>
      <c r="BN457" t="s">
        <v>74</v>
      </c>
      <c r="BO457" t="s">
        <v>74</v>
      </c>
      <c r="BP457" t="s">
        <v>74</v>
      </c>
      <c r="BQ457" t="s">
        <v>74</v>
      </c>
      <c r="BR457" t="s">
        <v>97</v>
      </c>
      <c r="BS457" t="s">
        <v>8055</v>
      </c>
      <c r="BT457" t="str">
        <f>HYPERLINK("https%3A%2F%2Fwww.webofscience.com%2Fwos%2Fwoscc%2Ffull-record%2FWOS:000521878800001","View Full Record in Web of Science")</f>
        <v>View Full Record in Web of Science</v>
      </c>
    </row>
    <row r="458" spans="1:72" x14ac:dyDescent="0.25">
      <c r="A458" t="s">
        <v>72</v>
      </c>
      <c r="B458" t="s">
        <v>8056</v>
      </c>
      <c r="C458" t="s">
        <v>74</v>
      </c>
      <c r="D458" t="s">
        <v>74</v>
      </c>
      <c r="E458" t="s">
        <v>74</v>
      </c>
      <c r="F458" t="s">
        <v>8057</v>
      </c>
      <c r="G458" t="s">
        <v>74</v>
      </c>
      <c r="H458" t="s">
        <v>74</v>
      </c>
      <c r="I458" t="s">
        <v>8058</v>
      </c>
      <c r="J458" t="s">
        <v>8059</v>
      </c>
      <c r="K458" t="s">
        <v>74</v>
      </c>
      <c r="L458" t="s">
        <v>74</v>
      </c>
      <c r="M458" t="s">
        <v>77</v>
      </c>
      <c r="N458" t="s">
        <v>78</v>
      </c>
      <c r="O458" t="s">
        <v>74</v>
      </c>
      <c r="P458" t="s">
        <v>74</v>
      </c>
      <c r="Q458" t="s">
        <v>74</v>
      </c>
      <c r="R458" t="s">
        <v>74</v>
      </c>
      <c r="S458" t="s">
        <v>74</v>
      </c>
      <c r="T458" t="s">
        <v>8060</v>
      </c>
      <c r="U458" t="s">
        <v>8061</v>
      </c>
      <c r="V458" t="s">
        <v>8062</v>
      </c>
      <c r="W458" t="s">
        <v>8063</v>
      </c>
      <c r="X458" t="s">
        <v>745</v>
      </c>
      <c r="Y458" t="s">
        <v>8064</v>
      </c>
      <c r="Z458" t="s">
        <v>8065</v>
      </c>
      <c r="AA458" t="s">
        <v>74</v>
      </c>
      <c r="AB458" t="s">
        <v>74</v>
      </c>
      <c r="AC458" t="s">
        <v>74</v>
      </c>
      <c r="AD458" t="s">
        <v>74</v>
      </c>
      <c r="AE458" t="s">
        <v>74</v>
      </c>
      <c r="AF458" t="s">
        <v>74</v>
      </c>
      <c r="AG458">
        <v>54</v>
      </c>
      <c r="AH458">
        <v>17</v>
      </c>
      <c r="AI458">
        <v>17</v>
      </c>
      <c r="AJ458">
        <v>0</v>
      </c>
      <c r="AK458">
        <v>33</v>
      </c>
      <c r="AL458" t="s">
        <v>1099</v>
      </c>
      <c r="AM458" t="s">
        <v>305</v>
      </c>
      <c r="AN458" t="s">
        <v>1100</v>
      </c>
      <c r="AO458" t="s">
        <v>8066</v>
      </c>
      <c r="AP458" t="s">
        <v>8067</v>
      </c>
      <c r="AQ458" t="s">
        <v>74</v>
      </c>
      <c r="AR458" t="s">
        <v>8068</v>
      </c>
      <c r="AS458" t="s">
        <v>8069</v>
      </c>
      <c r="AT458" t="s">
        <v>8070</v>
      </c>
      <c r="AU458">
        <v>2019</v>
      </c>
      <c r="AV458">
        <v>30</v>
      </c>
      <c r="AW458" t="s">
        <v>74</v>
      </c>
      <c r="AX458" t="s">
        <v>74</v>
      </c>
      <c r="AY458">
        <v>1</v>
      </c>
      <c r="AZ458" t="s">
        <v>860</v>
      </c>
      <c r="BA458" t="s">
        <v>74</v>
      </c>
      <c r="BB458" t="s">
        <v>8071</v>
      </c>
      <c r="BC458" t="s">
        <v>8072</v>
      </c>
      <c r="BD458" t="s">
        <v>74</v>
      </c>
      <c r="BE458" t="s">
        <v>8073</v>
      </c>
      <c r="BF458" t="str">
        <f>HYPERLINK("http://dx.doi.org/10.1080/14783363.2019.1665845","http://dx.doi.org/10.1080/14783363.2019.1665845")</f>
        <v>http://dx.doi.org/10.1080/14783363.2019.1665845</v>
      </c>
      <c r="BG458" t="s">
        <v>74</v>
      </c>
      <c r="BH458" t="s">
        <v>8074</v>
      </c>
      <c r="BI458">
        <v>15</v>
      </c>
      <c r="BJ458" t="s">
        <v>442</v>
      </c>
      <c r="BK458" t="s">
        <v>94</v>
      </c>
      <c r="BL458" t="s">
        <v>95</v>
      </c>
      <c r="BM458" t="s">
        <v>8075</v>
      </c>
      <c r="BN458" t="s">
        <v>74</v>
      </c>
      <c r="BO458" t="s">
        <v>74</v>
      </c>
      <c r="BP458" t="s">
        <v>74</v>
      </c>
      <c r="BQ458" t="s">
        <v>74</v>
      </c>
      <c r="BR458" t="s">
        <v>97</v>
      </c>
      <c r="BS458" t="s">
        <v>8076</v>
      </c>
      <c r="BT458" t="str">
        <f>HYPERLINK("https%3A%2F%2Fwww.webofscience.com%2Fwos%2Fwoscc%2Ffull-record%2FWOS:000486220400001","View Full Record in Web of Science")</f>
        <v>View Full Record in Web of Science</v>
      </c>
    </row>
    <row r="459" spans="1:72" x14ac:dyDescent="0.25">
      <c r="A459" t="s">
        <v>72</v>
      </c>
      <c r="B459" t="s">
        <v>8077</v>
      </c>
      <c r="C459" t="s">
        <v>74</v>
      </c>
      <c r="D459" t="s">
        <v>74</v>
      </c>
      <c r="E459" t="s">
        <v>74</v>
      </c>
      <c r="F459" t="s">
        <v>8078</v>
      </c>
      <c r="G459" t="s">
        <v>74</v>
      </c>
      <c r="H459" t="s">
        <v>74</v>
      </c>
      <c r="I459" t="s">
        <v>8079</v>
      </c>
      <c r="J459" t="s">
        <v>2114</v>
      </c>
      <c r="K459" t="s">
        <v>74</v>
      </c>
      <c r="L459" t="s">
        <v>74</v>
      </c>
      <c r="M459" t="s">
        <v>77</v>
      </c>
      <c r="N459" t="s">
        <v>78</v>
      </c>
      <c r="O459" t="s">
        <v>74</v>
      </c>
      <c r="P459" t="s">
        <v>74</v>
      </c>
      <c r="Q459" t="s">
        <v>74</v>
      </c>
      <c r="R459" t="s">
        <v>74</v>
      </c>
      <c r="S459" t="s">
        <v>74</v>
      </c>
      <c r="T459" t="s">
        <v>8080</v>
      </c>
      <c r="U459" t="s">
        <v>8081</v>
      </c>
      <c r="V459" t="s">
        <v>8082</v>
      </c>
      <c r="W459" t="s">
        <v>8083</v>
      </c>
      <c r="X459" t="s">
        <v>8084</v>
      </c>
      <c r="Y459" t="s">
        <v>8085</v>
      </c>
      <c r="Z459" t="s">
        <v>8086</v>
      </c>
      <c r="AA459" t="s">
        <v>74</v>
      </c>
      <c r="AB459" t="s">
        <v>74</v>
      </c>
      <c r="AC459" t="s">
        <v>74</v>
      </c>
      <c r="AD459" t="s">
        <v>74</v>
      </c>
      <c r="AE459" t="s">
        <v>74</v>
      </c>
      <c r="AF459" t="s">
        <v>74</v>
      </c>
      <c r="AG459">
        <v>92</v>
      </c>
      <c r="AH459">
        <v>17</v>
      </c>
      <c r="AI459">
        <v>17</v>
      </c>
      <c r="AJ459">
        <v>8</v>
      </c>
      <c r="AK459">
        <v>90</v>
      </c>
      <c r="AL459" t="s">
        <v>218</v>
      </c>
      <c r="AM459" t="s">
        <v>219</v>
      </c>
      <c r="AN459" t="s">
        <v>220</v>
      </c>
      <c r="AO459" t="s">
        <v>2124</v>
      </c>
      <c r="AP459" t="s">
        <v>2125</v>
      </c>
      <c r="AQ459" t="s">
        <v>74</v>
      </c>
      <c r="AR459" t="s">
        <v>2126</v>
      </c>
      <c r="AS459" t="s">
        <v>2127</v>
      </c>
      <c r="AT459" t="s">
        <v>892</v>
      </c>
      <c r="AU459">
        <v>2017</v>
      </c>
      <c r="AV459">
        <v>27</v>
      </c>
      <c r="AW459">
        <v>1</v>
      </c>
      <c r="AX459" t="s">
        <v>74</v>
      </c>
      <c r="AY459" t="s">
        <v>74</v>
      </c>
      <c r="AZ459" t="s">
        <v>74</v>
      </c>
      <c r="BA459" t="s">
        <v>74</v>
      </c>
      <c r="BB459">
        <v>113</v>
      </c>
      <c r="BC459">
        <v>132</v>
      </c>
      <c r="BD459" t="s">
        <v>74</v>
      </c>
      <c r="BE459" t="s">
        <v>8087</v>
      </c>
      <c r="BF459" t="str">
        <f>HYPERLINK("http://dx.doi.org/10.1111/1748-8583.12134","http://dx.doi.org/10.1111/1748-8583.12134")</f>
        <v>http://dx.doi.org/10.1111/1748-8583.12134</v>
      </c>
      <c r="BG459" t="s">
        <v>74</v>
      </c>
      <c r="BH459" t="s">
        <v>74</v>
      </c>
      <c r="BI459">
        <v>20</v>
      </c>
      <c r="BJ459" t="s">
        <v>673</v>
      </c>
      <c r="BK459" t="s">
        <v>94</v>
      </c>
      <c r="BL459" t="s">
        <v>95</v>
      </c>
      <c r="BM459" t="s">
        <v>8088</v>
      </c>
      <c r="BN459" t="s">
        <v>74</v>
      </c>
      <c r="BO459" t="s">
        <v>74</v>
      </c>
      <c r="BP459" t="s">
        <v>74</v>
      </c>
      <c r="BQ459" t="s">
        <v>74</v>
      </c>
      <c r="BR459" t="s">
        <v>97</v>
      </c>
      <c r="BS459" t="s">
        <v>8089</v>
      </c>
      <c r="BT459" t="str">
        <f>HYPERLINK("https%3A%2F%2Fwww.webofscience.com%2Fwos%2Fwoscc%2Ffull-record%2FWOS:000394639800007","View Full Record in Web of Science")</f>
        <v>View Full Record in Web of Science</v>
      </c>
    </row>
    <row r="460" spans="1:72" x14ac:dyDescent="0.25">
      <c r="A460" t="s">
        <v>72</v>
      </c>
      <c r="B460" t="s">
        <v>8090</v>
      </c>
      <c r="C460" t="s">
        <v>74</v>
      </c>
      <c r="D460" t="s">
        <v>74</v>
      </c>
      <c r="E460" t="s">
        <v>74</v>
      </c>
      <c r="F460" t="s">
        <v>8091</v>
      </c>
      <c r="G460" t="s">
        <v>74</v>
      </c>
      <c r="H460" t="s">
        <v>74</v>
      </c>
      <c r="I460" t="s">
        <v>8092</v>
      </c>
      <c r="J460" t="s">
        <v>3931</v>
      </c>
      <c r="K460" t="s">
        <v>74</v>
      </c>
      <c r="L460" t="s">
        <v>74</v>
      </c>
      <c r="M460" t="s">
        <v>77</v>
      </c>
      <c r="N460" t="s">
        <v>78</v>
      </c>
      <c r="O460" t="s">
        <v>74</v>
      </c>
      <c r="P460" t="s">
        <v>74</v>
      </c>
      <c r="Q460" t="s">
        <v>74</v>
      </c>
      <c r="R460" t="s">
        <v>74</v>
      </c>
      <c r="S460" t="s">
        <v>74</v>
      </c>
      <c r="T460" t="s">
        <v>8093</v>
      </c>
      <c r="U460" t="s">
        <v>8094</v>
      </c>
      <c r="V460" t="s">
        <v>8095</v>
      </c>
      <c r="W460" t="s">
        <v>8096</v>
      </c>
      <c r="X460" t="s">
        <v>8097</v>
      </c>
      <c r="Y460" t="s">
        <v>8098</v>
      </c>
      <c r="Z460" t="s">
        <v>8099</v>
      </c>
      <c r="AA460" t="s">
        <v>74</v>
      </c>
      <c r="AB460" t="s">
        <v>74</v>
      </c>
      <c r="AC460" t="s">
        <v>74</v>
      </c>
      <c r="AD460" t="s">
        <v>74</v>
      </c>
      <c r="AE460" t="s">
        <v>74</v>
      </c>
      <c r="AF460" t="s">
        <v>74</v>
      </c>
      <c r="AG460">
        <v>67</v>
      </c>
      <c r="AH460">
        <v>17</v>
      </c>
      <c r="AI460">
        <v>17</v>
      </c>
      <c r="AJ460">
        <v>8</v>
      </c>
      <c r="AK460">
        <v>65</v>
      </c>
      <c r="AL460" t="s">
        <v>665</v>
      </c>
      <c r="AM460" t="s">
        <v>666</v>
      </c>
      <c r="AN460" t="s">
        <v>667</v>
      </c>
      <c r="AO460" t="s">
        <v>3939</v>
      </c>
      <c r="AP460" t="s">
        <v>3940</v>
      </c>
      <c r="AQ460" t="s">
        <v>74</v>
      </c>
      <c r="AR460" t="s">
        <v>3941</v>
      </c>
      <c r="AS460" t="s">
        <v>3942</v>
      </c>
      <c r="AT460" t="s">
        <v>74</v>
      </c>
      <c r="AU460">
        <v>2015</v>
      </c>
      <c r="AV460">
        <v>36</v>
      </c>
      <c r="AW460">
        <v>5</v>
      </c>
      <c r="AX460" t="s">
        <v>74</v>
      </c>
      <c r="AY460" t="s">
        <v>74</v>
      </c>
      <c r="AZ460" t="s">
        <v>74</v>
      </c>
      <c r="BA460" t="s">
        <v>74</v>
      </c>
      <c r="BB460">
        <v>473</v>
      </c>
      <c r="BC460">
        <v>488</v>
      </c>
      <c r="BD460" t="s">
        <v>74</v>
      </c>
      <c r="BE460" t="s">
        <v>8100</v>
      </c>
      <c r="BF460" t="str">
        <f>HYPERLINK("http://dx.doi.org/10.1108/LODJ-07-2013-0098","http://dx.doi.org/10.1108/LODJ-07-2013-0098")</f>
        <v>http://dx.doi.org/10.1108/LODJ-07-2013-0098</v>
      </c>
      <c r="BG460" t="s">
        <v>74</v>
      </c>
      <c r="BH460" t="s">
        <v>74</v>
      </c>
      <c r="BI460">
        <v>16</v>
      </c>
      <c r="BJ460" t="s">
        <v>442</v>
      </c>
      <c r="BK460" t="s">
        <v>94</v>
      </c>
      <c r="BL460" t="s">
        <v>95</v>
      </c>
      <c r="BM460" t="s">
        <v>5292</v>
      </c>
      <c r="BN460" t="s">
        <v>74</v>
      </c>
      <c r="BO460" t="s">
        <v>74</v>
      </c>
      <c r="BP460" t="s">
        <v>74</v>
      </c>
      <c r="BQ460" t="s">
        <v>74</v>
      </c>
      <c r="BR460" t="s">
        <v>97</v>
      </c>
      <c r="BS460" t="s">
        <v>8101</v>
      </c>
      <c r="BT460" t="str">
        <f>HYPERLINK("https%3A%2F%2Fwww.webofscience.com%2Fwos%2Fwoscc%2Ffull-record%2FWOS:000357420600002","View Full Record in Web of Science")</f>
        <v>View Full Record in Web of Science</v>
      </c>
    </row>
    <row r="461" spans="1:72" x14ac:dyDescent="0.25">
      <c r="A461" t="s">
        <v>72</v>
      </c>
      <c r="B461" t="s">
        <v>8102</v>
      </c>
      <c r="C461" t="s">
        <v>74</v>
      </c>
      <c r="D461" t="s">
        <v>74</v>
      </c>
      <c r="E461" t="s">
        <v>74</v>
      </c>
      <c r="F461" t="s">
        <v>8103</v>
      </c>
      <c r="G461" t="s">
        <v>74</v>
      </c>
      <c r="H461" t="s">
        <v>74</v>
      </c>
      <c r="I461" t="s">
        <v>8104</v>
      </c>
      <c r="J461" t="s">
        <v>8105</v>
      </c>
      <c r="K461" t="s">
        <v>74</v>
      </c>
      <c r="L461" t="s">
        <v>74</v>
      </c>
      <c r="M461" t="s">
        <v>77</v>
      </c>
      <c r="N461" t="s">
        <v>78</v>
      </c>
      <c r="O461" t="s">
        <v>74</v>
      </c>
      <c r="P461" t="s">
        <v>74</v>
      </c>
      <c r="Q461" t="s">
        <v>74</v>
      </c>
      <c r="R461" t="s">
        <v>74</v>
      </c>
      <c r="S461" t="s">
        <v>74</v>
      </c>
      <c r="T461" t="s">
        <v>8106</v>
      </c>
      <c r="U461" t="s">
        <v>8107</v>
      </c>
      <c r="V461" t="s">
        <v>8108</v>
      </c>
      <c r="W461" t="s">
        <v>8109</v>
      </c>
      <c r="X461" t="s">
        <v>8110</v>
      </c>
      <c r="Y461" t="s">
        <v>8111</v>
      </c>
      <c r="Z461" t="s">
        <v>8112</v>
      </c>
      <c r="AA461" t="s">
        <v>8113</v>
      </c>
      <c r="AB461" t="s">
        <v>8114</v>
      </c>
      <c r="AC461" t="s">
        <v>8115</v>
      </c>
      <c r="AD461" t="s">
        <v>8116</v>
      </c>
      <c r="AE461" t="s">
        <v>8117</v>
      </c>
      <c r="AF461" t="s">
        <v>74</v>
      </c>
      <c r="AG461">
        <v>24</v>
      </c>
      <c r="AH461">
        <v>17</v>
      </c>
      <c r="AI461">
        <v>17</v>
      </c>
      <c r="AJ461">
        <v>0</v>
      </c>
      <c r="AK461">
        <v>43</v>
      </c>
      <c r="AL461" t="s">
        <v>1533</v>
      </c>
      <c r="AM461" t="s">
        <v>1534</v>
      </c>
      <c r="AN461" t="s">
        <v>1535</v>
      </c>
      <c r="AO461" t="s">
        <v>8118</v>
      </c>
      <c r="AP461" t="s">
        <v>8119</v>
      </c>
      <c r="AQ461" t="s">
        <v>74</v>
      </c>
      <c r="AR461" t="s">
        <v>8120</v>
      </c>
      <c r="AS461" t="s">
        <v>8121</v>
      </c>
      <c r="AT461" t="s">
        <v>165</v>
      </c>
      <c r="AU461">
        <v>2014</v>
      </c>
      <c r="AV461">
        <v>17</v>
      </c>
      <c r="AW461">
        <v>3</v>
      </c>
      <c r="AX461" t="s">
        <v>74</v>
      </c>
      <c r="AY461" t="s">
        <v>74</v>
      </c>
      <c r="AZ461" t="s">
        <v>74</v>
      </c>
      <c r="BA461" t="s">
        <v>74</v>
      </c>
      <c r="BB461">
        <v>779</v>
      </c>
      <c r="BC461">
        <v>785</v>
      </c>
      <c r="BD461" t="s">
        <v>74</v>
      </c>
      <c r="BE461" t="s">
        <v>8122</v>
      </c>
      <c r="BF461" t="str">
        <f>HYPERLINK("http://dx.doi.org/10.1007/s10071-013-0710-3","http://dx.doi.org/10.1007/s10071-013-0710-3")</f>
        <v>http://dx.doi.org/10.1007/s10071-013-0710-3</v>
      </c>
      <c r="BG461" t="s">
        <v>74</v>
      </c>
      <c r="BH461" t="s">
        <v>74</v>
      </c>
      <c r="BI461">
        <v>7</v>
      </c>
      <c r="BJ461" t="s">
        <v>6099</v>
      </c>
      <c r="BK461" t="s">
        <v>283</v>
      </c>
      <c r="BL461" t="s">
        <v>6099</v>
      </c>
      <c r="BM461" t="s">
        <v>8123</v>
      </c>
      <c r="BN461">
        <v>24249160</v>
      </c>
      <c r="BO461" t="s">
        <v>718</v>
      </c>
      <c r="BP461" t="s">
        <v>74</v>
      </c>
      <c r="BQ461" t="s">
        <v>74</v>
      </c>
      <c r="BR461" t="s">
        <v>97</v>
      </c>
      <c r="BS461" t="s">
        <v>8124</v>
      </c>
      <c r="BT461" t="str">
        <f>HYPERLINK("https%3A%2F%2Fwww.webofscience.com%2Fwos%2Fwoscc%2Ffull-record%2FWOS:000334499100024","View Full Record in Web of Science")</f>
        <v>View Full Record in Web of Science</v>
      </c>
    </row>
    <row r="462" spans="1:72" x14ac:dyDescent="0.25">
      <c r="A462" t="s">
        <v>72</v>
      </c>
      <c r="B462" t="s">
        <v>8125</v>
      </c>
      <c r="C462" t="s">
        <v>74</v>
      </c>
      <c r="D462" t="s">
        <v>74</v>
      </c>
      <c r="E462" t="s">
        <v>74</v>
      </c>
      <c r="F462" t="s">
        <v>8126</v>
      </c>
      <c r="G462" t="s">
        <v>74</v>
      </c>
      <c r="H462" t="s">
        <v>74</v>
      </c>
      <c r="I462" t="s">
        <v>8127</v>
      </c>
      <c r="J462" t="s">
        <v>8128</v>
      </c>
      <c r="K462" t="s">
        <v>74</v>
      </c>
      <c r="L462" t="s">
        <v>74</v>
      </c>
      <c r="M462" t="s">
        <v>77</v>
      </c>
      <c r="N462" t="s">
        <v>78</v>
      </c>
      <c r="O462" t="s">
        <v>74</v>
      </c>
      <c r="P462" t="s">
        <v>74</v>
      </c>
      <c r="Q462" t="s">
        <v>74</v>
      </c>
      <c r="R462" t="s">
        <v>74</v>
      </c>
      <c r="S462" t="s">
        <v>74</v>
      </c>
      <c r="T462" t="s">
        <v>8129</v>
      </c>
      <c r="U462" t="s">
        <v>8130</v>
      </c>
      <c r="V462" t="s">
        <v>8131</v>
      </c>
      <c r="W462" t="s">
        <v>8132</v>
      </c>
      <c r="X462" t="s">
        <v>8133</v>
      </c>
      <c r="Y462" t="s">
        <v>3289</v>
      </c>
      <c r="Z462" t="s">
        <v>3290</v>
      </c>
      <c r="AA462" t="s">
        <v>74</v>
      </c>
      <c r="AB462" t="s">
        <v>74</v>
      </c>
      <c r="AC462" t="s">
        <v>74</v>
      </c>
      <c r="AD462" t="s">
        <v>74</v>
      </c>
      <c r="AE462" t="s">
        <v>74</v>
      </c>
      <c r="AF462" t="s">
        <v>74</v>
      </c>
      <c r="AG462">
        <v>43</v>
      </c>
      <c r="AH462">
        <v>17</v>
      </c>
      <c r="AI462">
        <v>20</v>
      </c>
      <c r="AJ462">
        <v>0</v>
      </c>
      <c r="AK462">
        <v>33</v>
      </c>
      <c r="AL462" t="s">
        <v>218</v>
      </c>
      <c r="AM462" t="s">
        <v>219</v>
      </c>
      <c r="AN462" t="s">
        <v>220</v>
      </c>
      <c r="AO462" t="s">
        <v>8134</v>
      </c>
      <c r="AP462" t="s">
        <v>8135</v>
      </c>
      <c r="AQ462" t="s">
        <v>74</v>
      </c>
      <c r="AR462" t="s">
        <v>8136</v>
      </c>
      <c r="AS462" t="s">
        <v>8137</v>
      </c>
      <c r="AT462" t="s">
        <v>256</v>
      </c>
      <c r="AU462">
        <v>2008</v>
      </c>
      <c r="AV462">
        <v>17</v>
      </c>
      <c r="AW462">
        <v>20</v>
      </c>
      <c r="AX462" t="s">
        <v>74</v>
      </c>
      <c r="AY462" t="s">
        <v>74</v>
      </c>
      <c r="AZ462" t="s">
        <v>74</v>
      </c>
      <c r="BA462" t="s">
        <v>74</v>
      </c>
      <c r="BB462">
        <v>2782</v>
      </c>
      <c r="BC462">
        <v>2790</v>
      </c>
      <c r="BD462" t="s">
        <v>74</v>
      </c>
      <c r="BE462" t="s">
        <v>8138</v>
      </c>
      <c r="BF462" t="str">
        <f>HYPERLINK("http://dx.doi.org/10.1111/j.1365-2702.2008.02387.x","http://dx.doi.org/10.1111/j.1365-2702.2008.02387.x")</f>
        <v>http://dx.doi.org/10.1111/j.1365-2702.2008.02387.x</v>
      </c>
      <c r="BG462" t="s">
        <v>74</v>
      </c>
      <c r="BH462" t="s">
        <v>74</v>
      </c>
      <c r="BI462">
        <v>9</v>
      </c>
      <c r="BJ462" t="s">
        <v>980</v>
      </c>
      <c r="BK462" t="s">
        <v>147</v>
      </c>
      <c r="BL462" t="s">
        <v>980</v>
      </c>
      <c r="BM462" t="s">
        <v>8139</v>
      </c>
      <c r="BN462">
        <v>18808647</v>
      </c>
      <c r="BO462" t="s">
        <v>74</v>
      </c>
      <c r="BP462" t="s">
        <v>74</v>
      </c>
      <c r="BQ462" t="s">
        <v>74</v>
      </c>
      <c r="BR462" t="s">
        <v>97</v>
      </c>
      <c r="BS462" t="s">
        <v>8140</v>
      </c>
      <c r="BT462" t="str">
        <f>HYPERLINK("https%3A%2F%2Fwww.webofscience.com%2Fwos%2Fwoscc%2Ffull-record%2FWOS:000259309800013","View Full Record in Web of Science")</f>
        <v>View Full Record in Web of Science</v>
      </c>
    </row>
    <row r="463" spans="1:72" x14ac:dyDescent="0.25">
      <c r="A463" t="s">
        <v>72</v>
      </c>
      <c r="B463" t="s">
        <v>8141</v>
      </c>
      <c r="C463" t="s">
        <v>74</v>
      </c>
      <c r="D463" t="s">
        <v>74</v>
      </c>
      <c r="E463" t="s">
        <v>74</v>
      </c>
      <c r="F463" t="s">
        <v>8141</v>
      </c>
      <c r="G463" t="s">
        <v>74</v>
      </c>
      <c r="H463" t="s">
        <v>74</v>
      </c>
      <c r="I463" t="s">
        <v>8142</v>
      </c>
      <c r="J463" t="s">
        <v>1998</v>
      </c>
      <c r="K463" t="s">
        <v>74</v>
      </c>
      <c r="L463" t="s">
        <v>74</v>
      </c>
      <c r="M463" t="s">
        <v>77</v>
      </c>
      <c r="N463" t="s">
        <v>78</v>
      </c>
      <c r="O463" t="s">
        <v>74</v>
      </c>
      <c r="P463" t="s">
        <v>74</v>
      </c>
      <c r="Q463" t="s">
        <v>74</v>
      </c>
      <c r="R463" t="s">
        <v>74</v>
      </c>
      <c r="S463" t="s">
        <v>74</v>
      </c>
      <c r="T463" t="s">
        <v>74</v>
      </c>
      <c r="U463" t="s">
        <v>74</v>
      </c>
      <c r="V463" t="s">
        <v>8143</v>
      </c>
      <c r="W463" t="s">
        <v>8144</v>
      </c>
      <c r="X463" t="s">
        <v>8145</v>
      </c>
      <c r="Y463" t="s">
        <v>8146</v>
      </c>
      <c r="Z463" t="s">
        <v>74</v>
      </c>
      <c r="AA463" t="s">
        <v>74</v>
      </c>
      <c r="AB463" t="s">
        <v>74</v>
      </c>
      <c r="AC463" t="s">
        <v>74</v>
      </c>
      <c r="AD463" t="s">
        <v>74</v>
      </c>
      <c r="AE463" t="s">
        <v>74</v>
      </c>
      <c r="AF463" t="s">
        <v>74</v>
      </c>
      <c r="AG463">
        <v>8</v>
      </c>
      <c r="AH463">
        <v>17</v>
      </c>
      <c r="AI463">
        <v>18</v>
      </c>
      <c r="AJ463">
        <v>0</v>
      </c>
      <c r="AK463">
        <v>9</v>
      </c>
      <c r="AL463" t="s">
        <v>7631</v>
      </c>
      <c r="AM463" t="s">
        <v>305</v>
      </c>
      <c r="AN463" t="s">
        <v>7632</v>
      </c>
      <c r="AO463" t="s">
        <v>2010</v>
      </c>
      <c r="AP463" t="s">
        <v>74</v>
      </c>
      <c r="AQ463" t="s">
        <v>74</v>
      </c>
      <c r="AR463" t="s">
        <v>2012</v>
      </c>
      <c r="AS463" t="s">
        <v>2013</v>
      </c>
      <c r="AT463" t="s">
        <v>496</v>
      </c>
      <c r="AU463">
        <v>1998</v>
      </c>
      <c r="AV463">
        <v>10</v>
      </c>
      <c r="AW463">
        <v>3</v>
      </c>
      <c r="AX463" t="s">
        <v>74</v>
      </c>
      <c r="AY463" t="s">
        <v>74</v>
      </c>
      <c r="AZ463" t="s">
        <v>74</v>
      </c>
      <c r="BA463" t="s">
        <v>74</v>
      </c>
      <c r="BB463">
        <v>295</v>
      </c>
      <c r="BC463">
        <v>310</v>
      </c>
      <c r="BD463" t="s">
        <v>74</v>
      </c>
      <c r="BE463" t="s">
        <v>8147</v>
      </c>
      <c r="BF463" t="str">
        <f>HYPERLINK("http://dx.doi.org/10.1080/09537329808524318","http://dx.doi.org/10.1080/09537329808524318")</f>
        <v>http://dx.doi.org/10.1080/09537329808524318</v>
      </c>
      <c r="BG463" t="s">
        <v>74</v>
      </c>
      <c r="BH463" t="s">
        <v>74</v>
      </c>
      <c r="BI463">
        <v>16</v>
      </c>
      <c r="BJ463" t="s">
        <v>2015</v>
      </c>
      <c r="BK463" t="s">
        <v>147</v>
      </c>
      <c r="BL463" t="s">
        <v>2016</v>
      </c>
      <c r="BM463" t="s">
        <v>8148</v>
      </c>
      <c r="BN463" t="s">
        <v>74</v>
      </c>
      <c r="BO463" t="s">
        <v>74</v>
      </c>
      <c r="BP463" t="s">
        <v>74</v>
      </c>
      <c r="BQ463" t="s">
        <v>74</v>
      </c>
      <c r="BR463" t="s">
        <v>97</v>
      </c>
      <c r="BS463" t="s">
        <v>8149</v>
      </c>
      <c r="BT463" t="str">
        <f>HYPERLINK("https%3A%2F%2Fwww.webofscience.com%2Fwos%2Fwoscc%2Ffull-record%2FWOS:000076339600002","View Full Record in Web of Science")</f>
        <v>View Full Record in Web of Science</v>
      </c>
    </row>
    <row r="464" spans="1:72" x14ac:dyDescent="0.25">
      <c r="A464" t="s">
        <v>72</v>
      </c>
      <c r="B464" t="s">
        <v>8150</v>
      </c>
      <c r="C464" t="s">
        <v>74</v>
      </c>
      <c r="D464" t="s">
        <v>74</v>
      </c>
      <c r="E464" t="s">
        <v>74</v>
      </c>
      <c r="F464" t="s">
        <v>8150</v>
      </c>
      <c r="G464" t="s">
        <v>74</v>
      </c>
      <c r="H464" t="s">
        <v>74</v>
      </c>
      <c r="I464" t="s">
        <v>8151</v>
      </c>
      <c r="J464" t="s">
        <v>8152</v>
      </c>
      <c r="K464" t="s">
        <v>74</v>
      </c>
      <c r="L464" t="s">
        <v>74</v>
      </c>
      <c r="M464" t="s">
        <v>77</v>
      </c>
      <c r="N464" t="s">
        <v>78</v>
      </c>
      <c r="O464" t="s">
        <v>74</v>
      </c>
      <c r="P464" t="s">
        <v>74</v>
      </c>
      <c r="Q464" t="s">
        <v>74</v>
      </c>
      <c r="R464" t="s">
        <v>74</v>
      </c>
      <c r="S464" t="s">
        <v>74</v>
      </c>
      <c r="T464" t="s">
        <v>8153</v>
      </c>
      <c r="U464" t="s">
        <v>8154</v>
      </c>
      <c r="V464" t="s">
        <v>8155</v>
      </c>
      <c r="W464" t="s">
        <v>74</v>
      </c>
      <c r="X464" t="s">
        <v>74</v>
      </c>
      <c r="Y464" t="s">
        <v>8156</v>
      </c>
      <c r="Z464" t="s">
        <v>74</v>
      </c>
      <c r="AA464" t="s">
        <v>74</v>
      </c>
      <c r="AB464" t="s">
        <v>74</v>
      </c>
      <c r="AC464" t="s">
        <v>74</v>
      </c>
      <c r="AD464" t="s">
        <v>74</v>
      </c>
      <c r="AE464" t="s">
        <v>74</v>
      </c>
      <c r="AF464" t="s">
        <v>74</v>
      </c>
      <c r="AG464">
        <v>28</v>
      </c>
      <c r="AH464">
        <v>17</v>
      </c>
      <c r="AI464">
        <v>17</v>
      </c>
      <c r="AJ464">
        <v>0</v>
      </c>
      <c r="AK464">
        <v>10</v>
      </c>
      <c r="AL464" t="s">
        <v>511</v>
      </c>
      <c r="AM464" t="s">
        <v>435</v>
      </c>
      <c r="AN464" t="s">
        <v>512</v>
      </c>
      <c r="AO464" t="s">
        <v>8157</v>
      </c>
      <c r="AP464" t="s">
        <v>74</v>
      </c>
      <c r="AQ464" t="s">
        <v>74</v>
      </c>
      <c r="AR464" t="s">
        <v>8158</v>
      </c>
      <c r="AS464" t="s">
        <v>8159</v>
      </c>
      <c r="AT464" t="s">
        <v>392</v>
      </c>
      <c r="AU464">
        <v>1992</v>
      </c>
      <c r="AV464">
        <v>27</v>
      </c>
      <c r="AW464">
        <v>2</v>
      </c>
      <c r="AX464" t="s">
        <v>74</v>
      </c>
      <c r="AY464" t="s">
        <v>74</v>
      </c>
      <c r="AZ464" t="s">
        <v>74</v>
      </c>
      <c r="BA464" t="s">
        <v>74</v>
      </c>
      <c r="BB464">
        <v>101</v>
      </c>
      <c r="BC464">
        <v>112</v>
      </c>
      <c r="BD464" t="s">
        <v>74</v>
      </c>
      <c r="BE464" t="s">
        <v>8160</v>
      </c>
      <c r="BF464" t="str">
        <f>HYPERLINK("http://dx.doi.org/10.1016/0376-6357(92)90020-E","http://dx.doi.org/10.1016/0376-6357(92)90020-E")</f>
        <v>http://dx.doi.org/10.1016/0376-6357(92)90020-E</v>
      </c>
      <c r="BG464" t="s">
        <v>74</v>
      </c>
      <c r="BH464" t="s">
        <v>74</v>
      </c>
      <c r="BI464">
        <v>12</v>
      </c>
      <c r="BJ464" t="s">
        <v>8161</v>
      </c>
      <c r="BK464" t="s">
        <v>283</v>
      </c>
      <c r="BL464" t="s">
        <v>8162</v>
      </c>
      <c r="BM464" t="s">
        <v>8163</v>
      </c>
      <c r="BN464">
        <v>24924496</v>
      </c>
      <c r="BO464" t="s">
        <v>74</v>
      </c>
      <c r="BP464" t="s">
        <v>74</v>
      </c>
      <c r="BQ464" t="s">
        <v>74</v>
      </c>
      <c r="BR464" t="s">
        <v>97</v>
      </c>
      <c r="BS464" t="s">
        <v>8164</v>
      </c>
      <c r="BT464" t="str">
        <f>HYPERLINK("https%3A%2F%2Fwww.webofscience.com%2Fwos%2Fwoscc%2Ffull-record%2FWOS:A1992JM25200004","View Full Record in Web of Science")</f>
        <v>View Full Record in Web of Science</v>
      </c>
    </row>
    <row r="465" spans="1:72" x14ac:dyDescent="0.25">
      <c r="A465" t="s">
        <v>72</v>
      </c>
      <c r="B465" t="s">
        <v>8165</v>
      </c>
      <c r="C465" t="s">
        <v>74</v>
      </c>
      <c r="D465" t="s">
        <v>74</v>
      </c>
      <c r="E465" t="s">
        <v>74</v>
      </c>
      <c r="F465" t="s">
        <v>8166</v>
      </c>
      <c r="G465" t="s">
        <v>74</v>
      </c>
      <c r="H465" t="s">
        <v>74</v>
      </c>
      <c r="I465" t="s">
        <v>8167</v>
      </c>
      <c r="J465" t="s">
        <v>8168</v>
      </c>
      <c r="K465" t="s">
        <v>74</v>
      </c>
      <c r="L465" t="s">
        <v>74</v>
      </c>
      <c r="M465" t="s">
        <v>77</v>
      </c>
      <c r="N465" t="s">
        <v>78</v>
      </c>
      <c r="O465" t="s">
        <v>74</v>
      </c>
      <c r="P465" t="s">
        <v>74</v>
      </c>
      <c r="Q465" t="s">
        <v>74</v>
      </c>
      <c r="R465" t="s">
        <v>74</v>
      </c>
      <c r="S465" t="s">
        <v>74</v>
      </c>
      <c r="T465" t="s">
        <v>8169</v>
      </c>
      <c r="U465" t="s">
        <v>8170</v>
      </c>
      <c r="V465" t="s">
        <v>8171</v>
      </c>
      <c r="W465" t="s">
        <v>8172</v>
      </c>
      <c r="X465" t="s">
        <v>8173</v>
      </c>
      <c r="Y465" t="s">
        <v>8174</v>
      </c>
      <c r="Z465" t="s">
        <v>8175</v>
      </c>
      <c r="AA465" t="s">
        <v>8176</v>
      </c>
      <c r="AB465" t="s">
        <v>8177</v>
      </c>
      <c r="AC465" t="s">
        <v>8178</v>
      </c>
      <c r="AD465" t="s">
        <v>8179</v>
      </c>
      <c r="AE465" t="s">
        <v>8180</v>
      </c>
      <c r="AF465" t="s">
        <v>74</v>
      </c>
      <c r="AG465">
        <v>51</v>
      </c>
      <c r="AH465">
        <v>16</v>
      </c>
      <c r="AI465">
        <v>16</v>
      </c>
      <c r="AJ465">
        <v>2</v>
      </c>
      <c r="AK465">
        <v>20</v>
      </c>
      <c r="AL465" t="s">
        <v>4389</v>
      </c>
      <c r="AM465" t="s">
        <v>541</v>
      </c>
      <c r="AN465" t="s">
        <v>4390</v>
      </c>
      <c r="AO465" t="s">
        <v>74</v>
      </c>
      <c r="AP465" t="s">
        <v>8181</v>
      </c>
      <c r="AQ465" t="s">
        <v>74</v>
      </c>
      <c r="AR465" t="s">
        <v>8168</v>
      </c>
      <c r="AS465" t="s">
        <v>8182</v>
      </c>
      <c r="AT465" t="s">
        <v>6560</v>
      </c>
      <c r="AU465">
        <v>2021</v>
      </c>
      <c r="AV465">
        <v>21</v>
      </c>
      <c r="AW465">
        <v>1</v>
      </c>
      <c r="AX465" t="s">
        <v>74</v>
      </c>
      <c r="AY465" t="s">
        <v>74</v>
      </c>
      <c r="AZ465" t="s">
        <v>74</v>
      </c>
      <c r="BA465" t="s">
        <v>74</v>
      </c>
      <c r="BB465" t="s">
        <v>74</v>
      </c>
      <c r="BC465" t="s">
        <v>74</v>
      </c>
      <c r="BD465">
        <v>860</v>
      </c>
      <c r="BE465" t="s">
        <v>8183</v>
      </c>
      <c r="BF465" t="str">
        <f>HYPERLINK("http://dx.doi.org/10.1186/s12889-021-10909-3","http://dx.doi.org/10.1186/s12889-021-10909-3")</f>
        <v>http://dx.doi.org/10.1186/s12889-021-10909-3</v>
      </c>
      <c r="BG465" t="s">
        <v>74</v>
      </c>
      <c r="BH465" t="s">
        <v>74</v>
      </c>
      <c r="BI465">
        <v>12</v>
      </c>
      <c r="BJ465" t="s">
        <v>8184</v>
      </c>
      <c r="BK465" t="s">
        <v>147</v>
      </c>
      <c r="BL465" t="s">
        <v>8184</v>
      </c>
      <c r="BM465" t="s">
        <v>8185</v>
      </c>
      <c r="BN465">
        <v>33947357</v>
      </c>
      <c r="BO465" t="s">
        <v>3205</v>
      </c>
      <c r="BP465" t="s">
        <v>74</v>
      </c>
      <c r="BQ465" t="s">
        <v>74</v>
      </c>
      <c r="BR465" t="s">
        <v>97</v>
      </c>
      <c r="BS465" t="s">
        <v>8186</v>
      </c>
      <c r="BT465" t="str">
        <f>HYPERLINK("https%3A%2F%2Fwww.webofscience.com%2Fwos%2Fwoscc%2Ffull-record%2FWOS:000656159300002","View Full Record in Web of Science")</f>
        <v>View Full Record in Web of Science</v>
      </c>
    </row>
    <row r="466" spans="1:72" x14ac:dyDescent="0.25">
      <c r="A466" t="s">
        <v>72</v>
      </c>
      <c r="B466" t="s">
        <v>8187</v>
      </c>
      <c r="C466" t="s">
        <v>74</v>
      </c>
      <c r="D466" t="s">
        <v>74</v>
      </c>
      <c r="E466" t="s">
        <v>74</v>
      </c>
      <c r="F466" t="s">
        <v>8188</v>
      </c>
      <c r="G466" t="s">
        <v>74</v>
      </c>
      <c r="H466" t="s">
        <v>74</v>
      </c>
      <c r="I466" t="s">
        <v>8189</v>
      </c>
      <c r="J466" t="s">
        <v>4134</v>
      </c>
      <c r="K466" t="s">
        <v>74</v>
      </c>
      <c r="L466" t="s">
        <v>74</v>
      </c>
      <c r="M466" t="s">
        <v>77</v>
      </c>
      <c r="N466" t="s">
        <v>78</v>
      </c>
      <c r="O466" t="s">
        <v>74</v>
      </c>
      <c r="P466" t="s">
        <v>74</v>
      </c>
      <c r="Q466" t="s">
        <v>74</v>
      </c>
      <c r="R466" t="s">
        <v>74</v>
      </c>
      <c r="S466" t="s">
        <v>74</v>
      </c>
      <c r="T466" t="s">
        <v>8190</v>
      </c>
      <c r="U466" t="s">
        <v>8191</v>
      </c>
      <c r="V466" t="s">
        <v>8192</v>
      </c>
      <c r="W466" t="s">
        <v>8193</v>
      </c>
      <c r="X466" t="s">
        <v>8194</v>
      </c>
      <c r="Y466" t="s">
        <v>8195</v>
      </c>
      <c r="Z466" t="s">
        <v>8196</v>
      </c>
      <c r="AA466" t="s">
        <v>74</v>
      </c>
      <c r="AB466" t="s">
        <v>8197</v>
      </c>
      <c r="AC466" t="s">
        <v>8198</v>
      </c>
      <c r="AD466" t="s">
        <v>8199</v>
      </c>
      <c r="AE466" t="s">
        <v>8200</v>
      </c>
      <c r="AF466" t="s">
        <v>74</v>
      </c>
      <c r="AG466">
        <v>95</v>
      </c>
      <c r="AH466">
        <v>16</v>
      </c>
      <c r="AI466">
        <v>16</v>
      </c>
      <c r="AJ466">
        <v>37</v>
      </c>
      <c r="AK466">
        <v>191</v>
      </c>
      <c r="AL466" t="s">
        <v>665</v>
      </c>
      <c r="AM466" t="s">
        <v>666</v>
      </c>
      <c r="AN466" t="s">
        <v>667</v>
      </c>
      <c r="AO466" t="s">
        <v>4144</v>
      </c>
      <c r="AP466" t="s">
        <v>4145</v>
      </c>
      <c r="AQ466" t="s">
        <v>74</v>
      </c>
      <c r="AR466" t="s">
        <v>4146</v>
      </c>
      <c r="AS466" t="s">
        <v>4147</v>
      </c>
      <c r="AT466" t="s">
        <v>8201</v>
      </c>
      <c r="AU466">
        <v>2022</v>
      </c>
      <c r="AV466">
        <v>25</v>
      </c>
      <c r="AW466">
        <v>4</v>
      </c>
      <c r="AX466" t="s">
        <v>74</v>
      </c>
      <c r="AY466" t="s">
        <v>74</v>
      </c>
      <c r="AZ466" t="s">
        <v>74</v>
      </c>
      <c r="BA466" t="s">
        <v>74</v>
      </c>
      <c r="BB466">
        <v>1092</v>
      </c>
      <c r="BC466">
        <v>1114</v>
      </c>
      <c r="BD466" t="s">
        <v>74</v>
      </c>
      <c r="BE466" t="s">
        <v>8202</v>
      </c>
      <c r="BF466" t="str">
        <f>HYPERLINK("http://dx.doi.org/10.1108/EJIM-05-2020-0199","http://dx.doi.org/10.1108/EJIM-05-2020-0199")</f>
        <v>http://dx.doi.org/10.1108/EJIM-05-2020-0199</v>
      </c>
      <c r="BG466" t="s">
        <v>74</v>
      </c>
      <c r="BH466" t="s">
        <v>5544</v>
      </c>
      <c r="BI466">
        <v>23</v>
      </c>
      <c r="BJ466" t="s">
        <v>93</v>
      </c>
      <c r="BK466" t="s">
        <v>94</v>
      </c>
      <c r="BL466" t="s">
        <v>95</v>
      </c>
      <c r="BM466" t="s">
        <v>8203</v>
      </c>
      <c r="BN466" t="s">
        <v>74</v>
      </c>
      <c r="BO466" t="s">
        <v>74</v>
      </c>
      <c r="BP466" t="s">
        <v>74</v>
      </c>
      <c r="BQ466" t="s">
        <v>74</v>
      </c>
      <c r="BR466" t="s">
        <v>97</v>
      </c>
      <c r="BS466" t="s">
        <v>8204</v>
      </c>
      <c r="BT466" t="str">
        <f>HYPERLINK("https%3A%2F%2Fwww.webofscience.com%2Fwos%2Fwoscc%2Ffull-record%2FWOS:000632767600001","View Full Record in Web of Science")</f>
        <v>View Full Record in Web of Science</v>
      </c>
    </row>
    <row r="467" spans="1:72" x14ac:dyDescent="0.25">
      <c r="A467" t="s">
        <v>72</v>
      </c>
      <c r="B467" t="s">
        <v>8205</v>
      </c>
      <c r="C467" t="s">
        <v>74</v>
      </c>
      <c r="D467" t="s">
        <v>74</v>
      </c>
      <c r="E467" t="s">
        <v>74</v>
      </c>
      <c r="F467" t="s">
        <v>8206</v>
      </c>
      <c r="G467" t="s">
        <v>74</v>
      </c>
      <c r="H467" t="s">
        <v>74</v>
      </c>
      <c r="I467" t="s">
        <v>8207</v>
      </c>
      <c r="J467" t="s">
        <v>1220</v>
      </c>
      <c r="K467" t="s">
        <v>74</v>
      </c>
      <c r="L467" t="s">
        <v>74</v>
      </c>
      <c r="M467" t="s">
        <v>77</v>
      </c>
      <c r="N467" t="s">
        <v>78</v>
      </c>
      <c r="O467" t="s">
        <v>74</v>
      </c>
      <c r="P467" t="s">
        <v>74</v>
      </c>
      <c r="Q467" t="s">
        <v>74</v>
      </c>
      <c r="R467" t="s">
        <v>74</v>
      </c>
      <c r="S467" t="s">
        <v>74</v>
      </c>
      <c r="T467" t="s">
        <v>8208</v>
      </c>
      <c r="U467" t="s">
        <v>8209</v>
      </c>
      <c r="V467" t="s">
        <v>8210</v>
      </c>
      <c r="W467" t="s">
        <v>8211</v>
      </c>
      <c r="X467" t="s">
        <v>8212</v>
      </c>
      <c r="Y467" t="s">
        <v>8213</v>
      </c>
      <c r="Z467" t="s">
        <v>8214</v>
      </c>
      <c r="AA467" t="s">
        <v>74</v>
      </c>
      <c r="AB467" t="s">
        <v>74</v>
      </c>
      <c r="AC467" t="s">
        <v>74</v>
      </c>
      <c r="AD467" t="s">
        <v>74</v>
      </c>
      <c r="AE467" t="s">
        <v>74</v>
      </c>
      <c r="AF467" t="s">
        <v>74</v>
      </c>
      <c r="AG467">
        <v>104</v>
      </c>
      <c r="AH467">
        <v>16</v>
      </c>
      <c r="AI467">
        <v>16</v>
      </c>
      <c r="AJ467">
        <v>11</v>
      </c>
      <c r="AK467">
        <v>49</v>
      </c>
      <c r="AL467" t="s">
        <v>329</v>
      </c>
      <c r="AM467" t="s">
        <v>330</v>
      </c>
      <c r="AN467" t="s">
        <v>331</v>
      </c>
      <c r="AO467" t="s">
        <v>1228</v>
      </c>
      <c r="AP467" t="s">
        <v>1229</v>
      </c>
      <c r="AQ467" t="s">
        <v>74</v>
      </c>
      <c r="AR467" t="s">
        <v>1230</v>
      </c>
      <c r="AS467" t="s">
        <v>1231</v>
      </c>
      <c r="AT467" t="s">
        <v>405</v>
      </c>
      <c r="AU467">
        <v>2021</v>
      </c>
      <c r="AV467">
        <v>93</v>
      </c>
      <c r="AW467" t="s">
        <v>74</v>
      </c>
      <c r="AX467" t="s">
        <v>74</v>
      </c>
      <c r="AY467" t="s">
        <v>74</v>
      </c>
      <c r="AZ467" t="s">
        <v>74</v>
      </c>
      <c r="BA467" t="s">
        <v>74</v>
      </c>
      <c r="BB467">
        <v>41</v>
      </c>
      <c r="BC467">
        <v>51</v>
      </c>
      <c r="BD467" t="s">
        <v>74</v>
      </c>
      <c r="BE467" t="s">
        <v>8215</v>
      </c>
      <c r="BF467" t="str">
        <f>HYPERLINK("http://dx.doi.org/10.1016/j.indmarman.2020.12.011","http://dx.doi.org/10.1016/j.indmarman.2020.12.011")</f>
        <v>http://dx.doi.org/10.1016/j.indmarman.2020.12.011</v>
      </c>
      <c r="BG467" t="s">
        <v>74</v>
      </c>
      <c r="BH467" t="s">
        <v>6664</v>
      </c>
      <c r="BI467">
        <v>11</v>
      </c>
      <c r="BJ467" t="s">
        <v>93</v>
      </c>
      <c r="BK467" t="s">
        <v>94</v>
      </c>
      <c r="BL467" t="s">
        <v>95</v>
      </c>
      <c r="BM467" t="s">
        <v>8216</v>
      </c>
      <c r="BN467" t="s">
        <v>74</v>
      </c>
      <c r="BO467" t="s">
        <v>74</v>
      </c>
      <c r="BP467" t="s">
        <v>74</v>
      </c>
      <c r="BQ467" t="s">
        <v>74</v>
      </c>
      <c r="BR467" t="s">
        <v>97</v>
      </c>
      <c r="BS467" t="s">
        <v>8217</v>
      </c>
      <c r="BT467" t="str">
        <f>HYPERLINK("https%3A%2F%2Fwww.webofscience.com%2Fwos%2Fwoscc%2Ffull-record%2FWOS:000632713100005","View Full Record in Web of Science")</f>
        <v>View Full Record in Web of Science</v>
      </c>
    </row>
    <row r="468" spans="1:72" x14ac:dyDescent="0.25">
      <c r="A468" t="s">
        <v>72</v>
      </c>
      <c r="B468" t="s">
        <v>8218</v>
      </c>
      <c r="C468" t="s">
        <v>74</v>
      </c>
      <c r="D468" t="s">
        <v>74</v>
      </c>
      <c r="E468" t="s">
        <v>74</v>
      </c>
      <c r="F468" t="s">
        <v>8219</v>
      </c>
      <c r="G468" t="s">
        <v>74</v>
      </c>
      <c r="H468" t="s">
        <v>74</v>
      </c>
      <c r="I468" t="s">
        <v>8220</v>
      </c>
      <c r="J468" t="s">
        <v>3931</v>
      </c>
      <c r="K468" t="s">
        <v>74</v>
      </c>
      <c r="L468" t="s">
        <v>74</v>
      </c>
      <c r="M468" t="s">
        <v>77</v>
      </c>
      <c r="N468" t="s">
        <v>78</v>
      </c>
      <c r="O468" t="s">
        <v>74</v>
      </c>
      <c r="P468" t="s">
        <v>74</v>
      </c>
      <c r="Q468" t="s">
        <v>74</v>
      </c>
      <c r="R468" t="s">
        <v>74</v>
      </c>
      <c r="S468" t="s">
        <v>74</v>
      </c>
      <c r="T468" t="s">
        <v>8221</v>
      </c>
      <c r="U468" t="s">
        <v>74</v>
      </c>
      <c r="V468" t="s">
        <v>8222</v>
      </c>
      <c r="W468" t="s">
        <v>8223</v>
      </c>
      <c r="X468" t="s">
        <v>8224</v>
      </c>
      <c r="Y468" t="s">
        <v>6768</v>
      </c>
      <c r="Z468" t="s">
        <v>8225</v>
      </c>
      <c r="AA468" t="s">
        <v>74</v>
      </c>
      <c r="AB468" t="s">
        <v>74</v>
      </c>
      <c r="AC468" t="s">
        <v>6772</v>
      </c>
      <c r="AD468" t="s">
        <v>6773</v>
      </c>
      <c r="AE468" t="s">
        <v>8226</v>
      </c>
      <c r="AF468" t="s">
        <v>74</v>
      </c>
      <c r="AG468">
        <v>45</v>
      </c>
      <c r="AH468">
        <v>16</v>
      </c>
      <c r="AI468">
        <v>16</v>
      </c>
      <c r="AJ468">
        <v>9</v>
      </c>
      <c r="AK468">
        <v>71</v>
      </c>
      <c r="AL468" t="s">
        <v>665</v>
      </c>
      <c r="AM468" t="s">
        <v>666</v>
      </c>
      <c r="AN468" t="s">
        <v>667</v>
      </c>
      <c r="AO468" t="s">
        <v>3939</v>
      </c>
      <c r="AP468" t="s">
        <v>3940</v>
      </c>
      <c r="AQ468" t="s">
        <v>74</v>
      </c>
      <c r="AR468" t="s">
        <v>3941</v>
      </c>
      <c r="AS468" t="s">
        <v>3942</v>
      </c>
      <c r="AT468" t="s">
        <v>8227</v>
      </c>
      <c r="AU468">
        <v>2021</v>
      </c>
      <c r="AV468">
        <v>42</v>
      </c>
      <c r="AW468">
        <v>2</v>
      </c>
      <c r="AX468" t="s">
        <v>74</v>
      </c>
      <c r="AY468" t="s">
        <v>74</v>
      </c>
      <c r="AZ468" t="s">
        <v>74</v>
      </c>
      <c r="BA468" t="s">
        <v>74</v>
      </c>
      <c r="BB468">
        <v>233</v>
      </c>
      <c r="BC468">
        <v>248</v>
      </c>
      <c r="BD468" t="s">
        <v>74</v>
      </c>
      <c r="BE468" t="s">
        <v>8228</v>
      </c>
      <c r="BF468" t="str">
        <f>HYPERLINK("http://dx.doi.org/10.1108/LODJ-05-2020-0203","http://dx.doi.org/10.1108/LODJ-05-2020-0203")</f>
        <v>http://dx.doi.org/10.1108/LODJ-05-2020-0203</v>
      </c>
      <c r="BG468" t="s">
        <v>74</v>
      </c>
      <c r="BH468" t="s">
        <v>8229</v>
      </c>
      <c r="BI468">
        <v>16</v>
      </c>
      <c r="BJ468" t="s">
        <v>442</v>
      </c>
      <c r="BK468" t="s">
        <v>94</v>
      </c>
      <c r="BL468" t="s">
        <v>95</v>
      </c>
      <c r="BM468" t="s">
        <v>8230</v>
      </c>
      <c r="BN468" t="s">
        <v>74</v>
      </c>
      <c r="BO468" t="s">
        <v>74</v>
      </c>
      <c r="BP468" t="s">
        <v>74</v>
      </c>
      <c r="BQ468" t="s">
        <v>74</v>
      </c>
      <c r="BR468" t="s">
        <v>97</v>
      </c>
      <c r="BS468" t="s">
        <v>8231</v>
      </c>
      <c r="BT468" t="str">
        <f>HYPERLINK("https%3A%2F%2Fwww.webofscience.com%2Fwos%2Fwoscc%2Ffull-record%2FWOS:000603698500001","View Full Record in Web of Science")</f>
        <v>View Full Record in Web of Science</v>
      </c>
    </row>
    <row r="469" spans="1:72" x14ac:dyDescent="0.25">
      <c r="A469" t="s">
        <v>72</v>
      </c>
      <c r="B469" t="s">
        <v>8232</v>
      </c>
      <c r="C469" t="s">
        <v>74</v>
      </c>
      <c r="D469" t="s">
        <v>74</v>
      </c>
      <c r="E469" t="s">
        <v>74</v>
      </c>
      <c r="F469" t="s">
        <v>8233</v>
      </c>
      <c r="G469" t="s">
        <v>74</v>
      </c>
      <c r="H469" t="s">
        <v>74</v>
      </c>
      <c r="I469" t="s">
        <v>8234</v>
      </c>
      <c r="J469" t="s">
        <v>2463</v>
      </c>
      <c r="K469" t="s">
        <v>74</v>
      </c>
      <c r="L469" t="s">
        <v>74</v>
      </c>
      <c r="M469" t="s">
        <v>77</v>
      </c>
      <c r="N469" t="s">
        <v>78</v>
      </c>
      <c r="O469" t="s">
        <v>74</v>
      </c>
      <c r="P469" t="s">
        <v>74</v>
      </c>
      <c r="Q469" t="s">
        <v>74</v>
      </c>
      <c r="R469" t="s">
        <v>74</v>
      </c>
      <c r="S469" t="s">
        <v>74</v>
      </c>
      <c r="T469" t="s">
        <v>8235</v>
      </c>
      <c r="U469" t="s">
        <v>8236</v>
      </c>
      <c r="V469" t="s">
        <v>8237</v>
      </c>
      <c r="W469" t="s">
        <v>8238</v>
      </c>
      <c r="X469" t="s">
        <v>8239</v>
      </c>
      <c r="Y469" t="s">
        <v>8240</v>
      </c>
      <c r="Z469" t="s">
        <v>8241</v>
      </c>
      <c r="AA469" t="s">
        <v>8242</v>
      </c>
      <c r="AB469" t="s">
        <v>8243</v>
      </c>
      <c r="AC469" t="s">
        <v>74</v>
      </c>
      <c r="AD469" t="s">
        <v>74</v>
      </c>
      <c r="AE469" t="s">
        <v>74</v>
      </c>
      <c r="AF469" t="s">
        <v>74</v>
      </c>
      <c r="AG469">
        <v>103</v>
      </c>
      <c r="AH469">
        <v>16</v>
      </c>
      <c r="AI469">
        <v>17</v>
      </c>
      <c r="AJ469">
        <v>2</v>
      </c>
      <c r="AK469">
        <v>26</v>
      </c>
      <c r="AL469" t="s">
        <v>2473</v>
      </c>
      <c r="AM469" t="s">
        <v>2102</v>
      </c>
      <c r="AN469" t="s">
        <v>2474</v>
      </c>
      <c r="AO469" t="s">
        <v>74</v>
      </c>
      <c r="AP469" t="s">
        <v>2475</v>
      </c>
      <c r="AQ469" t="s">
        <v>74</v>
      </c>
      <c r="AR469" t="s">
        <v>2476</v>
      </c>
      <c r="AS469" t="s">
        <v>2477</v>
      </c>
      <c r="AT469" t="s">
        <v>91</v>
      </c>
      <c r="AU469">
        <v>2020</v>
      </c>
      <c r="AV469">
        <v>12</v>
      </c>
      <c r="AW469">
        <v>12</v>
      </c>
      <c r="AX469" t="s">
        <v>74</v>
      </c>
      <c r="AY469" t="s">
        <v>74</v>
      </c>
      <c r="AZ469" t="s">
        <v>74</v>
      </c>
      <c r="BA469" t="s">
        <v>74</v>
      </c>
      <c r="BB469" t="s">
        <v>74</v>
      </c>
      <c r="BC469" t="s">
        <v>74</v>
      </c>
      <c r="BD469">
        <v>4948</v>
      </c>
      <c r="BE469" t="s">
        <v>8244</v>
      </c>
      <c r="BF469" t="str">
        <f>HYPERLINK("http://dx.doi.org/10.3390/su12124948","http://dx.doi.org/10.3390/su12124948")</f>
        <v>http://dx.doi.org/10.3390/su12124948</v>
      </c>
      <c r="BG469" t="s">
        <v>74</v>
      </c>
      <c r="BH469" t="s">
        <v>74</v>
      </c>
      <c r="BI469">
        <v>24</v>
      </c>
      <c r="BJ469" t="s">
        <v>2479</v>
      </c>
      <c r="BK469" t="s">
        <v>147</v>
      </c>
      <c r="BL469" t="s">
        <v>2480</v>
      </c>
      <c r="BM469" t="s">
        <v>8245</v>
      </c>
      <c r="BN469" t="s">
        <v>74</v>
      </c>
      <c r="BO469" t="s">
        <v>3205</v>
      </c>
      <c r="BP469" t="s">
        <v>74</v>
      </c>
      <c r="BQ469" t="s">
        <v>74</v>
      </c>
      <c r="BR469" t="s">
        <v>97</v>
      </c>
      <c r="BS469" t="s">
        <v>8246</v>
      </c>
      <c r="BT469" t="str">
        <f>HYPERLINK("https%3A%2F%2Fwww.webofscience.com%2Fwos%2Fwoscc%2Ffull-record%2FWOS:000550304200001","View Full Record in Web of Science")</f>
        <v>View Full Record in Web of Science</v>
      </c>
    </row>
    <row r="470" spans="1:72" x14ac:dyDescent="0.25">
      <c r="A470" t="s">
        <v>72</v>
      </c>
      <c r="B470" t="s">
        <v>8247</v>
      </c>
      <c r="C470" t="s">
        <v>74</v>
      </c>
      <c r="D470" t="s">
        <v>74</v>
      </c>
      <c r="E470" t="s">
        <v>74</v>
      </c>
      <c r="F470" t="s">
        <v>8248</v>
      </c>
      <c r="G470" t="s">
        <v>74</v>
      </c>
      <c r="H470" t="s">
        <v>74</v>
      </c>
      <c r="I470" t="s">
        <v>8249</v>
      </c>
      <c r="J470" t="s">
        <v>3184</v>
      </c>
      <c r="K470" t="s">
        <v>74</v>
      </c>
      <c r="L470" t="s">
        <v>74</v>
      </c>
      <c r="M470" t="s">
        <v>77</v>
      </c>
      <c r="N470" t="s">
        <v>78</v>
      </c>
      <c r="O470" t="s">
        <v>74</v>
      </c>
      <c r="P470" t="s">
        <v>74</v>
      </c>
      <c r="Q470" t="s">
        <v>74</v>
      </c>
      <c r="R470" t="s">
        <v>74</v>
      </c>
      <c r="S470" t="s">
        <v>74</v>
      </c>
      <c r="T470" t="s">
        <v>8250</v>
      </c>
      <c r="U470" t="s">
        <v>8251</v>
      </c>
      <c r="V470" t="s">
        <v>8252</v>
      </c>
      <c r="W470" t="s">
        <v>8253</v>
      </c>
      <c r="X470" t="s">
        <v>8254</v>
      </c>
      <c r="Y470" t="s">
        <v>8255</v>
      </c>
      <c r="Z470" t="s">
        <v>8256</v>
      </c>
      <c r="AA470" t="s">
        <v>74</v>
      </c>
      <c r="AB470" t="s">
        <v>74</v>
      </c>
      <c r="AC470" t="s">
        <v>8257</v>
      </c>
      <c r="AD470" t="s">
        <v>8258</v>
      </c>
      <c r="AE470" t="s">
        <v>8259</v>
      </c>
      <c r="AF470" t="s">
        <v>74</v>
      </c>
      <c r="AG470">
        <v>89</v>
      </c>
      <c r="AH470">
        <v>16</v>
      </c>
      <c r="AI470">
        <v>16</v>
      </c>
      <c r="AJ470">
        <v>12</v>
      </c>
      <c r="AK470">
        <v>47</v>
      </c>
      <c r="AL470" t="s">
        <v>3195</v>
      </c>
      <c r="AM470" t="s">
        <v>3196</v>
      </c>
      <c r="AN470" t="s">
        <v>3197</v>
      </c>
      <c r="AO470" t="s">
        <v>3198</v>
      </c>
      <c r="AP470" t="s">
        <v>74</v>
      </c>
      <c r="AQ470" t="s">
        <v>74</v>
      </c>
      <c r="AR470" t="s">
        <v>3199</v>
      </c>
      <c r="AS470" t="s">
        <v>3200</v>
      </c>
      <c r="AT470" t="s">
        <v>8260</v>
      </c>
      <c r="AU470">
        <v>2020</v>
      </c>
      <c r="AV470">
        <v>11</v>
      </c>
      <c r="AW470" t="s">
        <v>74</v>
      </c>
      <c r="AX470" t="s">
        <v>74</v>
      </c>
      <c r="AY470" t="s">
        <v>74</v>
      </c>
      <c r="AZ470" t="s">
        <v>74</v>
      </c>
      <c r="BA470" t="s">
        <v>74</v>
      </c>
      <c r="BB470" t="s">
        <v>74</v>
      </c>
      <c r="BC470" t="s">
        <v>74</v>
      </c>
      <c r="BD470">
        <v>315</v>
      </c>
      <c r="BE470" t="s">
        <v>8261</v>
      </c>
      <c r="BF470" t="str">
        <f>HYPERLINK("http://dx.doi.org/10.3389/fpsyg.2020.00315","http://dx.doi.org/10.3389/fpsyg.2020.00315")</f>
        <v>http://dx.doi.org/10.3389/fpsyg.2020.00315</v>
      </c>
      <c r="BG470" t="s">
        <v>74</v>
      </c>
      <c r="BH470" t="s">
        <v>74</v>
      </c>
      <c r="BI470">
        <v>12</v>
      </c>
      <c r="BJ470" t="s">
        <v>3203</v>
      </c>
      <c r="BK470" t="s">
        <v>94</v>
      </c>
      <c r="BL470" t="s">
        <v>460</v>
      </c>
      <c r="BM470" t="s">
        <v>8262</v>
      </c>
      <c r="BN470">
        <v>32265766</v>
      </c>
      <c r="BO470" t="s">
        <v>3205</v>
      </c>
      <c r="BP470" t="s">
        <v>74</v>
      </c>
      <c r="BQ470" t="s">
        <v>74</v>
      </c>
      <c r="BR470" t="s">
        <v>97</v>
      </c>
      <c r="BS470" t="s">
        <v>8263</v>
      </c>
      <c r="BT470" t="str">
        <f>HYPERLINK("https%3A%2F%2Fwww.webofscience.com%2Fwos%2Fwoscc%2Ffull-record%2FWOS:000523634800001","View Full Record in Web of Science")</f>
        <v>View Full Record in Web of Science</v>
      </c>
    </row>
    <row r="471" spans="1:72" x14ac:dyDescent="0.25">
      <c r="A471" t="s">
        <v>72</v>
      </c>
      <c r="B471" t="s">
        <v>8264</v>
      </c>
      <c r="C471" t="s">
        <v>74</v>
      </c>
      <c r="D471" t="s">
        <v>74</v>
      </c>
      <c r="E471" t="s">
        <v>74</v>
      </c>
      <c r="F471" t="s">
        <v>8265</v>
      </c>
      <c r="G471" t="s">
        <v>74</v>
      </c>
      <c r="H471" t="s">
        <v>74</v>
      </c>
      <c r="I471" t="s">
        <v>8266</v>
      </c>
      <c r="J471" t="s">
        <v>2502</v>
      </c>
      <c r="K471" t="s">
        <v>74</v>
      </c>
      <c r="L471" t="s">
        <v>74</v>
      </c>
      <c r="M471" t="s">
        <v>77</v>
      </c>
      <c r="N471" t="s">
        <v>78</v>
      </c>
      <c r="O471" t="s">
        <v>74</v>
      </c>
      <c r="P471" t="s">
        <v>74</v>
      </c>
      <c r="Q471" t="s">
        <v>74</v>
      </c>
      <c r="R471" t="s">
        <v>74</v>
      </c>
      <c r="S471" t="s">
        <v>74</v>
      </c>
      <c r="T471" t="s">
        <v>8267</v>
      </c>
      <c r="U471" t="s">
        <v>8268</v>
      </c>
      <c r="V471" t="s">
        <v>8269</v>
      </c>
      <c r="W471" t="s">
        <v>8270</v>
      </c>
      <c r="X471" t="s">
        <v>8271</v>
      </c>
      <c r="Y471" t="s">
        <v>5951</v>
      </c>
      <c r="Z471" t="s">
        <v>8272</v>
      </c>
      <c r="AA471" t="s">
        <v>8273</v>
      </c>
      <c r="AB471" t="s">
        <v>8274</v>
      </c>
      <c r="AC471" t="s">
        <v>74</v>
      </c>
      <c r="AD471" t="s">
        <v>74</v>
      </c>
      <c r="AE471" t="s">
        <v>74</v>
      </c>
      <c r="AF471" t="s">
        <v>74</v>
      </c>
      <c r="AG471">
        <v>105</v>
      </c>
      <c r="AH471">
        <v>16</v>
      </c>
      <c r="AI471">
        <v>16</v>
      </c>
      <c r="AJ471">
        <v>1</v>
      </c>
      <c r="AK471">
        <v>27</v>
      </c>
      <c r="AL471" t="s">
        <v>665</v>
      </c>
      <c r="AM471" t="s">
        <v>666</v>
      </c>
      <c r="AN471" t="s">
        <v>667</v>
      </c>
      <c r="AO471" t="s">
        <v>2510</v>
      </c>
      <c r="AP471" t="s">
        <v>2511</v>
      </c>
      <c r="AQ471" t="s">
        <v>74</v>
      </c>
      <c r="AR471" t="s">
        <v>2512</v>
      </c>
      <c r="AS471" t="s">
        <v>2513</v>
      </c>
      <c r="AT471" t="s">
        <v>3510</v>
      </c>
      <c r="AU471">
        <v>2020</v>
      </c>
      <c r="AV471">
        <v>49</v>
      </c>
      <c r="AW471">
        <v>2</v>
      </c>
      <c r="AX471" t="s">
        <v>74</v>
      </c>
      <c r="AY471" t="s">
        <v>74</v>
      </c>
      <c r="AZ471" t="s">
        <v>74</v>
      </c>
      <c r="BA471" t="s">
        <v>74</v>
      </c>
      <c r="BB471">
        <v>469</v>
      </c>
      <c r="BC471">
        <v>490</v>
      </c>
      <c r="BD471" t="s">
        <v>74</v>
      </c>
      <c r="BE471" t="s">
        <v>8275</v>
      </c>
      <c r="BF471" t="str">
        <f>HYPERLINK("http://dx.doi.org/10.1108/PR-01-2019-0030","http://dx.doi.org/10.1108/PR-01-2019-0030")</f>
        <v>http://dx.doi.org/10.1108/PR-01-2019-0030</v>
      </c>
      <c r="BG471" t="s">
        <v>74</v>
      </c>
      <c r="BH471" t="s">
        <v>74</v>
      </c>
      <c r="BI471">
        <v>22</v>
      </c>
      <c r="BJ471" t="s">
        <v>2515</v>
      </c>
      <c r="BK471" t="s">
        <v>94</v>
      </c>
      <c r="BL471" t="s">
        <v>227</v>
      </c>
      <c r="BM471" t="s">
        <v>8276</v>
      </c>
      <c r="BN471" t="s">
        <v>74</v>
      </c>
      <c r="BO471" t="s">
        <v>378</v>
      </c>
      <c r="BP471" t="s">
        <v>74</v>
      </c>
      <c r="BQ471" t="s">
        <v>74</v>
      </c>
      <c r="BR471" t="s">
        <v>97</v>
      </c>
      <c r="BS471" t="s">
        <v>8277</v>
      </c>
      <c r="BT471" t="str">
        <f>HYPERLINK("https%3A%2F%2Fwww.webofscience.com%2Fwos%2Fwoscc%2Ffull-record%2FWOS:000511229600007","View Full Record in Web of Science")</f>
        <v>View Full Record in Web of Science</v>
      </c>
    </row>
    <row r="472" spans="1:72" x14ac:dyDescent="0.25">
      <c r="A472" t="s">
        <v>72</v>
      </c>
      <c r="B472" t="s">
        <v>8278</v>
      </c>
      <c r="C472" t="s">
        <v>74</v>
      </c>
      <c r="D472" t="s">
        <v>74</v>
      </c>
      <c r="E472" t="s">
        <v>74</v>
      </c>
      <c r="F472" t="s">
        <v>8279</v>
      </c>
      <c r="G472" t="s">
        <v>74</v>
      </c>
      <c r="H472" t="s">
        <v>74</v>
      </c>
      <c r="I472" t="s">
        <v>8280</v>
      </c>
      <c r="J472" t="s">
        <v>3984</v>
      </c>
      <c r="K472" t="s">
        <v>74</v>
      </c>
      <c r="L472" t="s">
        <v>74</v>
      </c>
      <c r="M472" t="s">
        <v>77</v>
      </c>
      <c r="N472" t="s">
        <v>78</v>
      </c>
      <c r="O472" t="s">
        <v>74</v>
      </c>
      <c r="P472" t="s">
        <v>74</v>
      </c>
      <c r="Q472" t="s">
        <v>74</v>
      </c>
      <c r="R472" t="s">
        <v>74</v>
      </c>
      <c r="S472" t="s">
        <v>74</v>
      </c>
      <c r="T472" t="s">
        <v>8281</v>
      </c>
      <c r="U472" t="s">
        <v>8282</v>
      </c>
      <c r="V472" t="s">
        <v>8283</v>
      </c>
      <c r="W472" t="s">
        <v>8284</v>
      </c>
      <c r="X472" t="s">
        <v>8285</v>
      </c>
      <c r="Y472" t="s">
        <v>8286</v>
      </c>
      <c r="Z472" t="s">
        <v>8287</v>
      </c>
      <c r="AA472" t="s">
        <v>8288</v>
      </c>
      <c r="AB472" t="s">
        <v>8289</v>
      </c>
      <c r="AC472" t="s">
        <v>8290</v>
      </c>
      <c r="AD472" t="s">
        <v>8290</v>
      </c>
      <c r="AE472" t="s">
        <v>8291</v>
      </c>
      <c r="AF472" t="s">
        <v>74</v>
      </c>
      <c r="AG472">
        <v>104</v>
      </c>
      <c r="AH472">
        <v>16</v>
      </c>
      <c r="AI472">
        <v>16</v>
      </c>
      <c r="AJ472">
        <v>3</v>
      </c>
      <c r="AK472">
        <v>14</v>
      </c>
      <c r="AL472" t="s">
        <v>1099</v>
      </c>
      <c r="AM472" t="s">
        <v>305</v>
      </c>
      <c r="AN472" t="s">
        <v>1100</v>
      </c>
      <c r="AO472" t="s">
        <v>3993</v>
      </c>
      <c r="AP472" t="s">
        <v>3994</v>
      </c>
      <c r="AQ472" t="s">
        <v>74</v>
      </c>
      <c r="AR472" t="s">
        <v>3995</v>
      </c>
      <c r="AS472" t="s">
        <v>3996</v>
      </c>
      <c r="AT472" t="s">
        <v>7472</v>
      </c>
      <c r="AU472">
        <v>2020</v>
      </c>
      <c r="AV472">
        <v>28</v>
      </c>
      <c r="AW472">
        <v>12</v>
      </c>
      <c r="AX472" t="s">
        <v>74</v>
      </c>
      <c r="AY472" t="s">
        <v>74</v>
      </c>
      <c r="AZ472" t="s">
        <v>74</v>
      </c>
      <c r="BA472" t="s">
        <v>74</v>
      </c>
      <c r="BB472">
        <v>2508</v>
      </c>
      <c r="BC472">
        <v>2531</v>
      </c>
      <c r="BD472" t="s">
        <v>74</v>
      </c>
      <c r="BE472" t="s">
        <v>8292</v>
      </c>
      <c r="BF472" t="str">
        <f>HYPERLINK("http://dx.doi.org/10.1080/09654313.2020.1724266","http://dx.doi.org/10.1080/09654313.2020.1724266")</f>
        <v>http://dx.doi.org/10.1080/09654313.2020.1724266</v>
      </c>
      <c r="BG472" t="s">
        <v>74</v>
      </c>
      <c r="BH472" t="s">
        <v>3849</v>
      </c>
      <c r="BI472">
        <v>24</v>
      </c>
      <c r="BJ472" t="s">
        <v>3998</v>
      </c>
      <c r="BK472" t="s">
        <v>94</v>
      </c>
      <c r="BL472" t="s">
        <v>3999</v>
      </c>
      <c r="BM472" t="s">
        <v>8293</v>
      </c>
      <c r="BN472" t="s">
        <v>74</v>
      </c>
      <c r="BO472" t="s">
        <v>408</v>
      </c>
      <c r="BP472" t="s">
        <v>74</v>
      </c>
      <c r="BQ472" t="s">
        <v>74</v>
      </c>
      <c r="BR472" t="s">
        <v>97</v>
      </c>
      <c r="BS472" t="s">
        <v>8294</v>
      </c>
      <c r="BT472" t="str">
        <f>HYPERLINK("https%3A%2F%2Fwww.webofscience.com%2Fwos%2Fwoscc%2Ffull-record%2FWOS:000513974700001","View Full Record in Web of Science")</f>
        <v>View Full Record in Web of Science</v>
      </c>
    </row>
    <row r="473" spans="1:72" x14ac:dyDescent="0.25">
      <c r="A473" t="s">
        <v>72</v>
      </c>
      <c r="B473" t="s">
        <v>8295</v>
      </c>
      <c r="C473" t="s">
        <v>74</v>
      </c>
      <c r="D473" t="s">
        <v>74</v>
      </c>
      <c r="E473" t="s">
        <v>74</v>
      </c>
      <c r="F473" t="s">
        <v>8296</v>
      </c>
      <c r="G473" t="s">
        <v>74</v>
      </c>
      <c r="H473" t="s">
        <v>74</v>
      </c>
      <c r="I473" t="s">
        <v>8297</v>
      </c>
      <c r="J473" t="s">
        <v>8298</v>
      </c>
      <c r="K473" t="s">
        <v>74</v>
      </c>
      <c r="L473" t="s">
        <v>74</v>
      </c>
      <c r="M473" t="s">
        <v>77</v>
      </c>
      <c r="N473" t="s">
        <v>78</v>
      </c>
      <c r="O473" t="s">
        <v>74</v>
      </c>
      <c r="P473" t="s">
        <v>74</v>
      </c>
      <c r="Q473" t="s">
        <v>74</v>
      </c>
      <c r="R473" t="s">
        <v>74</v>
      </c>
      <c r="S473" t="s">
        <v>74</v>
      </c>
      <c r="T473" t="s">
        <v>8299</v>
      </c>
      <c r="U473" t="s">
        <v>8300</v>
      </c>
      <c r="V473" t="s">
        <v>8301</v>
      </c>
      <c r="W473" t="s">
        <v>8302</v>
      </c>
      <c r="X473" t="s">
        <v>8303</v>
      </c>
      <c r="Y473" t="s">
        <v>8304</v>
      </c>
      <c r="Z473" t="s">
        <v>8305</v>
      </c>
      <c r="AA473" t="s">
        <v>8306</v>
      </c>
      <c r="AB473" t="s">
        <v>8307</v>
      </c>
      <c r="AC473" t="s">
        <v>8308</v>
      </c>
      <c r="AD473" t="s">
        <v>8309</v>
      </c>
      <c r="AE473" t="s">
        <v>8310</v>
      </c>
      <c r="AF473" t="s">
        <v>74</v>
      </c>
      <c r="AG473">
        <v>43</v>
      </c>
      <c r="AH473">
        <v>16</v>
      </c>
      <c r="AI473">
        <v>16</v>
      </c>
      <c r="AJ473">
        <v>1</v>
      </c>
      <c r="AK473">
        <v>22</v>
      </c>
      <c r="AL473" t="s">
        <v>6878</v>
      </c>
      <c r="AM473" t="s">
        <v>541</v>
      </c>
      <c r="AN473" t="s">
        <v>6879</v>
      </c>
      <c r="AO473" t="s">
        <v>8311</v>
      </c>
      <c r="AP473" t="s">
        <v>8312</v>
      </c>
      <c r="AQ473" t="s">
        <v>74</v>
      </c>
      <c r="AR473" t="s">
        <v>8313</v>
      </c>
      <c r="AS473" t="s">
        <v>8314</v>
      </c>
      <c r="AT473" t="s">
        <v>375</v>
      </c>
      <c r="AU473">
        <v>2019</v>
      </c>
      <c r="AV473">
        <v>158</v>
      </c>
      <c r="AW473" t="s">
        <v>74</v>
      </c>
      <c r="AX473" t="s">
        <v>74</v>
      </c>
      <c r="AY473" t="s">
        <v>74</v>
      </c>
      <c r="AZ473" t="s">
        <v>74</v>
      </c>
      <c r="BA473" t="s">
        <v>74</v>
      </c>
      <c r="BB473">
        <v>1</v>
      </c>
      <c r="BC473">
        <v>7</v>
      </c>
      <c r="BD473" t="s">
        <v>74</v>
      </c>
      <c r="BE473" t="s">
        <v>8315</v>
      </c>
      <c r="BF473" t="str">
        <f>HYPERLINK("http://dx.doi.org/10.1016/j.anbehav.2019.10.004","http://dx.doi.org/10.1016/j.anbehav.2019.10.004")</f>
        <v>http://dx.doi.org/10.1016/j.anbehav.2019.10.004</v>
      </c>
      <c r="BG473" t="s">
        <v>74</v>
      </c>
      <c r="BH473" t="s">
        <v>74</v>
      </c>
      <c r="BI473">
        <v>7</v>
      </c>
      <c r="BJ473" t="s">
        <v>6099</v>
      </c>
      <c r="BK473" t="s">
        <v>283</v>
      </c>
      <c r="BL473" t="s">
        <v>6099</v>
      </c>
      <c r="BM473" t="s">
        <v>8316</v>
      </c>
      <c r="BN473">
        <v>31875855</v>
      </c>
      <c r="BO473" t="s">
        <v>8317</v>
      </c>
      <c r="BP473" t="s">
        <v>74</v>
      </c>
      <c r="BQ473" t="s">
        <v>74</v>
      </c>
      <c r="BR473" t="s">
        <v>97</v>
      </c>
      <c r="BS473" t="s">
        <v>8318</v>
      </c>
      <c r="BT473" t="str">
        <f>HYPERLINK("https%3A%2F%2Fwww.webofscience.com%2Fwos%2Fwoscc%2Ffull-record%2FWOS:000504419700002","View Full Record in Web of Science")</f>
        <v>View Full Record in Web of Science</v>
      </c>
    </row>
    <row r="474" spans="1:72" x14ac:dyDescent="0.25">
      <c r="A474" t="s">
        <v>72</v>
      </c>
      <c r="B474" t="s">
        <v>8319</v>
      </c>
      <c r="C474" t="s">
        <v>74</v>
      </c>
      <c r="D474" t="s">
        <v>74</v>
      </c>
      <c r="E474" t="s">
        <v>74</v>
      </c>
      <c r="F474" t="s">
        <v>8320</v>
      </c>
      <c r="G474" t="s">
        <v>74</v>
      </c>
      <c r="H474" t="s">
        <v>74</v>
      </c>
      <c r="I474" t="s">
        <v>8321</v>
      </c>
      <c r="J474" t="s">
        <v>3184</v>
      </c>
      <c r="K474" t="s">
        <v>74</v>
      </c>
      <c r="L474" t="s">
        <v>74</v>
      </c>
      <c r="M474" t="s">
        <v>77</v>
      </c>
      <c r="N474" t="s">
        <v>78</v>
      </c>
      <c r="O474" t="s">
        <v>74</v>
      </c>
      <c r="P474" t="s">
        <v>74</v>
      </c>
      <c r="Q474" t="s">
        <v>74</v>
      </c>
      <c r="R474" t="s">
        <v>74</v>
      </c>
      <c r="S474" t="s">
        <v>74</v>
      </c>
      <c r="T474" t="s">
        <v>8322</v>
      </c>
      <c r="U474" t="s">
        <v>8323</v>
      </c>
      <c r="V474" t="s">
        <v>8324</v>
      </c>
      <c r="W474" t="s">
        <v>8325</v>
      </c>
      <c r="X474" t="s">
        <v>8326</v>
      </c>
      <c r="Y474" t="s">
        <v>8327</v>
      </c>
      <c r="Z474" t="s">
        <v>8328</v>
      </c>
      <c r="AA474" t="s">
        <v>74</v>
      </c>
      <c r="AB474" t="s">
        <v>74</v>
      </c>
      <c r="AC474" t="s">
        <v>8329</v>
      </c>
      <c r="AD474" t="s">
        <v>8330</v>
      </c>
      <c r="AE474" t="s">
        <v>8331</v>
      </c>
      <c r="AF474" t="s">
        <v>74</v>
      </c>
      <c r="AG474">
        <v>87</v>
      </c>
      <c r="AH474">
        <v>16</v>
      </c>
      <c r="AI474">
        <v>16</v>
      </c>
      <c r="AJ474">
        <v>11</v>
      </c>
      <c r="AK474">
        <v>48</v>
      </c>
      <c r="AL474" t="s">
        <v>3195</v>
      </c>
      <c r="AM474" t="s">
        <v>3196</v>
      </c>
      <c r="AN474" t="s">
        <v>3197</v>
      </c>
      <c r="AO474" t="s">
        <v>3198</v>
      </c>
      <c r="AP474" t="s">
        <v>74</v>
      </c>
      <c r="AQ474" t="s">
        <v>74</v>
      </c>
      <c r="AR474" t="s">
        <v>3199</v>
      </c>
      <c r="AS474" t="s">
        <v>3200</v>
      </c>
      <c r="AT474" t="s">
        <v>1894</v>
      </c>
      <c r="AU474">
        <v>2019</v>
      </c>
      <c r="AV474">
        <v>10</v>
      </c>
      <c r="AW474" t="s">
        <v>74</v>
      </c>
      <c r="AX474" t="s">
        <v>74</v>
      </c>
      <c r="AY474" t="s">
        <v>74</v>
      </c>
      <c r="AZ474" t="s">
        <v>74</v>
      </c>
      <c r="BA474" t="s">
        <v>74</v>
      </c>
      <c r="BB474" t="s">
        <v>74</v>
      </c>
      <c r="BC474" t="s">
        <v>74</v>
      </c>
      <c r="BD474">
        <v>2192</v>
      </c>
      <c r="BE474" t="s">
        <v>8332</v>
      </c>
      <c r="BF474" t="str">
        <f>HYPERLINK("http://dx.doi.org/10.3389/fpsyg.2019.02192","http://dx.doi.org/10.3389/fpsyg.2019.02192")</f>
        <v>http://dx.doi.org/10.3389/fpsyg.2019.02192</v>
      </c>
      <c r="BG474" t="s">
        <v>74</v>
      </c>
      <c r="BH474" t="s">
        <v>74</v>
      </c>
      <c r="BI474">
        <v>12</v>
      </c>
      <c r="BJ474" t="s">
        <v>3203</v>
      </c>
      <c r="BK474" t="s">
        <v>94</v>
      </c>
      <c r="BL474" t="s">
        <v>460</v>
      </c>
      <c r="BM474" t="s">
        <v>8333</v>
      </c>
      <c r="BN474">
        <v>31681063</v>
      </c>
      <c r="BO474" t="s">
        <v>4398</v>
      </c>
      <c r="BP474" t="s">
        <v>74</v>
      </c>
      <c r="BQ474" t="s">
        <v>74</v>
      </c>
      <c r="BR474" t="s">
        <v>97</v>
      </c>
      <c r="BS474" t="s">
        <v>8334</v>
      </c>
      <c r="BT474" t="str">
        <f>HYPERLINK("https%3A%2F%2Fwww.webofscience.com%2Fwos%2Fwoscc%2Ffull-record%2FWOS:000496983300001","View Full Record in Web of Science")</f>
        <v>View Full Record in Web of Science</v>
      </c>
    </row>
    <row r="475" spans="1:72" x14ac:dyDescent="0.25">
      <c r="A475" t="s">
        <v>72</v>
      </c>
      <c r="B475" t="s">
        <v>8335</v>
      </c>
      <c r="C475" t="s">
        <v>74</v>
      </c>
      <c r="D475" t="s">
        <v>74</v>
      </c>
      <c r="E475" t="s">
        <v>74</v>
      </c>
      <c r="F475" t="s">
        <v>8336</v>
      </c>
      <c r="G475" t="s">
        <v>74</v>
      </c>
      <c r="H475" t="s">
        <v>74</v>
      </c>
      <c r="I475" t="s">
        <v>8337</v>
      </c>
      <c r="J475" t="s">
        <v>2059</v>
      </c>
      <c r="K475" t="s">
        <v>74</v>
      </c>
      <c r="L475" t="s">
        <v>74</v>
      </c>
      <c r="M475" t="s">
        <v>77</v>
      </c>
      <c r="N475" t="s">
        <v>78</v>
      </c>
      <c r="O475" t="s">
        <v>74</v>
      </c>
      <c r="P475" t="s">
        <v>74</v>
      </c>
      <c r="Q475" t="s">
        <v>74</v>
      </c>
      <c r="R475" t="s">
        <v>74</v>
      </c>
      <c r="S475" t="s">
        <v>74</v>
      </c>
      <c r="T475" t="s">
        <v>8338</v>
      </c>
      <c r="U475" t="s">
        <v>8339</v>
      </c>
      <c r="V475" t="s">
        <v>8340</v>
      </c>
      <c r="W475" t="s">
        <v>8341</v>
      </c>
      <c r="X475" t="s">
        <v>8342</v>
      </c>
      <c r="Y475" t="s">
        <v>8343</v>
      </c>
      <c r="Z475" t="s">
        <v>8344</v>
      </c>
      <c r="AA475" t="s">
        <v>74</v>
      </c>
      <c r="AB475" t="s">
        <v>74</v>
      </c>
      <c r="AC475" t="s">
        <v>74</v>
      </c>
      <c r="AD475" t="s">
        <v>74</v>
      </c>
      <c r="AE475" t="s">
        <v>74</v>
      </c>
      <c r="AF475" t="s">
        <v>74</v>
      </c>
      <c r="AG475">
        <v>28</v>
      </c>
      <c r="AH475">
        <v>16</v>
      </c>
      <c r="AI475">
        <v>17</v>
      </c>
      <c r="AJ475">
        <v>46</v>
      </c>
      <c r="AK475">
        <v>148</v>
      </c>
      <c r="AL475" t="s">
        <v>2067</v>
      </c>
      <c r="AM475" t="s">
        <v>2068</v>
      </c>
      <c r="AN475" t="s">
        <v>2069</v>
      </c>
      <c r="AO475" t="s">
        <v>2070</v>
      </c>
      <c r="AP475" t="s">
        <v>2071</v>
      </c>
      <c r="AQ475" t="s">
        <v>74</v>
      </c>
      <c r="AR475" t="s">
        <v>2072</v>
      </c>
      <c r="AS475" t="s">
        <v>2073</v>
      </c>
      <c r="AT475" t="s">
        <v>496</v>
      </c>
      <c r="AU475">
        <v>2019</v>
      </c>
      <c r="AV475">
        <v>47</v>
      </c>
      <c r="AW475">
        <v>9</v>
      </c>
      <c r="AX475" t="s">
        <v>74</v>
      </c>
      <c r="AY475" t="s">
        <v>74</v>
      </c>
      <c r="AZ475" t="s">
        <v>74</v>
      </c>
      <c r="BA475" t="s">
        <v>74</v>
      </c>
      <c r="BB475" t="s">
        <v>74</v>
      </c>
      <c r="BC475" t="s">
        <v>74</v>
      </c>
      <c r="BD475" t="s">
        <v>8345</v>
      </c>
      <c r="BE475" t="s">
        <v>8346</v>
      </c>
      <c r="BF475" t="str">
        <f>HYPERLINK("http://dx.doi.org/10.2224/sbp.8204","http://dx.doi.org/10.2224/sbp.8204")</f>
        <v>http://dx.doi.org/10.2224/sbp.8204</v>
      </c>
      <c r="BG475" t="s">
        <v>74</v>
      </c>
      <c r="BH475" t="s">
        <v>74</v>
      </c>
      <c r="BI475">
        <v>7</v>
      </c>
      <c r="BJ475" t="s">
        <v>459</v>
      </c>
      <c r="BK475" t="s">
        <v>94</v>
      </c>
      <c r="BL475" t="s">
        <v>460</v>
      </c>
      <c r="BM475" t="s">
        <v>8347</v>
      </c>
      <c r="BN475" t="s">
        <v>74</v>
      </c>
      <c r="BO475" t="s">
        <v>74</v>
      </c>
      <c r="BP475" t="s">
        <v>74</v>
      </c>
      <c r="BQ475" t="s">
        <v>74</v>
      </c>
      <c r="BR475" t="s">
        <v>97</v>
      </c>
      <c r="BS475" t="s">
        <v>8348</v>
      </c>
      <c r="BT475" t="str">
        <f>HYPERLINK("https%3A%2F%2Fwww.webofscience.com%2Fwos%2Fwoscc%2Ffull-record%2FWOS:000485660100005","View Full Record in Web of Science")</f>
        <v>View Full Record in Web of Science</v>
      </c>
    </row>
    <row r="476" spans="1:72" x14ac:dyDescent="0.25">
      <c r="A476" t="s">
        <v>72</v>
      </c>
      <c r="B476" t="s">
        <v>8349</v>
      </c>
      <c r="C476" t="s">
        <v>74</v>
      </c>
      <c r="D476" t="s">
        <v>74</v>
      </c>
      <c r="E476" t="s">
        <v>74</v>
      </c>
      <c r="F476" t="s">
        <v>8350</v>
      </c>
      <c r="G476" t="s">
        <v>74</v>
      </c>
      <c r="H476" t="s">
        <v>74</v>
      </c>
      <c r="I476" t="s">
        <v>8351</v>
      </c>
      <c r="J476" t="s">
        <v>616</v>
      </c>
      <c r="K476" t="s">
        <v>74</v>
      </c>
      <c r="L476" t="s">
        <v>74</v>
      </c>
      <c r="M476" t="s">
        <v>77</v>
      </c>
      <c r="N476" t="s">
        <v>78</v>
      </c>
      <c r="O476" t="s">
        <v>74</v>
      </c>
      <c r="P476" t="s">
        <v>74</v>
      </c>
      <c r="Q476" t="s">
        <v>74</v>
      </c>
      <c r="R476" t="s">
        <v>74</v>
      </c>
      <c r="S476" t="s">
        <v>74</v>
      </c>
      <c r="T476" t="s">
        <v>8352</v>
      </c>
      <c r="U476" t="s">
        <v>8353</v>
      </c>
      <c r="V476" t="s">
        <v>8354</v>
      </c>
      <c r="W476" t="s">
        <v>8355</v>
      </c>
      <c r="X476" t="s">
        <v>8356</v>
      </c>
      <c r="Y476" t="s">
        <v>8357</v>
      </c>
      <c r="Z476" t="s">
        <v>8358</v>
      </c>
      <c r="AA476" t="s">
        <v>8359</v>
      </c>
      <c r="AB476" t="s">
        <v>8360</v>
      </c>
      <c r="AC476" t="s">
        <v>8361</v>
      </c>
      <c r="AD476" t="s">
        <v>8362</v>
      </c>
      <c r="AE476" t="s">
        <v>8363</v>
      </c>
      <c r="AF476" t="s">
        <v>74</v>
      </c>
      <c r="AG476">
        <v>63</v>
      </c>
      <c r="AH476">
        <v>16</v>
      </c>
      <c r="AI476">
        <v>16</v>
      </c>
      <c r="AJ476">
        <v>7</v>
      </c>
      <c r="AK476">
        <v>36</v>
      </c>
      <c r="AL476" t="s">
        <v>602</v>
      </c>
      <c r="AM476" t="s">
        <v>160</v>
      </c>
      <c r="AN476" t="s">
        <v>603</v>
      </c>
      <c r="AO476" t="s">
        <v>625</v>
      </c>
      <c r="AP476" t="s">
        <v>626</v>
      </c>
      <c r="AQ476" t="s">
        <v>74</v>
      </c>
      <c r="AR476" t="s">
        <v>627</v>
      </c>
      <c r="AS476" t="s">
        <v>628</v>
      </c>
      <c r="AT476" t="s">
        <v>392</v>
      </c>
      <c r="AU476">
        <v>2019</v>
      </c>
      <c r="AV476">
        <v>81</v>
      </c>
      <c r="AW476" t="s">
        <v>74</v>
      </c>
      <c r="AX476" t="s">
        <v>74</v>
      </c>
      <c r="AY476" t="s">
        <v>74</v>
      </c>
      <c r="AZ476" t="s">
        <v>74</v>
      </c>
      <c r="BA476" t="s">
        <v>74</v>
      </c>
      <c r="BB476">
        <v>21</v>
      </c>
      <c r="BC476">
        <v>29</v>
      </c>
      <c r="BD476" t="s">
        <v>74</v>
      </c>
      <c r="BE476" t="s">
        <v>8364</v>
      </c>
      <c r="BF476" t="str">
        <f>HYPERLINK("http://dx.doi.org/10.1016/j.ijhm.2019.02.009","http://dx.doi.org/10.1016/j.ijhm.2019.02.009")</f>
        <v>http://dx.doi.org/10.1016/j.ijhm.2019.02.009</v>
      </c>
      <c r="BG476" t="s">
        <v>74</v>
      </c>
      <c r="BH476" t="s">
        <v>74</v>
      </c>
      <c r="BI476">
        <v>9</v>
      </c>
      <c r="BJ476" t="s">
        <v>630</v>
      </c>
      <c r="BK476" t="s">
        <v>94</v>
      </c>
      <c r="BL476" t="s">
        <v>631</v>
      </c>
      <c r="BM476" t="s">
        <v>8365</v>
      </c>
      <c r="BN476" t="s">
        <v>74</v>
      </c>
      <c r="BO476" t="s">
        <v>378</v>
      </c>
      <c r="BP476" t="s">
        <v>74</v>
      </c>
      <c r="BQ476" t="s">
        <v>74</v>
      </c>
      <c r="BR476" t="s">
        <v>97</v>
      </c>
      <c r="BS476" t="s">
        <v>8366</v>
      </c>
      <c r="BT476" t="str">
        <f>HYPERLINK("https%3A%2F%2Fwww.webofscience.com%2Fwos%2Fwoscc%2Ffull-record%2FWOS:000478712400004","View Full Record in Web of Science")</f>
        <v>View Full Record in Web of Science</v>
      </c>
    </row>
    <row r="477" spans="1:72" x14ac:dyDescent="0.25">
      <c r="A477" t="s">
        <v>72</v>
      </c>
      <c r="B477" t="s">
        <v>8367</v>
      </c>
      <c r="C477" t="s">
        <v>74</v>
      </c>
      <c r="D477" t="s">
        <v>74</v>
      </c>
      <c r="E477" t="s">
        <v>74</v>
      </c>
      <c r="F477" t="s">
        <v>8368</v>
      </c>
      <c r="G477" t="s">
        <v>74</v>
      </c>
      <c r="H477" t="s">
        <v>74</v>
      </c>
      <c r="I477" t="s">
        <v>8369</v>
      </c>
      <c r="J477" t="s">
        <v>2678</v>
      </c>
      <c r="K477" t="s">
        <v>74</v>
      </c>
      <c r="L477" t="s">
        <v>74</v>
      </c>
      <c r="M477" t="s">
        <v>77</v>
      </c>
      <c r="N477" t="s">
        <v>78</v>
      </c>
      <c r="O477" t="s">
        <v>74</v>
      </c>
      <c r="P477" t="s">
        <v>74</v>
      </c>
      <c r="Q477" t="s">
        <v>74</v>
      </c>
      <c r="R477" t="s">
        <v>74</v>
      </c>
      <c r="S477" t="s">
        <v>74</v>
      </c>
      <c r="T477" t="s">
        <v>74</v>
      </c>
      <c r="U477" t="s">
        <v>8370</v>
      </c>
      <c r="V477" t="s">
        <v>8371</v>
      </c>
      <c r="W477" t="s">
        <v>8372</v>
      </c>
      <c r="X477" t="s">
        <v>8373</v>
      </c>
      <c r="Y477" t="s">
        <v>8374</v>
      </c>
      <c r="Z477" t="s">
        <v>8375</v>
      </c>
      <c r="AA477" t="s">
        <v>8376</v>
      </c>
      <c r="AB477" t="s">
        <v>8377</v>
      </c>
      <c r="AC477" t="s">
        <v>8378</v>
      </c>
      <c r="AD477" t="s">
        <v>8379</v>
      </c>
      <c r="AE477" t="s">
        <v>8380</v>
      </c>
      <c r="AF477" t="s">
        <v>74</v>
      </c>
      <c r="AG477">
        <v>77</v>
      </c>
      <c r="AH477">
        <v>16</v>
      </c>
      <c r="AI477">
        <v>16</v>
      </c>
      <c r="AJ477">
        <v>2</v>
      </c>
      <c r="AK477">
        <v>12</v>
      </c>
      <c r="AL477" t="s">
        <v>1045</v>
      </c>
      <c r="AM477" t="s">
        <v>1046</v>
      </c>
      <c r="AN477" t="s">
        <v>1047</v>
      </c>
      <c r="AO477" t="s">
        <v>2688</v>
      </c>
      <c r="AP477" t="s">
        <v>74</v>
      </c>
      <c r="AQ477" t="s">
        <v>74</v>
      </c>
      <c r="AR477" t="s">
        <v>2678</v>
      </c>
      <c r="AS477" t="s">
        <v>2689</v>
      </c>
      <c r="AT477" t="s">
        <v>8381</v>
      </c>
      <c r="AU477">
        <v>2019</v>
      </c>
      <c r="AV477">
        <v>14</v>
      </c>
      <c r="AW477">
        <v>6</v>
      </c>
      <c r="AX477" t="s">
        <v>74</v>
      </c>
      <c r="AY477" t="s">
        <v>74</v>
      </c>
      <c r="AZ477" t="s">
        <v>74</v>
      </c>
      <c r="BA477" t="s">
        <v>74</v>
      </c>
      <c r="BB477" t="s">
        <v>74</v>
      </c>
      <c r="BC477" t="s">
        <v>74</v>
      </c>
      <c r="BD477" t="s">
        <v>8382</v>
      </c>
      <c r="BE477" t="s">
        <v>8383</v>
      </c>
      <c r="BF477" t="str">
        <f>HYPERLINK("http://dx.doi.org/10.1371/journal.pone.0217464","http://dx.doi.org/10.1371/journal.pone.0217464")</f>
        <v>http://dx.doi.org/10.1371/journal.pone.0217464</v>
      </c>
      <c r="BG477" t="s">
        <v>74</v>
      </c>
      <c r="BH477" t="s">
        <v>74</v>
      </c>
      <c r="BI477">
        <v>19</v>
      </c>
      <c r="BJ477" t="s">
        <v>282</v>
      </c>
      <c r="BK477" t="s">
        <v>147</v>
      </c>
      <c r="BL477" t="s">
        <v>284</v>
      </c>
      <c r="BM477" t="s">
        <v>8384</v>
      </c>
      <c r="BN477">
        <v>31188843</v>
      </c>
      <c r="BO477" t="s">
        <v>8385</v>
      </c>
      <c r="BP477" t="s">
        <v>74</v>
      </c>
      <c r="BQ477" t="s">
        <v>74</v>
      </c>
      <c r="BR477" t="s">
        <v>97</v>
      </c>
      <c r="BS477" t="s">
        <v>8386</v>
      </c>
      <c r="BT477" t="str">
        <f>HYPERLINK("https%3A%2F%2Fwww.webofscience.com%2Fwos%2Fwoscc%2Ffull-record%2FWOS:000471234500027","View Full Record in Web of Science")</f>
        <v>View Full Record in Web of Science</v>
      </c>
    </row>
    <row r="478" spans="1:72" x14ac:dyDescent="0.25">
      <c r="A478" t="s">
        <v>72</v>
      </c>
      <c r="B478" t="s">
        <v>8387</v>
      </c>
      <c r="C478" t="s">
        <v>74</v>
      </c>
      <c r="D478" t="s">
        <v>74</v>
      </c>
      <c r="E478" t="s">
        <v>74</v>
      </c>
      <c r="F478" t="s">
        <v>8388</v>
      </c>
      <c r="G478" t="s">
        <v>74</v>
      </c>
      <c r="H478" t="s">
        <v>74</v>
      </c>
      <c r="I478" t="s">
        <v>8389</v>
      </c>
      <c r="J478" t="s">
        <v>3184</v>
      </c>
      <c r="K478" t="s">
        <v>74</v>
      </c>
      <c r="L478" t="s">
        <v>74</v>
      </c>
      <c r="M478" t="s">
        <v>77</v>
      </c>
      <c r="N478" t="s">
        <v>78</v>
      </c>
      <c r="O478" t="s">
        <v>74</v>
      </c>
      <c r="P478" t="s">
        <v>74</v>
      </c>
      <c r="Q478" t="s">
        <v>74</v>
      </c>
      <c r="R478" t="s">
        <v>74</v>
      </c>
      <c r="S478" t="s">
        <v>74</v>
      </c>
      <c r="T478" t="s">
        <v>8390</v>
      </c>
      <c r="U478" t="s">
        <v>8391</v>
      </c>
      <c r="V478" t="s">
        <v>8392</v>
      </c>
      <c r="W478" t="s">
        <v>8393</v>
      </c>
      <c r="X478" t="s">
        <v>8394</v>
      </c>
      <c r="Y478" t="s">
        <v>8395</v>
      </c>
      <c r="Z478" t="s">
        <v>8396</v>
      </c>
      <c r="AA478" t="s">
        <v>74</v>
      </c>
      <c r="AB478" t="s">
        <v>74</v>
      </c>
      <c r="AC478" t="s">
        <v>8397</v>
      </c>
      <c r="AD478" t="s">
        <v>8398</v>
      </c>
      <c r="AE478" t="s">
        <v>8399</v>
      </c>
      <c r="AF478" t="s">
        <v>74</v>
      </c>
      <c r="AG478">
        <v>55</v>
      </c>
      <c r="AH478">
        <v>16</v>
      </c>
      <c r="AI478">
        <v>17</v>
      </c>
      <c r="AJ478">
        <v>14</v>
      </c>
      <c r="AK478">
        <v>52</v>
      </c>
      <c r="AL478" t="s">
        <v>3195</v>
      </c>
      <c r="AM478" t="s">
        <v>3196</v>
      </c>
      <c r="AN478" t="s">
        <v>3197</v>
      </c>
      <c r="AO478" t="s">
        <v>3198</v>
      </c>
      <c r="AP478" t="s">
        <v>74</v>
      </c>
      <c r="AQ478" t="s">
        <v>74</v>
      </c>
      <c r="AR478" t="s">
        <v>3199</v>
      </c>
      <c r="AS478" t="s">
        <v>3200</v>
      </c>
      <c r="AT478" t="s">
        <v>8400</v>
      </c>
      <c r="AU478">
        <v>2019</v>
      </c>
      <c r="AV478">
        <v>10</v>
      </c>
      <c r="AW478" t="s">
        <v>74</v>
      </c>
      <c r="AX478" t="s">
        <v>74</v>
      </c>
      <c r="AY478" t="s">
        <v>74</v>
      </c>
      <c r="AZ478" t="s">
        <v>74</v>
      </c>
      <c r="BA478" t="s">
        <v>74</v>
      </c>
      <c r="BB478" t="s">
        <v>74</v>
      </c>
      <c r="BC478" t="s">
        <v>74</v>
      </c>
      <c r="BD478">
        <v>66</v>
      </c>
      <c r="BE478" t="s">
        <v>8401</v>
      </c>
      <c r="BF478" t="str">
        <f>HYPERLINK("http://dx.doi.org/10.3389/fpsyg.2019.00066","http://dx.doi.org/10.3389/fpsyg.2019.00066")</f>
        <v>http://dx.doi.org/10.3389/fpsyg.2019.00066</v>
      </c>
      <c r="BG478" t="s">
        <v>74</v>
      </c>
      <c r="BH478" t="s">
        <v>74</v>
      </c>
      <c r="BI478">
        <v>9</v>
      </c>
      <c r="BJ478" t="s">
        <v>3203</v>
      </c>
      <c r="BK478" t="s">
        <v>94</v>
      </c>
      <c r="BL478" t="s">
        <v>460</v>
      </c>
      <c r="BM478" t="s">
        <v>8402</v>
      </c>
      <c r="BN478">
        <v>30761040</v>
      </c>
      <c r="BO478" t="s">
        <v>4398</v>
      </c>
      <c r="BP478" t="s">
        <v>74</v>
      </c>
      <c r="BQ478" t="s">
        <v>74</v>
      </c>
      <c r="BR478" t="s">
        <v>97</v>
      </c>
      <c r="BS478" t="s">
        <v>8403</v>
      </c>
      <c r="BT478" t="str">
        <f>HYPERLINK("https%3A%2F%2Fwww.webofscience.com%2Fwos%2Fwoscc%2Ffull-record%2FWOS:000456872100001","View Full Record in Web of Science")</f>
        <v>View Full Record in Web of Science</v>
      </c>
    </row>
    <row r="479" spans="1:72" x14ac:dyDescent="0.25">
      <c r="A479" t="s">
        <v>72</v>
      </c>
      <c r="B479" t="s">
        <v>8404</v>
      </c>
      <c r="C479" t="s">
        <v>74</v>
      </c>
      <c r="D479" t="s">
        <v>74</v>
      </c>
      <c r="E479" t="s">
        <v>74</v>
      </c>
      <c r="F479" t="s">
        <v>8405</v>
      </c>
      <c r="G479" t="s">
        <v>74</v>
      </c>
      <c r="H479" t="s">
        <v>74</v>
      </c>
      <c r="I479" t="s">
        <v>8406</v>
      </c>
      <c r="J479" t="s">
        <v>4325</v>
      </c>
      <c r="K479" t="s">
        <v>74</v>
      </c>
      <c r="L479" t="s">
        <v>74</v>
      </c>
      <c r="M479" t="s">
        <v>77</v>
      </c>
      <c r="N479" t="s">
        <v>78</v>
      </c>
      <c r="O479" t="s">
        <v>74</v>
      </c>
      <c r="P479" t="s">
        <v>74</v>
      </c>
      <c r="Q479" t="s">
        <v>74</v>
      </c>
      <c r="R479" t="s">
        <v>74</v>
      </c>
      <c r="S479" t="s">
        <v>74</v>
      </c>
      <c r="T479" t="s">
        <v>74</v>
      </c>
      <c r="U479" t="s">
        <v>8407</v>
      </c>
      <c r="V479" t="s">
        <v>8408</v>
      </c>
      <c r="W479" t="s">
        <v>8409</v>
      </c>
      <c r="X479" t="s">
        <v>8410</v>
      </c>
      <c r="Y479" t="s">
        <v>8411</v>
      </c>
      <c r="Z479" t="s">
        <v>8412</v>
      </c>
      <c r="AA479" t="s">
        <v>8413</v>
      </c>
      <c r="AB479" t="s">
        <v>8414</v>
      </c>
      <c r="AC479" t="s">
        <v>8415</v>
      </c>
      <c r="AD479" t="s">
        <v>8416</v>
      </c>
      <c r="AE479" t="s">
        <v>8417</v>
      </c>
      <c r="AF479" t="s">
        <v>74</v>
      </c>
      <c r="AG479">
        <v>64</v>
      </c>
      <c r="AH479">
        <v>16</v>
      </c>
      <c r="AI479">
        <v>17</v>
      </c>
      <c r="AJ479">
        <v>6</v>
      </c>
      <c r="AK479">
        <v>96</v>
      </c>
      <c r="AL479" t="s">
        <v>218</v>
      </c>
      <c r="AM479" t="s">
        <v>219</v>
      </c>
      <c r="AN479" t="s">
        <v>220</v>
      </c>
      <c r="AO479" t="s">
        <v>4332</v>
      </c>
      <c r="AP479" t="s">
        <v>4333</v>
      </c>
      <c r="AQ479" t="s">
        <v>74</v>
      </c>
      <c r="AR479" t="s">
        <v>4334</v>
      </c>
      <c r="AS479" t="s">
        <v>4335</v>
      </c>
      <c r="AT479" t="s">
        <v>91</v>
      </c>
      <c r="AU479">
        <v>2018</v>
      </c>
      <c r="AV479">
        <v>27</v>
      </c>
      <c r="AW479">
        <v>2</v>
      </c>
      <c r="AX479" t="s">
        <v>74</v>
      </c>
      <c r="AY479" t="s">
        <v>74</v>
      </c>
      <c r="AZ479" t="s">
        <v>74</v>
      </c>
      <c r="BA479" t="s">
        <v>74</v>
      </c>
      <c r="BB479">
        <v>221</v>
      </c>
      <c r="BC479">
        <v>231</v>
      </c>
      <c r="BD479" t="s">
        <v>74</v>
      </c>
      <c r="BE479" t="s">
        <v>8418</v>
      </c>
      <c r="BF479" t="str">
        <f>HYPERLINK("http://dx.doi.org/10.1111/caim.12253","http://dx.doi.org/10.1111/caim.12253")</f>
        <v>http://dx.doi.org/10.1111/caim.12253</v>
      </c>
      <c r="BG479" t="s">
        <v>74</v>
      </c>
      <c r="BH479" t="s">
        <v>74</v>
      </c>
      <c r="BI479">
        <v>11</v>
      </c>
      <c r="BJ479" t="s">
        <v>442</v>
      </c>
      <c r="BK479" t="s">
        <v>94</v>
      </c>
      <c r="BL479" t="s">
        <v>95</v>
      </c>
      <c r="BM479" t="s">
        <v>8419</v>
      </c>
      <c r="BN479" t="s">
        <v>74</v>
      </c>
      <c r="BO479" t="s">
        <v>74</v>
      </c>
      <c r="BP479" t="s">
        <v>74</v>
      </c>
      <c r="BQ479" t="s">
        <v>74</v>
      </c>
      <c r="BR479" t="s">
        <v>97</v>
      </c>
      <c r="BS479" t="s">
        <v>8420</v>
      </c>
      <c r="BT479" t="str">
        <f>HYPERLINK("https%3A%2F%2Fwww.webofscience.com%2Fwos%2Fwoscc%2Ffull-record%2FWOS:000431629800010","View Full Record in Web of Science")</f>
        <v>View Full Record in Web of Science</v>
      </c>
    </row>
    <row r="480" spans="1:72" x14ac:dyDescent="0.25">
      <c r="A480" t="s">
        <v>72</v>
      </c>
      <c r="B480" t="s">
        <v>8421</v>
      </c>
      <c r="C480" t="s">
        <v>74</v>
      </c>
      <c r="D480" t="s">
        <v>74</v>
      </c>
      <c r="E480" t="s">
        <v>74</v>
      </c>
      <c r="F480" t="s">
        <v>8422</v>
      </c>
      <c r="G480" t="s">
        <v>74</v>
      </c>
      <c r="H480" t="s">
        <v>74</v>
      </c>
      <c r="I480" t="s">
        <v>8423</v>
      </c>
      <c r="J480" t="s">
        <v>2502</v>
      </c>
      <c r="K480" t="s">
        <v>74</v>
      </c>
      <c r="L480" t="s">
        <v>74</v>
      </c>
      <c r="M480" t="s">
        <v>77</v>
      </c>
      <c r="N480" t="s">
        <v>78</v>
      </c>
      <c r="O480" t="s">
        <v>74</v>
      </c>
      <c r="P480" t="s">
        <v>74</v>
      </c>
      <c r="Q480" t="s">
        <v>74</v>
      </c>
      <c r="R480" t="s">
        <v>74</v>
      </c>
      <c r="S480" t="s">
        <v>74</v>
      </c>
      <c r="T480" t="s">
        <v>8424</v>
      </c>
      <c r="U480" t="s">
        <v>8425</v>
      </c>
      <c r="V480" t="s">
        <v>8426</v>
      </c>
      <c r="W480" t="s">
        <v>8427</v>
      </c>
      <c r="X480" t="s">
        <v>1763</v>
      </c>
      <c r="Y480" t="s">
        <v>8428</v>
      </c>
      <c r="Z480" t="s">
        <v>8429</v>
      </c>
      <c r="AA480" t="s">
        <v>74</v>
      </c>
      <c r="AB480" t="s">
        <v>74</v>
      </c>
      <c r="AC480" t="s">
        <v>74</v>
      </c>
      <c r="AD480" t="s">
        <v>74</v>
      </c>
      <c r="AE480" t="s">
        <v>74</v>
      </c>
      <c r="AF480" t="s">
        <v>74</v>
      </c>
      <c r="AG480">
        <v>84</v>
      </c>
      <c r="AH480">
        <v>16</v>
      </c>
      <c r="AI480">
        <v>16</v>
      </c>
      <c r="AJ480">
        <v>4</v>
      </c>
      <c r="AK480">
        <v>38</v>
      </c>
      <c r="AL480" t="s">
        <v>665</v>
      </c>
      <c r="AM480" t="s">
        <v>666</v>
      </c>
      <c r="AN480" t="s">
        <v>667</v>
      </c>
      <c r="AO480" t="s">
        <v>2510</v>
      </c>
      <c r="AP480" t="s">
        <v>2511</v>
      </c>
      <c r="AQ480" t="s">
        <v>74</v>
      </c>
      <c r="AR480" t="s">
        <v>2512</v>
      </c>
      <c r="AS480" t="s">
        <v>2513</v>
      </c>
      <c r="AT480" t="s">
        <v>74</v>
      </c>
      <c r="AU480">
        <v>2017</v>
      </c>
      <c r="AV480">
        <v>46</v>
      </c>
      <c r="AW480">
        <v>8</v>
      </c>
      <c r="AX480" t="s">
        <v>74</v>
      </c>
      <c r="AY480" t="s">
        <v>74</v>
      </c>
      <c r="AZ480" t="s">
        <v>74</v>
      </c>
      <c r="BA480" t="s">
        <v>74</v>
      </c>
      <c r="BB480">
        <v>1454</v>
      </c>
      <c r="BC480">
        <v>1474</v>
      </c>
      <c r="BD480" t="s">
        <v>74</v>
      </c>
      <c r="BE480" t="s">
        <v>8430</v>
      </c>
      <c r="BF480" t="str">
        <f>HYPERLINK("http://dx.doi.org/10.1108/PR-08-2016-0202","http://dx.doi.org/10.1108/PR-08-2016-0202")</f>
        <v>http://dx.doi.org/10.1108/PR-08-2016-0202</v>
      </c>
      <c r="BG480" t="s">
        <v>74</v>
      </c>
      <c r="BH480" t="s">
        <v>74</v>
      </c>
      <c r="BI480">
        <v>21</v>
      </c>
      <c r="BJ480" t="s">
        <v>2515</v>
      </c>
      <c r="BK480" t="s">
        <v>94</v>
      </c>
      <c r="BL480" t="s">
        <v>227</v>
      </c>
      <c r="BM480" t="s">
        <v>8431</v>
      </c>
      <c r="BN480" t="s">
        <v>74</v>
      </c>
      <c r="BO480" t="s">
        <v>74</v>
      </c>
      <c r="BP480" t="s">
        <v>74</v>
      </c>
      <c r="BQ480" t="s">
        <v>74</v>
      </c>
      <c r="BR480" t="s">
        <v>97</v>
      </c>
      <c r="BS480" t="s">
        <v>8432</v>
      </c>
      <c r="BT480" t="str">
        <f>HYPERLINK("https%3A%2F%2Fwww.webofscience.com%2Fwos%2Fwoscc%2Ffull-record%2FWOS:000415990200001","View Full Record in Web of Science")</f>
        <v>View Full Record in Web of Science</v>
      </c>
    </row>
    <row r="481" spans="1:72" x14ac:dyDescent="0.25">
      <c r="A481" t="s">
        <v>72</v>
      </c>
      <c r="B481" t="s">
        <v>8433</v>
      </c>
      <c r="C481" t="s">
        <v>74</v>
      </c>
      <c r="D481" t="s">
        <v>74</v>
      </c>
      <c r="E481" t="s">
        <v>74</v>
      </c>
      <c r="F481" t="s">
        <v>8434</v>
      </c>
      <c r="G481" t="s">
        <v>74</v>
      </c>
      <c r="H481" t="s">
        <v>74</v>
      </c>
      <c r="I481" t="s">
        <v>8435</v>
      </c>
      <c r="J481" t="s">
        <v>5262</v>
      </c>
      <c r="K481" t="s">
        <v>74</v>
      </c>
      <c r="L481" t="s">
        <v>74</v>
      </c>
      <c r="M481" t="s">
        <v>77</v>
      </c>
      <c r="N481" t="s">
        <v>78</v>
      </c>
      <c r="O481" t="s">
        <v>74</v>
      </c>
      <c r="P481" t="s">
        <v>74</v>
      </c>
      <c r="Q481" t="s">
        <v>74</v>
      </c>
      <c r="R481" t="s">
        <v>74</v>
      </c>
      <c r="S481" t="s">
        <v>74</v>
      </c>
      <c r="T481" t="s">
        <v>8436</v>
      </c>
      <c r="U481" t="s">
        <v>8437</v>
      </c>
      <c r="V481" t="s">
        <v>8438</v>
      </c>
      <c r="W481" t="s">
        <v>8439</v>
      </c>
      <c r="X481" t="s">
        <v>8440</v>
      </c>
      <c r="Y481" t="s">
        <v>8441</v>
      </c>
      <c r="Z481" t="s">
        <v>8442</v>
      </c>
      <c r="AA481" t="s">
        <v>8443</v>
      </c>
      <c r="AB481" t="s">
        <v>74</v>
      </c>
      <c r="AC481" t="s">
        <v>8444</v>
      </c>
      <c r="AD481" t="s">
        <v>8445</v>
      </c>
      <c r="AE481" t="s">
        <v>8446</v>
      </c>
      <c r="AF481" t="s">
        <v>74</v>
      </c>
      <c r="AG481">
        <v>38</v>
      </c>
      <c r="AH481">
        <v>16</v>
      </c>
      <c r="AI481">
        <v>16</v>
      </c>
      <c r="AJ481">
        <v>5</v>
      </c>
      <c r="AK481">
        <v>39</v>
      </c>
      <c r="AL481" t="s">
        <v>665</v>
      </c>
      <c r="AM481" t="s">
        <v>666</v>
      </c>
      <c r="AN481" t="s">
        <v>667</v>
      </c>
      <c r="AO481" t="s">
        <v>5274</v>
      </c>
      <c r="AP481" t="s">
        <v>5275</v>
      </c>
      <c r="AQ481" t="s">
        <v>74</v>
      </c>
      <c r="AR481" t="s">
        <v>5276</v>
      </c>
      <c r="AS481" t="s">
        <v>5277</v>
      </c>
      <c r="AT481" t="s">
        <v>74</v>
      </c>
      <c r="AU481">
        <v>2017</v>
      </c>
      <c r="AV481">
        <v>30</v>
      </c>
      <c r="AW481">
        <v>7</v>
      </c>
      <c r="AX481" t="s">
        <v>74</v>
      </c>
      <c r="AY481" t="s">
        <v>74</v>
      </c>
      <c r="AZ481" t="s">
        <v>74</v>
      </c>
      <c r="BA481" t="s">
        <v>74</v>
      </c>
      <c r="BB481">
        <v>1184</v>
      </c>
      <c r="BC481">
        <v>1197</v>
      </c>
      <c r="BD481" t="s">
        <v>74</v>
      </c>
      <c r="BE481" t="s">
        <v>8447</v>
      </c>
      <c r="BF481" t="str">
        <f>HYPERLINK("http://dx.doi.org/10.1108/JOCM-06-2016-0109","http://dx.doi.org/10.1108/JOCM-06-2016-0109")</f>
        <v>http://dx.doi.org/10.1108/JOCM-06-2016-0109</v>
      </c>
      <c r="BG481" t="s">
        <v>74</v>
      </c>
      <c r="BH481" t="s">
        <v>74</v>
      </c>
      <c r="BI481">
        <v>14</v>
      </c>
      <c r="BJ481" t="s">
        <v>442</v>
      </c>
      <c r="BK481" t="s">
        <v>94</v>
      </c>
      <c r="BL481" t="s">
        <v>95</v>
      </c>
      <c r="BM481" t="s">
        <v>8448</v>
      </c>
      <c r="BN481" t="s">
        <v>74</v>
      </c>
      <c r="BO481" t="s">
        <v>74</v>
      </c>
      <c r="BP481" t="s">
        <v>74</v>
      </c>
      <c r="BQ481" t="s">
        <v>74</v>
      </c>
      <c r="BR481" t="s">
        <v>97</v>
      </c>
      <c r="BS481" t="s">
        <v>8449</v>
      </c>
      <c r="BT481" t="str">
        <f>HYPERLINK("https%3A%2F%2Fwww.webofscience.com%2Fwos%2Fwoscc%2Ffull-record%2FWOS:000414976400012","View Full Record in Web of Science")</f>
        <v>View Full Record in Web of Science</v>
      </c>
    </row>
    <row r="482" spans="1:72" x14ac:dyDescent="0.25">
      <c r="A482" t="s">
        <v>72</v>
      </c>
      <c r="B482" t="s">
        <v>8450</v>
      </c>
      <c r="C482" t="s">
        <v>74</v>
      </c>
      <c r="D482" t="s">
        <v>74</v>
      </c>
      <c r="E482" t="s">
        <v>74</v>
      </c>
      <c r="F482" t="s">
        <v>8451</v>
      </c>
      <c r="G482" t="s">
        <v>74</v>
      </c>
      <c r="H482" t="s">
        <v>74</v>
      </c>
      <c r="I482" t="s">
        <v>8452</v>
      </c>
      <c r="J482" t="s">
        <v>1951</v>
      </c>
      <c r="K482" t="s">
        <v>74</v>
      </c>
      <c r="L482" t="s">
        <v>74</v>
      </c>
      <c r="M482" t="s">
        <v>77</v>
      </c>
      <c r="N482" t="s">
        <v>78</v>
      </c>
      <c r="O482" t="s">
        <v>74</v>
      </c>
      <c r="P482" t="s">
        <v>74</v>
      </c>
      <c r="Q482" t="s">
        <v>74</v>
      </c>
      <c r="R482" t="s">
        <v>74</v>
      </c>
      <c r="S482" t="s">
        <v>74</v>
      </c>
      <c r="T482" t="s">
        <v>8453</v>
      </c>
      <c r="U482" t="s">
        <v>8454</v>
      </c>
      <c r="V482" t="s">
        <v>8455</v>
      </c>
      <c r="W482" t="s">
        <v>8456</v>
      </c>
      <c r="X482" t="s">
        <v>8457</v>
      </c>
      <c r="Y482" t="s">
        <v>8458</v>
      </c>
      <c r="Z482" t="s">
        <v>8459</v>
      </c>
      <c r="AA482" t="s">
        <v>8460</v>
      </c>
      <c r="AB482" t="s">
        <v>8461</v>
      </c>
      <c r="AC482" t="s">
        <v>74</v>
      </c>
      <c r="AD482" t="s">
        <v>74</v>
      </c>
      <c r="AE482" t="s">
        <v>74</v>
      </c>
      <c r="AF482" t="s">
        <v>74</v>
      </c>
      <c r="AG482">
        <v>78</v>
      </c>
      <c r="AH482">
        <v>16</v>
      </c>
      <c r="AI482">
        <v>16</v>
      </c>
      <c r="AJ482">
        <v>5</v>
      </c>
      <c r="AK482">
        <v>79</v>
      </c>
      <c r="AL482" t="s">
        <v>1099</v>
      </c>
      <c r="AM482" t="s">
        <v>305</v>
      </c>
      <c r="AN482" t="s">
        <v>1100</v>
      </c>
      <c r="AO482" t="s">
        <v>1963</v>
      </c>
      <c r="AP482" t="s">
        <v>1964</v>
      </c>
      <c r="AQ482" t="s">
        <v>74</v>
      </c>
      <c r="AR482" t="s">
        <v>1965</v>
      </c>
      <c r="AS482" t="s">
        <v>1966</v>
      </c>
      <c r="AT482" t="s">
        <v>74</v>
      </c>
      <c r="AU482">
        <v>2016</v>
      </c>
      <c r="AV482">
        <v>25</v>
      </c>
      <c r="AW482">
        <v>4</v>
      </c>
      <c r="AX482" t="s">
        <v>74</v>
      </c>
      <c r="AY482" t="s">
        <v>74</v>
      </c>
      <c r="AZ482" t="s">
        <v>860</v>
      </c>
      <c r="BA482" t="s">
        <v>74</v>
      </c>
      <c r="BB482">
        <v>583</v>
      </c>
      <c r="BC482">
        <v>596</v>
      </c>
      <c r="BD482" t="s">
        <v>74</v>
      </c>
      <c r="BE482" t="s">
        <v>8462</v>
      </c>
      <c r="BF482" t="str">
        <f>HYPERLINK("http://dx.doi.org/10.1080/1359432X.2016.1179285","http://dx.doi.org/10.1080/1359432X.2016.1179285")</f>
        <v>http://dx.doi.org/10.1080/1359432X.2016.1179285</v>
      </c>
      <c r="BG482" t="s">
        <v>74</v>
      </c>
      <c r="BH482" t="s">
        <v>74</v>
      </c>
      <c r="BI482">
        <v>14</v>
      </c>
      <c r="BJ482" t="s">
        <v>202</v>
      </c>
      <c r="BK482" t="s">
        <v>94</v>
      </c>
      <c r="BL482" t="s">
        <v>203</v>
      </c>
      <c r="BM482" t="s">
        <v>6300</v>
      </c>
      <c r="BN482" t="s">
        <v>74</v>
      </c>
      <c r="BO482" t="s">
        <v>74</v>
      </c>
      <c r="BP482" t="s">
        <v>74</v>
      </c>
      <c r="BQ482" t="s">
        <v>74</v>
      </c>
      <c r="BR482" t="s">
        <v>97</v>
      </c>
      <c r="BS482" t="s">
        <v>8463</v>
      </c>
      <c r="BT482" t="str">
        <f>HYPERLINK("https%3A%2F%2Fwww.webofscience.com%2Fwos%2Fwoscc%2Ffull-record%2FWOS:000378743900009","View Full Record in Web of Science")</f>
        <v>View Full Record in Web of Science</v>
      </c>
    </row>
    <row r="483" spans="1:72" x14ac:dyDescent="0.25">
      <c r="A483" t="s">
        <v>72</v>
      </c>
      <c r="B483" t="s">
        <v>8464</v>
      </c>
      <c r="C483" t="s">
        <v>74</v>
      </c>
      <c r="D483" t="s">
        <v>74</v>
      </c>
      <c r="E483" t="s">
        <v>74</v>
      </c>
      <c r="F483" t="s">
        <v>8465</v>
      </c>
      <c r="G483" t="s">
        <v>74</v>
      </c>
      <c r="H483" t="s">
        <v>74</v>
      </c>
      <c r="I483" t="s">
        <v>8466</v>
      </c>
      <c r="J483" t="s">
        <v>2228</v>
      </c>
      <c r="K483" t="s">
        <v>74</v>
      </c>
      <c r="L483" t="s">
        <v>74</v>
      </c>
      <c r="M483" t="s">
        <v>77</v>
      </c>
      <c r="N483" t="s">
        <v>78</v>
      </c>
      <c r="O483" t="s">
        <v>74</v>
      </c>
      <c r="P483" t="s">
        <v>74</v>
      </c>
      <c r="Q483" t="s">
        <v>74</v>
      </c>
      <c r="R483" t="s">
        <v>74</v>
      </c>
      <c r="S483" t="s">
        <v>74</v>
      </c>
      <c r="T483" t="s">
        <v>8467</v>
      </c>
      <c r="U483" t="s">
        <v>2773</v>
      </c>
      <c r="V483" t="s">
        <v>8468</v>
      </c>
      <c r="W483" t="s">
        <v>8469</v>
      </c>
      <c r="X483" t="s">
        <v>8470</v>
      </c>
      <c r="Y483" t="s">
        <v>8471</v>
      </c>
      <c r="Z483" t="s">
        <v>8472</v>
      </c>
      <c r="AA483" t="s">
        <v>2275</v>
      </c>
      <c r="AB483" t="s">
        <v>2276</v>
      </c>
      <c r="AC483" t="s">
        <v>74</v>
      </c>
      <c r="AD483" t="s">
        <v>74</v>
      </c>
      <c r="AE483" t="s">
        <v>74</v>
      </c>
      <c r="AF483" t="s">
        <v>74</v>
      </c>
      <c r="AG483">
        <v>35</v>
      </c>
      <c r="AH483">
        <v>16</v>
      </c>
      <c r="AI483">
        <v>16</v>
      </c>
      <c r="AJ483">
        <v>1</v>
      </c>
      <c r="AK483">
        <v>45</v>
      </c>
      <c r="AL483" t="s">
        <v>1099</v>
      </c>
      <c r="AM483" t="s">
        <v>305</v>
      </c>
      <c r="AN483" t="s">
        <v>2539</v>
      </c>
      <c r="AO483" t="s">
        <v>2239</v>
      </c>
      <c r="AP483" t="s">
        <v>2240</v>
      </c>
      <c r="AQ483" t="s">
        <v>74</v>
      </c>
      <c r="AR483" t="s">
        <v>2241</v>
      </c>
      <c r="AS483" t="s">
        <v>2242</v>
      </c>
      <c r="AT483" t="s">
        <v>8473</v>
      </c>
      <c r="AU483">
        <v>2014</v>
      </c>
      <c r="AV483">
        <v>16</v>
      </c>
      <c r="AW483">
        <v>2</v>
      </c>
      <c r="AX483" t="s">
        <v>74</v>
      </c>
      <c r="AY483" t="s">
        <v>74</v>
      </c>
      <c r="AZ483" t="s">
        <v>860</v>
      </c>
      <c r="BA483" t="s">
        <v>74</v>
      </c>
      <c r="BB483">
        <v>173</v>
      </c>
      <c r="BC483">
        <v>198</v>
      </c>
      <c r="BD483" t="s">
        <v>74</v>
      </c>
      <c r="BE483" t="s">
        <v>8474</v>
      </c>
      <c r="BF483" t="str">
        <f>HYPERLINK("http://dx.doi.org/10.1080/14719037.2012.757347","http://dx.doi.org/10.1080/14719037.2012.757347")</f>
        <v>http://dx.doi.org/10.1080/14719037.2012.757347</v>
      </c>
      <c r="BG483" t="s">
        <v>74</v>
      </c>
      <c r="BH483" t="s">
        <v>74</v>
      </c>
      <c r="BI483">
        <v>26</v>
      </c>
      <c r="BJ483" t="s">
        <v>2245</v>
      </c>
      <c r="BK483" t="s">
        <v>94</v>
      </c>
      <c r="BL483" t="s">
        <v>2246</v>
      </c>
      <c r="BM483" t="s">
        <v>8475</v>
      </c>
      <c r="BN483" t="s">
        <v>74</v>
      </c>
      <c r="BO483" t="s">
        <v>74</v>
      </c>
      <c r="BP483" t="s">
        <v>74</v>
      </c>
      <c r="BQ483" t="s">
        <v>74</v>
      </c>
      <c r="BR483" t="s">
        <v>97</v>
      </c>
      <c r="BS483" t="s">
        <v>8476</v>
      </c>
      <c r="BT483" t="str">
        <f>HYPERLINK("https%3A%2F%2Fwww.webofscience.com%2Fwos%2Fwoscc%2Ffull-record%2FWOS:000332197800002","View Full Record in Web of Science")</f>
        <v>View Full Record in Web of Science</v>
      </c>
    </row>
    <row r="484" spans="1:72" x14ac:dyDescent="0.25">
      <c r="A484" t="s">
        <v>72</v>
      </c>
      <c r="B484" t="s">
        <v>8477</v>
      </c>
      <c r="C484" t="s">
        <v>74</v>
      </c>
      <c r="D484" t="s">
        <v>74</v>
      </c>
      <c r="E484" t="s">
        <v>74</v>
      </c>
      <c r="F484" t="s">
        <v>8478</v>
      </c>
      <c r="G484" t="s">
        <v>74</v>
      </c>
      <c r="H484" t="s">
        <v>74</v>
      </c>
      <c r="I484" t="s">
        <v>8479</v>
      </c>
      <c r="J484" t="s">
        <v>3931</v>
      </c>
      <c r="K484" t="s">
        <v>74</v>
      </c>
      <c r="L484" t="s">
        <v>74</v>
      </c>
      <c r="M484" t="s">
        <v>77</v>
      </c>
      <c r="N484" t="s">
        <v>78</v>
      </c>
      <c r="O484" t="s">
        <v>74</v>
      </c>
      <c r="P484" t="s">
        <v>74</v>
      </c>
      <c r="Q484" t="s">
        <v>74</v>
      </c>
      <c r="R484" t="s">
        <v>74</v>
      </c>
      <c r="S484" t="s">
        <v>74</v>
      </c>
      <c r="T484" t="s">
        <v>8480</v>
      </c>
      <c r="U484" t="s">
        <v>8481</v>
      </c>
      <c r="V484" t="s">
        <v>8482</v>
      </c>
      <c r="W484" t="s">
        <v>8483</v>
      </c>
      <c r="X484" t="s">
        <v>8484</v>
      </c>
      <c r="Y484" t="s">
        <v>8485</v>
      </c>
      <c r="Z484" t="s">
        <v>8486</v>
      </c>
      <c r="AA484" t="s">
        <v>74</v>
      </c>
      <c r="AB484" t="s">
        <v>74</v>
      </c>
      <c r="AC484" t="s">
        <v>74</v>
      </c>
      <c r="AD484" t="s">
        <v>74</v>
      </c>
      <c r="AE484" t="s">
        <v>74</v>
      </c>
      <c r="AF484" t="s">
        <v>74</v>
      </c>
      <c r="AG484">
        <v>90</v>
      </c>
      <c r="AH484">
        <v>16</v>
      </c>
      <c r="AI484">
        <v>17</v>
      </c>
      <c r="AJ484">
        <v>3</v>
      </c>
      <c r="AK484">
        <v>63</v>
      </c>
      <c r="AL484" t="s">
        <v>665</v>
      </c>
      <c r="AM484" t="s">
        <v>666</v>
      </c>
      <c r="AN484" t="s">
        <v>667</v>
      </c>
      <c r="AO484" t="s">
        <v>3939</v>
      </c>
      <c r="AP484" t="s">
        <v>3940</v>
      </c>
      <c r="AQ484" t="s">
        <v>74</v>
      </c>
      <c r="AR484" t="s">
        <v>3941</v>
      </c>
      <c r="AS484" t="s">
        <v>3942</v>
      </c>
      <c r="AT484" t="s">
        <v>74</v>
      </c>
      <c r="AU484">
        <v>2014</v>
      </c>
      <c r="AV484">
        <v>35</v>
      </c>
      <c r="AW484">
        <v>8</v>
      </c>
      <c r="AX484" t="s">
        <v>74</v>
      </c>
      <c r="AY484" t="s">
        <v>74</v>
      </c>
      <c r="AZ484" t="s">
        <v>74</v>
      </c>
      <c r="BA484" t="s">
        <v>74</v>
      </c>
      <c r="BB484">
        <v>691</v>
      </c>
      <c r="BC484">
        <v>709</v>
      </c>
      <c r="BD484" t="s">
        <v>74</v>
      </c>
      <c r="BE484" t="s">
        <v>8487</v>
      </c>
      <c r="BF484" t="str">
        <f>HYPERLINK("http://dx.doi.org/10.1108/LODJ-09-2012-0117","http://dx.doi.org/10.1108/LODJ-09-2012-0117")</f>
        <v>http://dx.doi.org/10.1108/LODJ-09-2012-0117</v>
      </c>
      <c r="BG484" t="s">
        <v>74</v>
      </c>
      <c r="BH484" t="s">
        <v>74</v>
      </c>
      <c r="BI484">
        <v>19</v>
      </c>
      <c r="BJ484" t="s">
        <v>442</v>
      </c>
      <c r="BK484" t="s">
        <v>94</v>
      </c>
      <c r="BL484" t="s">
        <v>95</v>
      </c>
      <c r="BM484" t="s">
        <v>8488</v>
      </c>
      <c r="BN484" t="s">
        <v>74</v>
      </c>
      <c r="BO484" t="s">
        <v>74</v>
      </c>
      <c r="BP484" t="s">
        <v>74</v>
      </c>
      <c r="BQ484" t="s">
        <v>74</v>
      </c>
      <c r="BR484" t="s">
        <v>97</v>
      </c>
      <c r="BS484" t="s">
        <v>8489</v>
      </c>
      <c r="BT484" t="str">
        <f>HYPERLINK("https%3A%2F%2Fwww.webofscience.com%2Fwos%2Fwoscc%2Ffull-record%2FWOS:000343384900002","View Full Record in Web of Science")</f>
        <v>View Full Record in Web of Science</v>
      </c>
    </row>
    <row r="485" spans="1:72" x14ac:dyDescent="0.25">
      <c r="A485" t="s">
        <v>72</v>
      </c>
      <c r="B485" t="s">
        <v>8490</v>
      </c>
      <c r="C485" t="s">
        <v>74</v>
      </c>
      <c r="D485" t="s">
        <v>74</v>
      </c>
      <c r="E485" t="s">
        <v>74</v>
      </c>
      <c r="F485" t="s">
        <v>8491</v>
      </c>
      <c r="G485" t="s">
        <v>74</v>
      </c>
      <c r="H485" t="s">
        <v>74</v>
      </c>
      <c r="I485" t="s">
        <v>8492</v>
      </c>
      <c r="J485" t="s">
        <v>2771</v>
      </c>
      <c r="K485" t="s">
        <v>74</v>
      </c>
      <c r="L485" t="s">
        <v>74</v>
      </c>
      <c r="M485" t="s">
        <v>77</v>
      </c>
      <c r="N485" t="s">
        <v>78</v>
      </c>
      <c r="O485" t="s">
        <v>74</v>
      </c>
      <c r="P485" t="s">
        <v>74</v>
      </c>
      <c r="Q485" t="s">
        <v>74</v>
      </c>
      <c r="R485" t="s">
        <v>74</v>
      </c>
      <c r="S485" t="s">
        <v>74</v>
      </c>
      <c r="T485" t="s">
        <v>8493</v>
      </c>
      <c r="U485" t="s">
        <v>8494</v>
      </c>
      <c r="V485" t="s">
        <v>8495</v>
      </c>
      <c r="W485" t="s">
        <v>8496</v>
      </c>
      <c r="X485" t="s">
        <v>2776</v>
      </c>
      <c r="Y485" t="s">
        <v>8497</v>
      </c>
      <c r="Z485" t="s">
        <v>5507</v>
      </c>
      <c r="AA485" t="s">
        <v>74</v>
      </c>
      <c r="AB485" t="s">
        <v>74</v>
      </c>
      <c r="AC485" t="s">
        <v>74</v>
      </c>
      <c r="AD485" t="s">
        <v>74</v>
      </c>
      <c r="AE485" t="s">
        <v>74</v>
      </c>
      <c r="AF485" t="s">
        <v>74</v>
      </c>
      <c r="AG485">
        <v>28</v>
      </c>
      <c r="AH485">
        <v>16</v>
      </c>
      <c r="AI485">
        <v>16</v>
      </c>
      <c r="AJ485">
        <v>1</v>
      </c>
      <c r="AK485">
        <v>32</v>
      </c>
      <c r="AL485" t="s">
        <v>665</v>
      </c>
      <c r="AM485" t="s">
        <v>666</v>
      </c>
      <c r="AN485" t="s">
        <v>667</v>
      </c>
      <c r="AO485" t="s">
        <v>2781</v>
      </c>
      <c r="AP485" t="s">
        <v>2782</v>
      </c>
      <c r="AQ485" t="s">
        <v>74</v>
      </c>
      <c r="AR485" t="s">
        <v>2771</v>
      </c>
      <c r="AS485" t="s">
        <v>2783</v>
      </c>
      <c r="AT485" t="s">
        <v>74</v>
      </c>
      <c r="AU485">
        <v>2014</v>
      </c>
      <c r="AV485">
        <v>43</v>
      </c>
      <c r="AW485" t="s">
        <v>1478</v>
      </c>
      <c r="AX485" t="s">
        <v>74</v>
      </c>
      <c r="AY485" t="s">
        <v>74</v>
      </c>
      <c r="AZ485" t="s">
        <v>74</v>
      </c>
      <c r="BA485" t="s">
        <v>74</v>
      </c>
      <c r="BB485">
        <v>652</v>
      </c>
      <c r="BC485">
        <v>666</v>
      </c>
      <c r="BD485" t="s">
        <v>74</v>
      </c>
      <c r="BE485" t="s">
        <v>8498</v>
      </c>
      <c r="BF485" t="str">
        <f>HYPERLINK("http://dx.doi.org/10.1108/K-09-2013-0211","http://dx.doi.org/10.1108/K-09-2013-0211")</f>
        <v>http://dx.doi.org/10.1108/K-09-2013-0211</v>
      </c>
      <c r="BG485" t="s">
        <v>74</v>
      </c>
      <c r="BH485" t="s">
        <v>74</v>
      </c>
      <c r="BI485">
        <v>15</v>
      </c>
      <c r="BJ485" t="s">
        <v>2785</v>
      </c>
      <c r="BK485" t="s">
        <v>147</v>
      </c>
      <c r="BL485" t="s">
        <v>2786</v>
      </c>
      <c r="BM485" t="s">
        <v>8499</v>
      </c>
      <c r="BN485" t="s">
        <v>74</v>
      </c>
      <c r="BO485" t="s">
        <v>74</v>
      </c>
      <c r="BP485" t="s">
        <v>74</v>
      </c>
      <c r="BQ485" t="s">
        <v>74</v>
      </c>
      <c r="BR485" t="s">
        <v>97</v>
      </c>
      <c r="BS485" t="s">
        <v>8500</v>
      </c>
      <c r="BT485" t="str">
        <f>HYPERLINK("https%3A%2F%2Fwww.webofscience.com%2Fwos%2Fwoscc%2Ffull-record%2FWOS:000334146900021","View Full Record in Web of Science")</f>
        <v>View Full Record in Web of Science</v>
      </c>
    </row>
    <row r="486" spans="1:72" x14ac:dyDescent="0.25">
      <c r="A486" t="s">
        <v>72</v>
      </c>
      <c r="B486" t="s">
        <v>8501</v>
      </c>
      <c r="C486" t="s">
        <v>74</v>
      </c>
      <c r="D486" t="s">
        <v>74</v>
      </c>
      <c r="E486" t="s">
        <v>74</v>
      </c>
      <c r="F486" t="s">
        <v>8502</v>
      </c>
      <c r="G486" t="s">
        <v>74</v>
      </c>
      <c r="H486" t="s">
        <v>74</v>
      </c>
      <c r="I486" t="s">
        <v>8503</v>
      </c>
      <c r="J486" t="s">
        <v>8504</v>
      </c>
      <c r="K486" t="s">
        <v>74</v>
      </c>
      <c r="L486" t="s">
        <v>74</v>
      </c>
      <c r="M486" t="s">
        <v>77</v>
      </c>
      <c r="N486" t="s">
        <v>78</v>
      </c>
      <c r="O486" t="s">
        <v>74</v>
      </c>
      <c r="P486" t="s">
        <v>74</v>
      </c>
      <c r="Q486" t="s">
        <v>74</v>
      </c>
      <c r="R486" t="s">
        <v>74</v>
      </c>
      <c r="S486" t="s">
        <v>74</v>
      </c>
      <c r="T486" t="s">
        <v>8505</v>
      </c>
      <c r="U486" t="s">
        <v>8506</v>
      </c>
      <c r="V486" t="s">
        <v>8507</v>
      </c>
      <c r="W486" t="s">
        <v>8508</v>
      </c>
      <c r="X486" t="s">
        <v>2084</v>
      </c>
      <c r="Y486" t="s">
        <v>8509</v>
      </c>
      <c r="Z486" t="s">
        <v>8510</v>
      </c>
      <c r="AA486" t="s">
        <v>8511</v>
      </c>
      <c r="AB486" t="s">
        <v>8512</v>
      </c>
      <c r="AC486" t="s">
        <v>74</v>
      </c>
      <c r="AD486" t="s">
        <v>74</v>
      </c>
      <c r="AE486" t="s">
        <v>74</v>
      </c>
      <c r="AF486" t="s">
        <v>74</v>
      </c>
      <c r="AG486">
        <v>87</v>
      </c>
      <c r="AH486">
        <v>16</v>
      </c>
      <c r="AI486">
        <v>16</v>
      </c>
      <c r="AJ486">
        <v>1</v>
      </c>
      <c r="AK486">
        <v>37</v>
      </c>
      <c r="AL486" t="s">
        <v>350</v>
      </c>
      <c r="AM486" t="s">
        <v>351</v>
      </c>
      <c r="AN486" t="s">
        <v>352</v>
      </c>
      <c r="AO486" t="s">
        <v>8513</v>
      </c>
      <c r="AP486" t="s">
        <v>8514</v>
      </c>
      <c r="AQ486" t="s">
        <v>74</v>
      </c>
      <c r="AR486" t="s">
        <v>8515</v>
      </c>
      <c r="AS486" t="s">
        <v>8516</v>
      </c>
      <c r="AT486" t="s">
        <v>584</v>
      </c>
      <c r="AU486">
        <v>2012</v>
      </c>
      <c r="AV486">
        <v>30</v>
      </c>
      <c r="AW486">
        <v>4</v>
      </c>
      <c r="AX486" t="s">
        <v>74</v>
      </c>
      <c r="AY486" t="s">
        <v>74</v>
      </c>
      <c r="AZ486" t="s">
        <v>74</v>
      </c>
      <c r="BA486" t="s">
        <v>74</v>
      </c>
      <c r="BB486">
        <v>434</v>
      </c>
      <c r="BC486">
        <v>447</v>
      </c>
      <c r="BD486" t="s">
        <v>74</v>
      </c>
      <c r="BE486" t="s">
        <v>8517</v>
      </c>
      <c r="BF486" t="str">
        <f>HYPERLINK("http://dx.doi.org/10.1177/0894439311427246","http://dx.doi.org/10.1177/0894439311427246")</f>
        <v>http://dx.doi.org/10.1177/0894439311427246</v>
      </c>
      <c r="BG486" t="s">
        <v>74</v>
      </c>
      <c r="BH486" t="s">
        <v>74</v>
      </c>
      <c r="BI486">
        <v>14</v>
      </c>
      <c r="BJ486" t="s">
        <v>8518</v>
      </c>
      <c r="BK486" t="s">
        <v>147</v>
      </c>
      <c r="BL486" t="s">
        <v>8519</v>
      </c>
      <c r="BM486" t="s">
        <v>8520</v>
      </c>
      <c r="BN486" t="s">
        <v>74</v>
      </c>
      <c r="BO486" t="s">
        <v>74</v>
      </c>
      <c r="BP486" t="s">
        <v>74</v>
      </c>
      <c r="BQ486" t="s">
        <v>74</v>
      </c>
      <c r="BR486" t="s">
        <v>97</v>
      </c>
      <c r="BS486" t="s">
        <v>8521</v>
      </c>
      <c r="BT486" t="str">
        <f>HYPERLINK("https%3A%2F%2Fwww.webofscience.com%2Fwos%2Fwoscc%2Ffull-record%2FWOS:000309478100003","View Full Record in Web of Science")</f>
        <v>View Full Record in Web of Science</v>
      </c>
    </row>
    <row r="487" spans="1:72" x14ac:dyDescent="0.25">
      <c r="A487" t="s">
        <v>72</v>
      </c>
      <c r="B487" t="s">
        <v>8522</v>
      </c>
      <c r="C487" t="s">
        <v>74</v>
      </c>
      <c r="D487" t="s">
        <v>74</v>
      </c>
      <c r="E487" t="s">
        <v>74</v>
      </c>
      <c r="F487" t="s">
        <v>8522</v>
      </c>
      <c r="G487" t="s">
        <v>74</v>
      </c>
      <c r="H487" t="s">
        <v>74</v>
      </c>
      <c r="I487" t="s">
        <v>8523</v>
      </c>
      <c r="J487" t="s">
        <v>8524</v>
      </c>
      <c r="K487" t="s">
        <v>74</v>
      </c>
      <c r="L487" t="s">
        <v>74</v>
      </c>
      <c r="M487" t="s">
        <v>77</v>
      </c>
      <c r="N487" t="s">
        <v>78</v>
      </c>
      <c r="O487" t="s">
        <v>74</v>
      </c>
      <c r="P487" t="s">
        <v>74</v>
      </c>
      <c r="Q487" t="s">
        <v>74</v>
      </c>
      <c r="R487" t="s">
        <v>74</v>
      </c>
      <c r="S487" t="s">
        <v>74</v>
      </c>
      <c r="T487" t="s">
        <v>74</v>
      </c>
      <c r="U487" t="s">
        <v>74</v>
      </c>
      <c r="V487" t="s">
        <v>8525</v>
      </c>
      <c r="W487" t="s">
        <v>8526</v>
      </c>
      <c r="X487" t="s">
        <v>8527</v>
      </c>
      <c r="Y487" t="s">
        <v>8528</v>
      </c>
      <c r="Z487" t="s">
        <v>8529</v>
      </c>
      <c r="AA487" t="s">
        <v>74</v>
      </c>
      <c r="AB487" t="s">
        <v>74</v>
      </c>
      <c r="AC487" t="s">
        <v>74</v>
      </c>
      <c r="AD487" t="s">
        <v>74</v>
      </c>
      <c r="AE487" t="s">
        <v>74</v>
      </c>
      <c r="AF487" t="s">
        <v>74</v>
      </c>
      <c r="AG487">
        <v>29</v>
      </c>
      <c r="AH487">
        <v>16</v>
      </c>
      <c r="AI487">
        <v>17</v>
      </c>
      <c r="AJ487">
        <v>0</v>
      </c>
      <c r="AK487">
        <v>10</v>
      </c>
      <c r="AL487" t="s">
        <v>786</v>
      </c>
      <c r="AM487" t="s">
        <v>787</v>
      </c>
      <c r="AN487" t="s">
        <v>788</v>
      </c>
      <c r="AO487" t="s">
        <v>8530</v>
      </c>
      <c r="AP487" t="s">
        <v>74</v>
      </c>
      <c r="AQ487" t="s">
        <v>74</v>
      </c>
      <c r="AR487" t="s">
        <v>8531</v>
      </c>
      <c r="AS487" t="s">
        <v>8532</v>
      </c>
      <c r="AT487" t="s">
        <v>74</v>
      </c>
      <c r="AU487">
        <v>2003</v>
      </c>
      <c r="AV487">
        <v>25</v>
      </c>
      <c r="AW487">
        <v>1</v>
      </c>
      <c r="AX487" t="s">
        <v>74</v>
      </c>
      <c r="AY487" t="s">
        <v>74</v>
      </c>
      <c r="AZ487" t="s">
        <v>74</v>
      </c>
      <c r="BA487" t="s">
        <v>74</v>
      </c>
      <c r="BB487">
        <v>79</v>
      </c>
      <c r="BC487">
        <v>90</v>
      </c>
      <c r="BD487" t="s">
        <v>74</v>
      </c>
      <c r="BE487" t="s">
        <v>8533</v>
      </c>
      <c r="BF487" t="str">
        <f>HYPERLINK("http://dx.doi.org/10.1111/1467-9906.t01-1-00006","http://dx.doi.org/10.1111/1467-9906.t01-1-00006")</f>
        <v>http://dx.doi.org/10.1111/1467-9906.t01-1-00006</v>
      </c>
      <c r="BG487" t="s">
        <v>74</v>
      </c>
      <c r="BH487" t="s">
        <v>74</v>
      </c>
      <c r="BI487">
        <v>12</v>
      </c>
      <c r="BJ487" t="s">
        <v>8534</v>
      </c>
      <c r="BK487" t="s">
        <v>94</v>
      </c>
      <c r="BL487" t="s">
        <v>8534</v>
      </c>
      <c r="BM487" t="s">
        <v>8535</v>
      </c>
      <c r="BN487" t="s">
        <v>74</v>
      </c>
      <c r="BO487" t="s">
        <v>74</v>
      </c>
      <c r="BP487" t="s">
        <v>74</v>
      </c>
      <c r="BQ487" t="s">
        <v>74</v>
      </c>
      <c r="BR487" t="s">
        <v>97</v>
      </c>
      <c r="BS487" t="s">
        <v>8536</v>
      </c>
      <c r="BT487" t="str">
        <f>HYPERLINK("https%3A%2F%2Fwww.webofscience.com%2Fwos%2Fwoscc%2Ffull-record%2FWOS:000181556700006","View Full Record in Web of Science")</f>
        <v>View Full Record in Web of Science</v>
      </c>
    </row>
    <row r="488" spans="1:72" x14ac:dyDescent="0.25">
      <c r="A488" t="s">
        <v>72</v>
      </c>
      <c r="B488" t="s">
        <v>8537</v>
      </c>
      <c r="C488" t="s">
        <v>74</v>
      </c>
      <c r="D488" t="s">
        <v>74</v>
      </c>
      <c r="E488" t="s">
        <v>74</v>
      </c>
      <c r="F488" t="s">
        <v>8537</v>
      </c>
      <c r="G488" t="s">
        <v>74</v>
      </c>
      <c r="H488" t="s">
        <v>74</v>
      </c>
      <c r="I488" t="s">
        <v>8538</v>
      </c>
      <c r="J488" t="s">
        <v>8539</v>
      </c>
      <c r="K488" t="s">
        <v>74</v>
      </c>
      <c r="L488" t="s">
        <v>74</v>
      </c>
      <c r="M488" t="s">
        <v>77</v>
      </c>
      <c r="N488" t="s">
        <v>78</v>
      </c>
      <c r="O488" t="s">
        <v>74</v>
      </c>
      <c r="P488" t="s">
        <v>74</v>
      </c>
      <c r="Q488" t="s">
        <v>74</v>
      </c>
      <c r="R488" t="s">
        <v>74</v>
      </c>
      <c r="S488" t="s">
        <v>74</v>
      </c>
      <c r="T488" t="s">
        <v>74</v>
      </c>
      <c r="U488" t="s">
        <v>74</v>
      </c>
      <c r="V488" t="s">
        <v>74</v>
      </c>
      <c r="W488" t="s">
        <v>8540</v>
      </c>
      <c r="X488" t="s">
        <v>74</v>
      </c>
      <c r="Y488" t="s">
        <v>74</v>
      </c>
      <c r="Z488" t="s">
        <v>74</v>
      </c>
      <c r="AA488" t="s">
        <v>74</v>
      </c>
      <c r="AB488" t="s">
        <v>74</v>
      </c>
      <c r="AC488" t="s">
        <v>74</v>
      </c>
      <c r="AD488" t="s">
        <v>74</v>
      </c>
      <c r="AE488" t="s">
        <v>74</v>
      </c>
      <c r="AF488" t="s">
        <v>74</v>
      </c>
      <c r="AG488">
        <v>69</v>
      </c>
      <c r="AH488">
        <v>16</v>
      </c>
      <c r="AI488">
        <v>16</v>
      </c>
      <c r="AJ488">
        <v>0</v>
      </c>
      <c r="AK488">
        <v>1</v>
      </c>
      <c r="AL488" t="s">
        <v>8541</v>
      </c>
      <c r="AM488" t="s">
        <v>955</v>
      </c>
      <c r="AN488" t="s">
        <v>8542</v>
      </c>
      <c r="AO488" t="s">
        <v>8543</v>
      </c>
      <c r="AP488" t="s">
        <v>74</v>
      </c>
      <c r="AQ488" t="s">
        <v>74</v>
      </c>
      <c r="AR488" t="s">
        <v>8544</v>
      </c>
      <c r="AS488" t="s">
        <v>74</v>
      </c>
      <c r="AT488" t="s">
        <v>74</v>
      </c>
      <c r="AU488">
        <v>1972</v>
      </c>
      <c r="AV488">
        <v>21</v>
      </c>
      <c r="AW488">
        <v>4</v>
      </c>
      <c r="AX488" t="s">
        <v>74</v>
      </c>
      <c r="AY488" t="s">
        <v>74</v>
      </c>
      <c r="AZ488" t="s">
        <v>74</v>
      </c>
      <c r="BA488" t="s">
        <v>74</v>
      </c>
      <c r="BB488">
        <v>435</v>
      </c>
      <c r="BC488">
        <v>456</v>
      </c>
      <c r="BD488" t="s">
        <v>74</v>
      </c>
      <c r="BE488" t="s">
        <v>8545</v>
      </c>
      <c r="BF488" t="str">
        <f>HYPERLINK("http://dx.doi.org/10.2307/582687","http://dx.doi.org/10.2307/582687")</f>
        <v>http://dx.doi.org/10.2307/582687</v>
      </c>
      <c r="BG488" t="s">
        <v>74</v>
      </c>
      <c r="BH488" t="s">
        <v>74</v>
      </c>
      <c r="BI488">
        <v>22</v>
      </c>
      <c r="BJ488" t="s">
        <v>8546</v>
      </c>
      <c r="BK488" t="s">
        <v>94</v>
      </c>
      <c r="BL488" t="s">
        <v>8546</v>
      </c>
      <c r="BM488" t="s">
        <v>8547</v>
      </c>
      <c r="BN488" t="s">
        <v>74</v>
      </c>
      <c r="BO488" t="s">
        <v>74</v>
      </c>
      <c r="BP488" t="s">
        <v>74</v>
      </c>
      <c r="BQ488" t="s">
        <v>74</v>
      </c>
      <c r="BR488" t="s">
        <v>97</v>
      </c>
      <c r="BS488" t="s">
        <v>8548</v>
      </c>
      <c r="BT488" t="str">
        <f>HYPERLINK("https%3A%2F%2Fwww.webofscience.com%2Fwos%2Fwoscc%2Ffull-record%2FWOS:A1972N707200008","View Full Record in Web of Science")</f>
        <v>View Full Record in Web of Science</v>
      </c>
    </row>
    <row r="489" spans="1:72" x14ac:dyDescent="0.25">
      <c r="A489" t="s">
        <v>72</v>
      </c>
      <c r="B489" t="s">
        <v>8549</v>
      </c>
      <c r="C489" t="s">
        <v>74</v>
      </c>
      <c r="D489" t="s">
        <v>74</v>
      </c>
      <c r="E489" t="s">
        <v>74</v>
      </c>
      <c r="F489" t="s">
        <v>8550</v>
      </c>
      <c r="G489" t="s">
        <v>74</v>
      </c>
      <c r="H489" t="s">
        <v>74</v>
      </c>
      <c r="I489" t="s">
        <v>8551</v>
      </c>
      <c r="J489" t="s">
        <v>616</v>
      </c>
      <c r="K489" t="s">
        <v>74</v>
      </c>
      <c r="L489" t="s">
        <v>74</v>
      </c>
      <c r="M489" t="s">
        <v>77</v>
      </c>
      <c r="N489" t="s">
        <v>78</v>
      </c>
      <c r="O489" t="s">
        <v>74</v>
      </c>
      <c r="P489" t="s">
        <v>74</v>
      </c>
      <c r="Q489" t="s">
        <v>74</v>
      </c>
      <c r="R489" t="s">
        <v>74</v>
      </c>
      <c r="S489" t="s">
        <v>74</v>
      </c>
      <c r="T489" t="s">
        <v>8552</v>
      </c>
      <c r="U489" t="s">
        <v>8553</v>
      </c>
      <c r="V489" t="s">
        <v>8554</v>
      </c>
      <c r="W489" t="s">
        <v>8555</v>
      </c>
      <c r="X489" t="s">
        <v>3631</v>
      </c>
      <c r="Y489" t="s">
        <v>8556</v>
      </c>
      <c r="Z489" t="s">
        <v>8557</v>
      </c>
      <c r="AA489" t="s">
        <v>74</v>
      </c>
      <c r="AB489" t="s">
        <v>74</v>
      </c>
      <c r="AC489" t="s">
        <v>74</v>
      </c>
      <c r="AD489" t="s">
        <v>74</v>
      </c>
      <c r="AE489" t="s">
        <v>74</v>
      </c>
      <c r="AF489" t="s">
        <v>74</v>
      </c>
      <c r="AG489">
        <v>137</v>
      </c>
      <c r="AH489">
        <v>15</v>
      </c>
      <c r="AI489">
        <v>15</v>
      </c>
      <c r="AJ489">
        <v>17</v>
      </c>
      <c r="AK489">
        <v>63</v>
      </c>
      <c r="AL489" t="s">
        <v>602</v>
      </c>
      <c r="AM489" t="s">
        <v>160</v>
      </c>
      <c r="AN489" t="s">
        <v>603</v>
      </c>
      <c r="AO489" t="s">
        <v>625</v>
      </c>
      <c r="AP489" t="s">
        <v>626</v>
      </c>
      <c r="AQ489" t="s">
        <v>74</v>
      </c>
      <c r="AR489" t="s">
        <v>627</v>
      </c>
      <c r="AS489" t="s">
        <v>628</v>
      </c>
      <c r="AT489" t="s">
        <v>256</v>
      </c>
      <c r="AU489">
        <v>2021</v>
      </c>
      <c r="AV489">
        <v>99</v>
      </c>
      <c r="AW489" t="s">
        <v>74</v>
      </c>
      <c r="AX489" t="s">
        <v>74</v>
      </c>
      <c r="AY489" t="s">
        <v>74</v>
      </c>
      <c r="AZ489" t="s">
        <v>74</v>
      </c>
      <c r="BA489" t="s">
        <v>74</v>
      </c>
      <c r="BB489" t="s">
        <v>74</v>
      </c>
      <c r="BC489" t="s">
        <v>74</v>
      </c>
      <c r="BD489">
        <v>103045</v>
      </c>
      <c r="BE489" t="s">
        <v>8558</v>
      </c>
      <c r="BF489" t="str">
        <f>HYPERLINK("http://dx.doi.org/10.1016/j.ijhm.2021.103045","http://dx.doi.org/10.1016/j.ijhm.2021.103045")</f>
        <v>http://dx.doi.org/10.1016/j.ijhm.2021.103045</v>
      </c>
      <c r="BG489" t="s">
        <v>74</v>
      </c>
      <c r="BH489" t="s">
        <v>7655</v>
      </c>
      <c r="BI489">
        <v>14</v>
      </c>
      <c r="BJ489" t="s">
        <v>630</v>
      </c>
      <c r="BK489" t="s">
        <v>94</v>
      </c>
      <c r="BL489" t="s">
        <v>631</v>
      </c>
      <c r="BM489" t="s">
        <v>8559</v>
      </c>
      <c r="BN489" t="s">
        <v>74</v>
      </c>
      <c r="BO489" t="s">
        <v>74</v>
      </c>
      <c r="BP489" t="s">
        <v>74</v>
      </c>
      <c r="BQ489" t="s">
        <v>74</v>
      </c>
      <c r="BR489" t="s">
        <v>97</v>
      </c>
      <c r="BS489" t="s">
        <v>8560</v>
      </c>
      <c r="BT489" t="str">
        <f>HYPERLINK("https%3A%2F%2Fwww.webofscience.com%2Fwos%2Fwoscc%2Ffull-record%2FWOS:000704739000005","View Full Record in Web of Science")</f>
        <v>View Full Record in Web of Science</v>
      </c>
    </row>
    <row r="490" spans="1:72" x14ac:dyDescent="0.25">
      <c r="A490" t="s">
        <v>72</v>
      </c>
      <c r="B490" t="s">
        <v>8561</v>
      </c>
      <c r="C490" t="s">
        <v>74</v>
      </c>
      <c r="D490" t="s">
        <v>74</v>
      </c>
      <c r="E490" t="s">
        <v>74</v>
      </c>
      <c r="F490" t="s">
        <v>8562</v>
      </c>
      <c r="G490" t="s">
        <v>74</v>
      </c>
      <c r="H490" t="s">
        <v>74</v>
      </c>
      <c r="I490" t="s">
        <v>8563</v>
      </c>
      <c r="J490" t="s">
        <v>616</v>
      </c>
      <c r="K490" t="s">
        <v>74</v>
      </c>
      <c r="L490" t="s">
        <v>74</v>
      </c>
      <c r="M490" t="s">
        <v>77</v>
      </c>
      <c r="N490" t="s">
        <v>78</v>
      </c>
      <c r="O490" t="s">
        <v>74</v>
      </c>
      <c r="P490" t="s">
        <v>74</v>
      </c>
      <c r="Q490" t="s">
        <v>74</v>
      </c>
      <c r="R490" t="s">
        <v>74</v>
      </c>
      <c r="S490" t="s">
        <v>74</v>
      </c>
      <c r="T490" t="s">
        <v>8564</v>
      </c>
      <c r="U490" t="s">
        <v>8565</v>
      </c>
      <c r="V490" t="s">
        <v>8566</v>
      </c>
      <c r="W490" t="s">
        <v>8567</v>
      </c>
      <c r="X490" t="s">
        <v>3631</v>
      </c>
      <c r="Y490" t="s">
        <v>8568</v>
      </c>
      <c r="Z490" t="s">
        <v>8569</v>
      </c>
      <c r="AA490" t="s">
        <v>8570</v>
      </c>
      <c r="AB490" t="s">
        <v>8571</v>
      </c>
      <c r="AC490" t="s">
        <v>74</v>
      </c>
      <c r="AD490" t="s">
        <v>74</v>
      </c>
      <c r="AE490" t="s">
        <v>74</v>
      </c>
      <c r="AF490" t="s">
        <v>74</v>
      </c>
      <c r="AG490">
        <v>127</v>
      </c>
      <c r="AH490">
        <v>15</v>
      </c>
      <c r="AI490">
        <v>15</v>
      </c>
      <c r="AJ490">
        <v>5</v>
      </c>
      <c r="AK490">
        <v>35</v>
      </c>
      <c r="AL490" t="s">
        <v>602</v>
      </c>
      <c r="AM490" t="s">
        <v>160</v>
      </c>
      <c r="AN490" t="s">
        <v>603</v>
      </c>
      <c r="AO490" t="s">
        <v>625</v>
      </c>
      <c r="AP490" t="s">
        <v>626</v>
      </c>
      <c r="AQ490" t="s">
        <v>74</v>
      </c>
      <c r="AR490" t="s">
        <v>627</v>
      </c>
      <c r="AS490" t="s">
        <v>628</v>
      </c>
      <c r="AT490" t="s">
        <v>496</v>
      </c>
      <c r="AU490">
        <v>2021</v>
      </c>
      <c r="AV490">
        <v>98</v>
      </c>
      <c r="AW490" t="s">
        <v>74</v>
      </c>
      <c r="AX490" t="s">
        <v>74</v>
      </c>
      <c r="AY490" t="s">
        <v>74</v>
      </c>
      <c r="AZ490" t="s">
        <v>74</v>
      </c>
      <c r="BA490" t="s">
        <v>74</v>
      </c>
      <c r="BB490" t="s">
        <v>74</v>
      </c>
      <c r="BC490" t="s">
        <v>74</v>
      </c>
      <c r="BD490">
        <v>103035</v>
      </c>
      <c r="BE490" t="s">
        <v>8572</v>
      </c>
      <c r="BF490" t="str">
        <f>HYPERLINK("http://dx.doi.org/10.1016/j.ijhm.2021.103035","http://dx.doi.org/10.1016/j.ijhm.2021.103035")</f>
        <v>http://dx.doi.org/10.1016/j.ijhm.2021.103035</v>
      </c>
      <c r="BG490" t="s">
        <v>74</v>
      </c>
      <c r="BH490" t="s">
        <v>8573</v>
      </c>
      <c r="BI490">
        <v>13</v>
      </c>
      <c r="BJ490" t="s">
        <v>630</v>
      </c>
      <c r="BK490" t="s">
        <v>94</v>
      </c>
      <c r="BL490" t="s">
        <v>631</v>
      </c>
      <c r="BM490" t="s">
        <v>8574</v>
      </c>
      <c r="BN490" t="s">
        <v>74</v>
      </c>
      <c r="BO490" t="s">
        <v>74</v>
      </c>
      <c r="BP490" t="s">
        <v>74</v>
      </c>
      <c r="BQ490" t="s">
        <v>74</v>
      </c>
      <c r="BR490" t="s">
        <v>97</v>
      </c>
      <c r="BS490" t="s">
        <v>8575</v>
      </c>
      <c r="BT490" t="str">
        <f>HYPERLINK("https%3A%2F%2Fwww.webofscience.com%2Fwos%2Fwoscc%2Ffull-record%2FWOS:000691500700013","View Full Record in Web of Science")</f>
        <v>View Full Record in Web of Science</v>
      </c>
    </row>
    <row r="491" spans="1:72" x14ac:dyDescent="0.25">
      <c r="A491" t="s">
        <v>72</v>
      </c>
      <c r="B491" t="s">
        <v>8576</v>
      </c>
      <c r="C491" t="s">
        <v>74</v>
      </c>
      <c r="D491" t="s">
        <v>74</v>
      </c>
      <c r="E491" t="s">
        <v>74</v>
      </c>
      <c r="F491" t="s">
        <v>8577</v>
      </c>
      <c r="G491" t="s">
        <v>74</v>
      </c>
      <c r="H491" t="s">
        <v>74</v>
      </c>
      <c r="I491" t="s">
        <v>8578</v>
      </c>
      <c r="J491" t="s">
        <v>8579</v>
      </c>
      <c r="K491" t="s">
        <v>74</v>
      </c>
      <c r="L491" t="s">
        <v>74</v>
      </c>
      <c r="M491" t="s">
        <v>77</v>
      </c>
      <c r="N491" t="s">
        <v>78</v>
      </c>
      <c r="O491" t="s">
        <v>74</v>
      </c>
      <c r="P491" t="s">
        <v>74</v>
      </c>
      <c r="Q491" t="s">
        <v>74</v>
      </c>
      <c r="R491" t="s">
        <v>74</v>
      </c>
      <c r="S491" t="s">
        <v>74</v>
      </c>
      <c r="T491" t="s">
        <v>8580</v>
      </c>
      <c r="U491" t="s">
        <v>8581</v>
      </c>
      <c r="V491" t="s">
        <v>8582</v>
      </c>
      <c r="W491" t="s">
        <v>8583</v>
      </c>
      <c r="X491" t="s">
        <v>8584</v>
      </c>
      <c r="Y491" t="s">
        <v>8585</v>
      </c>
      <c r="Z491" t="s">
        <v>8586</v>
      </c>
      <c r="AA491" t="s">
        <v>74</v>
      </c>
      <c r="AB491" t="s">
        <v>74</v>
      </c>
      <c r="AC491" t="s">
        <v>8587</v>
      </c>
      <c r="AD491" t="s">
        <v>8584</v>
      </c>
      <c r="AE491" t="s">
        <v>8588</v>
      </c>
      <c r="AF491" t="s">
        <v>74</v>
      </c>
      <c r="AG491">
        <v>60</v>
      </c>
      <c r="AH491">
        <v>15</v>
      </c>
      <c r="AI491">
        <v>15</v>
      </c>
      <c r="AJ491">
        <v>6</v>
      </c>
      <c r="AK491">
        <v>32</v>
      </c>
      <c r="AL491" t="s">
        <v>8589</v>
      </c>
      <c r="AM491" t="s">
        <v>8590</v>
      </c>
      <c r="AN491" t="s">
        <v>8591</v>
      </c>
      <c r="AO491" t="s">
        <v>8592</v>
      </c>
      <c r="AP491" t="s">
        <v>8593</v>
      </c>
      <c r="AQ491" t="s">
        <v>74</v>
      </c>
      <c r="AR491" t="s">
        <v>8594</v>
      </c>
      <c r="AS491" t="s">
        <v>8595</v>
      </c>
      <c r="AT491" t="s">
        <v>200</v>
      </c>
      <c r="AU491">
        <v>2021</v>
      </c>
      <c r="AV491">
        <v>98</v>
      </c>
      <c r="AW491" t="s">
        <v>74</v>
      </c>
      <c r="AX491" t="s">
        <v>74</v>
      </c>
      <c r="AY491" t="s">
        <v>74</v>
      </c>
      <c r="AZ491" t="s">
        <v>74</v>
      </c>
      <c r="BA491" t="s">
        <v>74</v>
      </c>
      <c r="BB491" t="s">
        <v>74</v>
      </c>
      <c r="BC491" t="s">
        <v>74</v>
      </c>
      <c r="BD491" t="s">
        <v>74</v>
      </c>
      <c r="BE491" t="s">
        <v>8596</v>
      </c>
      <c r="BF491" t="str">
        <f>HYPERLINK("http://dx.doi.org/10.1016/j.nedt.2020.104647","http://dx.doi.org/10.1016/j.nedt.2020.104647")</f>
        <v>http://dx.doi.org/10.1016/j.nedt.2020.104647</v>
      </c>
      <c r="BG491" t="s">
        <v>74</v>
      </c>
      <c r="BH491" t="s">
        <v>74</v>
      </c>
      <c r="BI491">
        <v>7</v>
      </c>
      <c r="BJ491" t="s">
        <v>8597</v>
      </c>
      <c r="BK491" t="s">
        <v>147</v>
      </c>
      <c r="BL491" t="s">
        <v>8598</v>
      </c>
      <c r="BM491" t="s">
        <v>8599</v>
      </c>
      <c r="BN491">
        <v>33189457</v>
      </c>
      <c r="BO491" t="s">
        <v>74</v>
      </c>
      <c r="BP491" t="s">
        <v>74</v>
      </c>
      <c r="BQ491" t="s">
        <v>74</v>
      </c>
      <c r="BR491" t="s">
        <v>97</v>
      </c>
      <c r="BS491" t="s">
        <v>8600</v>
      </c>
      <c r="BT491" t="str">
        <f>HYPERLINK("https%3A%2F%2Fwww.webofscience.com%2Fwos%2Fwoscc%2Ffull-record%2FWOS:000630520700001","View Full Record in Web of Science")</f>
        <v>View Full Record in Web of Science</v>
      </c>
    </row>
    <row r="492" spans="1:72" x14ac:dyDescent="0.25">
      <c r="A492" t="s">
        <v>72</v>
      </c>
      <c r="B492" t="s">
        <v>8601</v>
      </c>
      <c r="C492" t="s">
        <v>74</v>
      </c>
      <c r="D492" t="s">
        <v>74</v>
      </c>
      <c r="E492" t="s">
        <v>74</v>
      </c>
      <c r="F492" t="s">
        <v>8602</v>
      </c>
      <c r="G492" t="s">
        <v>74</v>
      </c>
      <c r="H492" t="s">
        <v>74</v>
      </c>
      <c r="I492" t="s">
        <v>8603</v>
      </c>
      <c r="J492" t="s">
        <v>3931</v>
      </c>
      <c r="K492" t="s">
        <v>74</v>
      </c>
      <c r="L492" t="s">
        <v>74</v>
      </c>
      <c r="M492" t="s">
        <v>77</v>
      </c>
      <c r="N492" t="s">
        <v>78</v>
      </c>
      <c r="O492" t="s">
        <v>74</v>
      </c>
      <c r="P492" t="s">
        <v>74</v>
      </c>
      <c r="Q492" t="s">
        <v>74</v>
      </c>
      <c r="R492" t="s">
        <v>74</v>
      </c>
      <c r="S492" t="s">
        <v>74</v>
      </c>
      <c r="T492" t="s">
        <v>8604</v>
      </c>
      <c r="U492" t="s">
        <v>8605</v>
      </c>
      <c r="V492" t="s">
        <v>8606</v>
      </c>
      <c r="W492" t="s">
        <v>8607</v>
      </c>
      <c r="X492" t="s">
        <v>8608</v>
      </c>
      <c r="Y492" t="s">
        <v>8609</v>
      </c>
      <c r="Z492" t="s">
        <v>8610</v>
      </c>
      <c r="AA492" t="s">
        <v>8611</v>
      </c>
      <c r="AB492" t="s">
        <v>8612</v>
      </c>
      <c r="AC492" t="s">
        <v>74</v>
      </c>
      <c r="AD492" t="s">
        <v>74</v>
      </c>
      <c r="AE492" t="s">
        <v>74</v>
      </c>
      <c r="AF492" t="s">
        <v>74</v>
      </c>
      <c r="AG492">
        <v>114</v>
      </c>
      <c r="AH492">
        <v>15</v>
      </c>
      <c r="AI492">
        <v>17</v>
      </c>
      <c r="AJ492">
        <v>4</v>
      </c>
      <c r="AK492">
        <v>54</v>
      </c>
      <c r="AL492" t="s">
        <v>665</v>
      </c>
      <c r="AM492" t="s">
        <v>666</v>
      </c>
      <c r="AN492" t="s">
        <v>667</v>
      </c>
      <c r="AO492" t="s">
        <v>3939</v>
      </c>
      <c r="AP492" t="s">
        <v>3940</v>
      </c>
      <c r="AQ492" t="s">
        <v>74</v>
      </c>
      <c r="AR492" t="s">
        <v>3941</v>
      </c>
      <c r="AS492" t="s">
        <v>3942</v>
      </c>
      <c r="AT492" t="s">
        <v>3578</v>
      </c>
      <c r="AU492">
        <v>2020</v>
      </c>
      <c r="AV492">
        <v>41</v>
      </c>
      <c r="AW492">
        <v>6</v>
      </c>
      <c r="AX492" t="s">
        <v>74</v>
      </c>
      <c r="AY492" t="s">
        <v>74</v>
      </c>
      <c r="AZ492" t="s">
        <v>74</v>
      </c>
      <c r="BA492" t="s">
        <v>74</v>
      </c>
      <c r="BB492">
        <v>847</v>
      </c>
      <c r="BC492">
        <v>864</v>
      </c>
      <c r="BD492" t="s">
        <v>74</v>
      </c>
      <c r="BE492" t="s">
        <v>8613</v>
      </c>
      <c r="BF492" t="str">
        <f>HYPERLINK("http://dx.doi.org/10.1108/LODJ-05-2019-0203","http://dx.doi.org/10.1108/LODJ-05-2019-0203")</f>
        <v>http://dx.doi.org/10.1108/LODJ-05-2019-0203</v>
      </c>
      <c r="BG492" t="s">
        <v>74</v>
      </c>
      <c r="BH492" t="s">
        <v>4876</v>
      </c>
      <c r="BI492">
        <v>18</v>
      </c>
      <c r="BJ492" t="s">
        <v>442</v>
      </c>
      <c r="BK492" t="s">
        <v>94</v>
      </c>
      <c r="BL492" t="s">
        <v>95</v>
      </c>
      <c r="BM492" t="s">
        <v>4877</v>
      </c>
      <c r="BN492" t="s">
        <v>74</v>
      </c>
      <c r="BO492" t="s">
        <v>74</v>
      </c>
      <c r="BP492" t="s">
        <v>74</v>
      </c>
      <c r="BQ492" t="s">
        <v>74</v>
      </c>
      <c r="BR492" t="s">
        <v>97</v>
      </c>
      <c r="BS492" t="s">
        <v>8614</v>
      </c>
      <c r="BT492" t="str">
        <f>HYPERLINK("https%3A%2F%2Fwww.webofscience.com%2Fwos%2Fwoscc%2Ffull-record%2FWOS:000552772500001","View Full Record in Web of Science")</f>
        <v>View Full Record in Web of Science</v>
      </c>
    </row>
    <row r="493" spans="1:72" x14ac:dyDescent="0.25">
      <c r="A493" t="s">
        <v>72</v>
      </c>
      <c r="B493" t="s">
        <v>8615</v>
      </c>
      <c r="C493" t="s">
        <v>74</v>
      </c>
      <c r="D493" t="s">
        <v>74</v>
      </c>
      <c r="E493" t="s">
        <v>74</v>
      </c>
      <c r="F493" t="s">
        <v>8616</v>
      </c>
      <c r="G493" t="s">
        <v>74</v>
      </c>
      <c r="H493" t="s">
        <v>74</v>
      </c>
      <c r="I493" t="s">
        <v>8617</v>
      </c>
      <c r="J493" t="s">
        <v>6372</v>
      </c>
      <c r="K493" t="s">
        <v>74</v>
      </c>
      <c r="L493" t="s">
        <v>74</v>
      </c>
      <c r="M493" t="s">
        <v>77</v>
      </c>
      <c r="N493" t="s">
        <v>78</v>
      </c>
      <c r="O493" t="s">
        <v>74</v>
      </c>
      <c r="P493" t="s">
        <v>74</v>
      </c>
      <c r="Q493" t="s">
        <v>74</v>
      </c>
      <c r="R493" t="s">
        <v>74</v>
      </c>
      <c r="S493" t="s">
        <v>74</v>
      </c>
      <c r="T493" t="s">
        <v>8618</v>
      </c>
      <c r="U493" t="s">
        <v>8619</v>
      </c>
      <c r="V493" t="s">
        <v>8620</v>
      </c>
      <c r="W493" t="s">
        <v>8621</v>
      </c>
      <c r="X493" t="s">
        <v>74</v>
      </c>
      <c r="Y493" t="s">
        <v>8622</v>
      </c>
      <c r="Z493" t="s">
        <v>8623</v>
      </c>
      <c r="AA493" t="s">
        <v>74</v>
      </c>
      <c r="AB493" t="s">
        <v>74</v>
      </c>
      <c r="AC493" t="s">
        <v>74</v>
      </c>
      <c r="AD493" t="s">
        <v>74</v>
      </c>
      <c r="AE493" t="s">
        <v>74</v>
      </c>
      <c r="AF493" t="s">
        <v>74</v>
      </c>
      <c r="AG493">
        <v>40</v>
      </c>
      <c r="AH493">
        <v>15</v>
      </c>
      <c r="AI493">
        <v>15</v>
      </c>
      <c r="AJ493">
        <v>3</v>
      </c>
      <c r="AK493">
        <v>26</v>
      </c>
      <c r="AL493" t="s">
        <v>2473</v>
      </c>
      <c r="AM493" t="s">
        <v>2102</v>
      </c>
      <c r="AN493" t="s">
        <v>2474</v>
      </c>
      <c r="AO493" t="s">
        <v>74</v>
      </c>
      <c r="AP493" t="s">
        <v>6384</v>
      </c>
      <c r="AQ493" t="s">
        <v>74</v>
      </c>
      <c r="AR493" t="s">
        <v>6385</v>
      </c>
      <c r="AS493" t="s">
        <v>6386</v>
      </c>
      <c r="AT493" t="s">
        <v>122</v>
      </c>
      <c r="AU493">
        <v>2020</v>
      </c>
      <c r="AV493">
        <v>17</v>
      </c>
      <c r="AW493">
        <v>7</v>
      </c>
      <c r="AX493" t="s">
        <v>74</v>
      </c>
      <c r="AY493" t="s">
        <v>74</v>
      </c>
      <c r="AZ493" t="s">
        <v>74</v>
      </c>
      <c r="BA493" t="s">
        <v>74</v>
      </c>
      <c r="BB493" t="s">
        <v>74</v>
      </c>
      <c r="BC493" t="s">
        <v>74</v>
      </c>
      <c r="BD493">
        <v>2556</v>
      </c>
      <c r="BE493" t="s">
        <v>8624</v>
      </c>
      <c r="BF493" t="str">
        <f>HYPERLINK("http://dx.doi.org/10.3390/ijerph17072556","http://dx.doi.org/10.3390/ijerph17072556")</f>
        <v>http://dx.doi.org/10.3390/ijerph17072556</v>
      </c>
      <c r="BG493" t="s">
        <v>74</v>
      </c>
      <c r="BH493" t="s">
        <v>74</v>
      </c>
      <c r="BI493">
        <v>15</v>
      </c>
      <c r="BJ493" t="s">
        <v>6388</v>
      </c>
      <c r="BK493" t="s">
        <v>147</v>
      </c>
      <c r="BL493" t="s">
        <v>6389</v>
      </c>
      <c r="BM493" t="s">
        <v>8625</v>
      </c>
      <c r="BN493">
        <v>32276480</v>
      </c>
      <c r="BO493" t="s">
        <v>4398</v>
      </c>
      <c r="BP493" t="s">
        <v>74</v>
      </c>
      <c r="BQ493" t="s">
        <v>74</v>
      </c>
      <c r="BR493" t="s">
        <v>97</v>
      </c>
      <c r="BS493" t="s">
        <v>8626</v>
      </c>
      <c r="BT493" t="str">
        <f>HYPERLINK("https%3A%2F%2Fwww.webofscience.com%2Fwos%2Fwoscc%2Ffull-record%2FWOS:000530763300388","View Full Record in Web of Science")</f>
        <v>View Full Record in Web of Science</v>
      </c>
    </row>
    <row r="494" spans="1:72" x14ac:dyDescent="0.25">
      <c r="A494" t="s">
        <v>72</v>
      </c>
      <c r="B494" t="s">
        <v>6455</v>
      </c>
      <c r="C494" t="s">
        <v>74</v>
      </c>
      <c r="D494" t="s">
        <v>74</v>
      </c>
      <c r="E494" t="s">
        <v>74</v>
      </c>
      <c r="F494" t="s">
        <v>6456</v>
      </c>
      <c r="G494" t="s">
        <v>74</v>
      </c>
      <c r="H494" t="s">
        <v>74</v>
      </c>
      <c r="I494" t="s">
        <v>8627</v>
      </c>
      <c r="J494" t="s">
        <v>4603</v>
      </c>
      <c r="K494" t="s">
        <v>74</v>
      </c>
      <c r="L494" t="s">
        <v>74</v>
      </c>
      <c r="M494" t="s">
        <v>77</v>
      </c>
      <c r="N494" t="s">
        <v>78</v>
      </c>
      <c r="O494" t="s">
        <v>74</v>
      </c>
      <c r="P494" t="s">
        <v>74</v>
      </c>
      <c r="Q494" t="s">
        <v>74</v>
      </c>
      <c r="R494" t="s">
        <v>74</v>
      </c>
      <c r="S494" t="s">
        <v>74</v>
      </c>
      <c r="T494" t="s">
        <v>8628</v>
      </c>
      <c r="U494" t="s">
        <v>8629</v>
      </c>
      <c r="V494" t="s">
        <v>8630</v>
      </c>
      <c r="W494" t="s">
        <v>6461</v>
      </c>
      <c r="X494" t="s">
        <v>6244</v>
      </c>
      <c r="Y494" t="s">
        <v>8631</v>
      </c>
      <c r="Z494" t="s">
        <v>8632</v>
      </c>
      <c r="AA494" t="s">
        <v>6464</v>
      </c>
      <c r="AB494" t="s">
        <v>74</v>
      </c>
      <c r="AC494" t="s">
        <v>74</v>
      </c>
      <c r="AD494" t="s">
        <v>74</v>
      </c>
      <c r="AE494" t="s">
        <v>74</v>
      </c>
      <c r="AF494" t="s">
        <v>74</v>
      </c>
      <c r="AG494">
        <v>88</v>
      </c>
      <c r="AH494">
        <v>15</v>
      </c>
      <c r="AI494">
        <v>15</v>
      </c>
      <c r="AJ494">
        <v>9</v>
      </c>
      <c r="AK494">
        <v>45</v>
      </c>
      <c r="AL494" t="s">
        <v>665</v>
      </c>
      <c r="AM494" t="s">
        <v>666</v>
      </c>
      <c r="AN494" t="s">
        <v>667</v>
      </c>
      <c r="AO494" t="s">
        <v>4613</v>
      </c>
      <c r="AP494" t="s">
        <v>4614</v>
      </c>
      <c r="AQ494" t="s">
        <v>74</v>
      </c>
      <c r="AR494" t="s">
        <v>4615</v>
      </c>
      <c r="AS494" t="s">
        <v>4616</v>
      </c>
      <c r="AT494" t="s">
        <v>8633</v>
      </c>
      <c r="AU494">
        <v>2020</v>
      </c>
      <c r="AV494">
        <v>42</v>
      </c>
      <c r="AW494">
        <v>4</v>
      </c>
      <c r="AX494" t="s">
        <v>74</v>
      </c>
      <c r="AY494" t="s">
        <v>74</v>
      </c>
      <c r="AZ494" t="s">
        <v>74</v>
      </c>
      <c r="BA494" t="s">
        <v>74</v>
      </c>
      <c r="BB494">
        <v>883</v>
      </c>
      <c r="BC494">
        <v>902</v>
      </c>
      <c r="BD494" t="s">
        <v>74</v>
      </c>
      <c r="BE494" t="s">
        <v>8634</v>
      </c>
      <c r="BF494" t="str">
        <f>HYPERLINK("http://dx.doi.org/10.1108/ER-02-2018-0061","http://dx.doi.org/10.1108/ER-02-2018-0061")</f>
        <v>http://dx.doi.org/10.1108/ER-02-2018-0061</v>
      </c>
      <c r="BG494" t="s">
        <v>74</v>
      </c>
      <c r="BH494" t="s">
        <v>6160</v>
      </c>
      <c r="BI494">
        <v>20</v>
      </c>
      <c r="BJ494" t="s">
        <v>673</v>
      </c>
      <c r="BK494" t="s">
        <v>94</v>
      </c>
      <c r="BL494" t="s">
        <v>95</v>
      </c>
      <c r="BM494" t="s">
        <v>8635</v>
      </c>
      <c r="BN494" t="s">
        <v>74</v>
      </c>
      <c r="BO494" t="s">
        <v>74</v>
      </c>
      <c r="BP494" t="s">
        <v>74</v>
      </c>
      <c r="BQ494" t="s">
        <v>74</v>
      </c>
      <c r="BR494" t="s">
        <v>97</v>
      </c>
      <c r="BS494" t="s">
        <v>8636</v>
      </c>
      <c r="BT494" t="str">
        <f>HYPERLINK("https%3A%2F%2Fwww.webofscience.com%2Fwos%2Fwoscc%2Ffull-record%2FWOS:000522237800001","View Full Record in Web of Science")</f>
        <v>View Full Record in Web of Science</v>
      </c>
    </row>
    <row r="495" spans="1:72" x14ac:dyDescent="0.25">
      <c r="A495" t="s">
        <v>72</v>
      </c>
      <c r="B495" t="s">
        <v>8637</v>
      </c>
      <c r="C495" t="s">
        <v>74</v>
      </c>
      <c r="D495" t="s">
        <v>74</v>
      </c>
      <c r="E495" t="s">
        <v>74</v>
      </c>
      <c r="F495" t="s">
        <v>8638</v>
      </c>
      <c r="G495" t="s">
        <v>74</v>
      </c>
      <c r="H495" t="s">
        <v>74</v>
      </c>
      <c r="I495" t="s">
        <v>8639</v>
      </c>
      <c r="J495" t="s">
        <v>8640</v>
      </c>
      <c r="K495" t="s">
        <v>74</v>
      </c>
      <c r="L495" t="s">
        <v>74</v>
      </c>
      <c r="M495" t="s">
        <v>77</v>
      </c>
      <c r="N495" t="s">
        <v>78</v>
      </c>
      <c r="O495" t="s">
        <v>74</v>
      </c>
      <c r="P495" t="s">
        <v>74</v>
      </c>
      <c r="Q495" t="s">
        <v>74</v>
      </c>
      <c r="R495" t="s">
        <v>74</v>
      </c>
      <c r="S495" t="s">
        <v>74</v>
      </c>
      <c r="T495" t="s">
        <v>8641</v>
      </c>
      <c r="U495" t="s">
        <v>8642</v>
      </c>
      <c r="V495" t="s">
        <v>8643</v>
      </c>
      <c r="W495" t="s">
        <v>8644</v>
      </c>
      <c r="X495" t="s">
        <v>8645</v>
      </c>
      <c r="Y495" t="s">
        <v>8646</v>
      </c>
      <c r="Z495" t="s">
        <v>8647</v>
      </c>
      <c r="AA495" t="s">
        <v>74</v>
      </c>
      <c r="AB495" t="s">
        <v>8648</v>
      </c>
      <c r="AC495" t="s">
        <v>74</v>
      </c>
      <c r="AD495" t="s">
        <v>74</v>
      </c>
      <c r="AE495" t="s">
        <v>74</v>
      </c>
      <c r="AF495" t="s">
        <v>74</v>
      </c>
      <c r="AG495">
        <v>71</v>
      </c>
      <c r="AH495">
        <v>15</v>
      </c>
      <c r="AI495">
        <v>15</v>
      </c>
      <c r="AJ495">
        <v>5</v>
      </c>
      <c r="AK495">
        <v>44</v>
      </c>
      <c r="AL495" t="s">
        <v>2351</v>
      </c>
      <c r="AM495" t="s">
        <v>541</v>
      </c>
      <c r="AN495" t="s">
        <v>2352</v>
      </c>
      <c r="AO495" t="s">
        <v>8649</v>
      </c>
      <c r="AP495" t="s">
        <v>8650</v>
      </c>
      <c r="AQ495" t="s">
        <v>74</v>
      </c>
      <c r="AR495" t="s">
        <v>8651</v>
      </c>
      <c r="AS495" t="s">
        <v>8652</v>
      </c>
      <c r="AT495" t="s">
        <v>91</v>
      </c>
      <c r="AU495">
        <v>2020</v>
      </c>
      <c r="AV495">
        <v>38</v>
      </c>
      <c r="AW495">
        <v>4</v>
      </c>
      <c r="AX495" t="s">
        <v>74</v>
      </c>
      <c r="AY495" t="s">
        <v>74</v>
      </c>
      <c r="AZ495" t="s">
        <v>74</v>
      </c>
      <c r="BA495" t="s">
        <v>74</v>
      </c>
      <c r="BB495">
        <v>318</v>
      </c>
      <c r="BC495">
        <v>336</v>
      </c>
      <c r="BD495">
        <v>266242619892793</v>
      </c>
      <c r="BE495" t="s">
        <v>8653</v>
      </c>
      <c r="BF495" t="str">
        <f>HYPERLINK("http://dx.doi.org/10.1177/0266242619892793","http://dx.doi.org/10.1177/0266242619892793")</f>
        <v>http://dx.doi.org/10.1177/0266242619892793</v>
      </c>
      <c r="BG495" t="s">
        <v>74</v>
      </c>
      <c r="BH495" t="s">
        <v>1651</v>
      </c>
      <c r="BI495">
        <v>19</v>
      </c>
      <c r="BJ495" t="s">
        <v>93</v>
      </c>
      <c r="BK495" t="s">
        <v>94</v>
      </c>
      <c r="BL495" t="s">
        <v>95</v>
      </c>
      <c r="BM495" t="s">
        <v>8654</v>
      </c>
      <c r="BN495" t="s">
        <v>74</v>
      </c>
      <c r="BO495" t="s">
        <v>718</v>
      </c>
      <c r="BP495" t="s">
        <v>74</v>
      </c>
      <c r="BQ495" t="s">
        <v>74</v>
      </c>
      <c r="BR495" t="s">
        <v>97</v>
      </c>
      <c r="BS495" t="s">
        <v>8655</v>
      </c>
      <c r="BT495" t="str">
        <f>HYPERLINK("https%3A%2F%2Fwww.webofscience.com%2Fwos%2Fwoscc%2Ffull-record%2FWOS:000507027000001","View Full Record in Web of Science")</f>
        <v>View Full Record in Web of Science</v>
      </c>
    </row>
    <row r="496" spans="1:72" x14ac:dyDescent="0.25">
      <c r="A496" t="s">
        <v>72</v>
      </c>
      <c r="B496" t="s">
        <v>8656</v>
      </c>
      <c r="C496" t="s">
        <v>74</v>
      </c>
      <c r="D496" t="s">
        <v>74</v>
      </c>
      <c r="E496" t="s">
        <v>74</v>
      </c>
      <c r="F496" t="s">
        <v>8657</v>
      </c>
      <c r="G496" t="s">
        <v>74</v>
      </c>
      <c r="H496" t="s">
        <v>74</v>
      </c>
      <c r="I496" t="s">
        <v>8658</v>
      </c>
      <c r="J496" t="s">
        <v>3838</v>
      </c>
      <c r="K496" t="s">
        <v>74</v>
      </c>
      <c r="L496" t="s">
        <v>74</v>
      </c>
      <c r="M496" t="s">
        <v>77</v>
      </c>
      <c r="N496" t="s">
        <v>78</v>
      </c>
      <c r="O496" t="s">
        <v>74</v>
      </c>
      <c r="P496" t="s">
        <v>74</v>
      </c>
      <c r="Q496" t="s">
        <v>74</v>
      </c>
      <c r="R496" t="s">
        <v>74</v>
      </c>
      <c r="S496" t="s">
        <v>74</v>
      </c>
      <c r="T496" t="s">
        <v>8659</v>
      </c>
      <c r="U496" t="s">
        <v>8660</v>
      </c>
      <c r="V496" t="s">
        <v>8661</v>
      </c>
      <c r="W496" t="s">
        <v>8662</v>
      </c>
      <c r="X496" t="s">
        <v>8663</v>
      </c>
      <c r="Y496" t="s">
        <v>8664</v>
      </c>
      <c r="Z496" t="s">
        <v>8665</v>
      </c>
      <c r="AA496" t="s">
        <v>8666</v>
      </c>
      <c r="AB496" t="s">
        <v>8667</v>
      </c>
      <c r="AC496" t="s">
        <v>74</v>
      </c>
      <c r="AD496" t="s">
        <v>74</v>
      </c>
      <c r="AE496" t="s">
        <v>74</v>
      </c>
      <c r="AF496" t="s">
        <v>74</v>
      </c>
      <c r="AG496">
        <v>93</v>
      </c>
      <c r="AH496">
        <v>15</v>
      </c>
      <c r="AI496">
        <v>15</v>
      </c>
      <c r="AJ496">
        <v>4</v>
      </c>
      <c r="AK496">
        <v>63</v>
      </c>
      <c r="AL496" t="s">
        <v>1099</v>
      </c>
      <c r="AM496" t="s">
        <v>305</v>
      </c>
      <c r="AN496" t="s">
        <v>1100</v>
      </c>
      <c r="AO496" t="s">
        <v>3844</v>
      </c>
      <c r="AP496" t="s">
        <v>3845</v>
      </c>
      <c r="AQ496" t="s">
        <v>74</v>
      </c>
      <c r="AR496" t="s">
        <v>3846</v>
      </c>
      <c r="AS496" t="s">
        <v>3847</v>
      </c>
      <c r="AT496" t="s">
        <v>74</v>
      </c>
      <c r="AU496">
        <v>2019</v>
      </c>
      <c r="AV496">
        <v>27</v>
      </c>
      <c r="AW496">
        <v>10</v>
      </c>
      <c r="AX496" t="s">
        <v>74</v>
      </c>
      <c r="AY496" t="s">
        <v>74</v>
      </c>
      <c r="AZ496" t="s">
        <v>74</v>
      </c>
      <c r="BA496" t="s">
        <v>74</v>
      </c>
      <c r="BB496">
        <v>1572</v>
      </c>
      <c r="BC496">
        <v>1590</v>
      </c>
      <c r="BD496" t="s">
        <v>74</v>
      </c>
      <c r="BE496" t="s">
        <v>8668</v>
      </c>
      <c r="BF496" t="str">
        <f>HYPERLINK("http://dx.doi.org/10.1080/09669582.2019.1648481","http://dx.doi.org/10.1080/09669582.2019.1648481")</f>
        <v>http://dx.doi.org/10.1080/09669582.2019.1648481</v>
      </c>
      <c r="BG496" t="s">
        <v>74</v>
      </c>
      <c r="BH496" t="s">
        <v>8669</v>
      </c>
      <c r="BI496">
        <v>19</v>
      </c>
      <c r="BJ496" t="s">
        <v>3850</v>
      </c>
      <c r="BK496" t="s">
        <v>94</v>
      </c>
      <c r="BL496" t="s">
        <v>3851</v>
      </c>
      <c r="BM496" t="s">
        <v>8670</v>
      </c>
      <c r="BN496" t="s">
        <v>74</v>
      </c>
      <c r="BO496" t="s">
        <v>74</v>
      </c>
      <c r="BP496" t="s">
        <v>74</v>
      </c>
      <c r="BQ496" t="s">
        <v>74</v>
      </c>
      <c r="BR496" t="s">
        <v>97</v>
      </c>
      <c r="BS496" t="s">
        <v>8671</v>
      </c>
      <c r="BT496" t="str">
        <f>HYPERLINK("https%3A%2F%2Fwww.webofscience.com%2Fwos%2Fwoscc%2Ffull-record%2FWOS:000480971800001","View Full Record in Web of Science")</f>
        <v>View Full Record in Web of Science</v>
      </c>
    </row>
    <row r="497" spans="1:72" x14ac:dyDescent="0.25">
      <c r="A497" t="s">
        <v>72</v>
      </c>
      <c r="B497" t="s">
        <v>8672</v>
      </c>
      <c r="C497" t="s">
        <v>74</v>
      </c>
      <c r="D497" t="s">
        <v>74</v>
      </c>
      <c r="E497" t="s">
        <v>74</v>
      </c>
      <c r="F497" t="s">
        <v>8673</v>
      </c>
      <c r="G497" t="s">
        <v>74</v>
      </c>
      <c r="H497" t="s">
        <v>74</v>
      </c>
      <c r="I497" t="s">
        <v>8674</v>
      </c>
      <c r="J497" t="s">
        <v>2059</v>
      </c>
      <c r="K497" t="s">
        <v>74</v>
      </c>
      <c r="L497" t="s">
        <v>74</v>
      </c>
      <c r="M497" t="s">
        <v>77</v>
      </c>
      <c r="N497" t="s">
        <v>78</v>
      </c>
      <c r="O497" t="s">
        <v>74</v>
      </c>
      <c r="P497" t="s">
        <v>74</v>
      </c>
      <c r="Q497" t="s">
        <v>74</v>
      </c>
      <c r="R497" t="s">
        <v>74</v>
      </c>
      <c r="S497" t="s">
        <v>74</v>
      </c>
      <c r="T497" t="s">
        <v>8675</v>
      </c>
      <c r="U497" t="s">
        <v>8676</v>
      </c>
      <c r="V497" t="s">
        <v>8677</v>
      </c>
      <c r="W497" t="s">
        <v>8678</v>
      </c>
      <c r="X497" t="s">
        <v>8679</v>
      </c>
      <c r="Y497" t="s">
        <v>8680</v>
      </c>
      <c r="Z497" t="s">
        <v>8681</v>
      </c>
      <c r="AA497" t="s">
        <v>8682</v>
      </c>
      <c r="AB497" t="s">
        <v>8683</v>
      </c>
      <c r="AC497" t="s">
        <v>8684</v>
      </c>
      <c r="AD497" t="s">
        <v>8685</v>
      </c>
      <c r="AE497" t="s">
        <v>8686</v>
      </c>
      <c r="AF497" t="s">
        <v>74</v>
      </c>
      <c r="AG497">
        <v>38</v>
      </c>
      <c r="AH497">
        <v>15</v>
      </c>
      <c r="AI497">
        <v>16</v>
      </c>
      <c r="AJ497">
        <v>11</v>
      </c>
      <c r="AK497">
        <v>83</v>
      </c>
      <c r="AL497" t="s">
        <v>2067</v>
      </c>
      <c r="AM497" t="s">
        <v>2068</v>
      </c>
      <c r="AN497" t="s">
        <v>2069</v>
      </c>
      <c r="AO497" t="s">
        <v>2070</v>
      </c>
      <c r="AP497" t="s">
        <v>2071</v>
      </c>
      <c r="AQ497" t="s">
        <v>74</v>
      </c>
      <c r="AR497" t="s">
        <v>2072</v>
      </c>
      <c r="AS497" t="s">
        <v>2073</v>
      </c>
      <c r="AT497" t="s">
        <v>165</v>
      </c>
      <c r="AU497">
        <v>2019</v>
      </c>
      <c r="AV497">
        <v>47</v>
      </c>
      <c r="AW497">
        <v>5</v>
      </c>
      <c r="AX497" t="s">
        <v>74</v>
      </c>
      <c r="AY497" t="s">
        <v>74</v>
      </c>
      <c r="AZ497" t="s">
        <v>74</v>
      </c>
      <c r="BA497" t="s">
        <v>74</v>
      </c>
      <c r="BB497" t="s">
        <v>74</v>
      </c>
      <c r="BC497" t="s">
        <v>74</v>
      </c>
      <c r="BD497" t="s">
        <v>8687</v>
      </c>
      <c r="BE497" t="s">
        <v>8688</v>
      </c>
      <c r="BF497" t="str">
        <f>HYPERLINK("http://dx.doi.org/10.2224/sbp.5727","http://dx.doi.org/10.2224/sbp.5727")</f>
        <v>http://dx.doi.org/10.2224/sbp.5727</v>
      </c>
      <c r="BG497" t="s">
        <v>74</v>
      </c>
      <c r="BH497" t="s">
        <v>74</v>
      </c>
      <c r="BI497">
        <v>11</v>
      </c>
      <c r="BJ497" t="s">
        <v>459</v>
      </c>
      <c r="BK497" t="s">
        <v>94</v>
      </c>
      <c r="BL497" t="s">
        <v>460</v>
      </c>
      <c r="BM497" t="s">
        <v>8689</v>
      </c>
      <c r="BN497" t="s">
        <v>74</v>
      </c>
      <c r="BO497" t="s">
        <v>74</v>
      </c>
      <c r="BP497" t="s">
        <v>74</v>
      </c>
      <c r="BQ497" t="s">
        <v>74</v>
      </c>
      <c r="BR497" t="s">
        <v>97</v>
      </c>
      <c r="BS497" t="s">
        <v>8690</v>
      </c>
      <c r="BT497" t="str">
        <f>HYPERLINK("https%3A%2F%2Fwww.webofscience.com%2Fwos%2Fwoscc%2Ffull-record%2FWOS:000467841900002","View Full Record in Web of Science")</f>
        <v>View Full Record in Web of Science</v>
      </c>
    </row>
    <row r="498" spans="1:72" x14ac:dyDescent="0.25">
      <c r="A498" t="s">
        <v>72</v>
      </c>
      <c r="B498" t="s">
        <v>8691</v>
      </c>
      <c r="C498" t="s">
        <v>74</v>
      </c>
      <c r="D498" t="s">
        <v>74</v>
      </c>
      <c r="E498" t="s">
        <v>74</v>
      </c>
      <c r="F498" t="s">
        <v>8692</v>
      </c>
      <c r="G498" t="s">
        <v>74</v>
      </c>
      <c r="H498" t="s">
        <v>74</v>
      </c>
      <c r="I498" t="s">
        <v>8693</v>
      </c>
      <c r="J498" t="s">
        <v>8579</v>
      </c>
      <c r="K498" t="s">
        <v>74</v>
      </c>
      <c r="L498" t="s">
        <v>74</v>
      </c>
      <c r="M498" t="s">
        <v>77</v>
      </c>
      <c r="N498" t="s">
        <v>78</v>
      </c>
      <c r="O498" t="s">
        <v>74</v>
      </c>
      <c r="P498" t="s">
        <v>74</v>
      </c>
      <c r="Q498" t="s">
        <v>74</v>
      </c>
      <c r="R498" t="s">
        <v>74</v>
      </c>
      <c r="S498" t="s">
        <v>74</v>
      </c>
      <c r="T498" t="s">
        <v>8694</v>
      </c>
      <c r="U498" t="s">
        <v>8695</v>
      </c>
      <c r="V498" t="s">
        <v>8696</v>
      </c>
      <c r="W498" t="s">
        <v>8697</v>
      </c>
      <c r="X498" t="s">
        <v>8698</v>
      </c>
      <c r="Y498" t="s">
        <v>8699</v>
      </c>
      <c r="Z498" t="s">
        <v>8700</v>
      </c>
      <c r="AA498" t="s">
        <v>74</v>
      </c>
      <c r="AB498" t="s">
        <v>74</v>
      </c>
      <c r="AC498" t="s">
        <v>8701</v>
      </c>
      <c r="AD498" t="s">
        <v>8702</v>
      </c>
      <c r="AE498" t="s">
        <v>8703</v>
      </c>
      <c r="AF498" t="s">
        <v>74</v>
      </c>
      <c r="AG498">
        <v>31</v>
      </c>
      <c r="AH498">
        <v>15</v>
      </c>
      <c r="AI498">
        <v>15</v>
      </c>
      <c r="AJ498">
        <v>24</v>
      </c>
      <c r="AK498">
        <v>136</v>
      </c>
      <c r="AL498" t="s">
        <v>8589</v>
      </c>
      <c r="AM498" t="s">
        <v>8590</v>
      </c>
      <c r="AN498" t="s">
        <v>8591</v>
      </c>
      <c r="AO498" t="s">
        <v>8592</v>
      </c>
      <c r="AP498" t="s">
        <v>8593</v>
      </c>
      <c r="AQ498" t="s">
        <v>74</v>
      </c>
      <c r="AR498" t="s">
        <v>8594</v>
      </c>
      <c r="AS498" t="s">
        <v>8595</v>
      </c>
      <c r="AT498" t="s">
        <v>122</v>
      </c>
      <c r="AU498">
        <v>2018</v>
      </c>
      <c r="AV498">
        <v>63</v>
      </c>
      <c r="AW498" t="s">
        <v>74</v>
      </c>
      <c r="AX498" t="s">
        <v>74</v>
      </c>
      <c r="AY498" t="s">
        <v>74</v>
      </c>
      <c r="AZ498" t="s">
        <v>74</v>
      </c>
      <c r="BA498" t="s">
        <v>74</v>
      </c>
      <c r="BB498">
        <v>1</v>
      </c>
      <c r="BC498">
        <v>5</v>
      </c>
      <c r="BD498" t="s">
        <v>74</v>
      </c>
      <c r="BE498" t="s">
        <v>8704</v>
      </c>
      <c r="BF498" t="str">
        <f>HYPERLINK("http://dx.doi.org/10.1016/j.nedt.2018.01.004","http://dx.doi.org/10.1016/j.nedt.2018.01.004")</f>
        <v>http://dx.doi.org/10.1016/j.nedt.2018.01.004</v>
      </c>
      <c r="BG498" t="s">
        <v>74</v>
      </c>
      <c r="BH498" t="s">
        <v>74</v>
      </c>
      <c r="BI498">
        <v>5</v>
      </c>
      <c r="BJ498" t="s">
        <v>8597</v>
      </c>
      <c r="BK498" t="s">
        <v>147</v>
      </c>
      <c r="BL498" t="s">
        <v>8598</v>
      </c>
      <c r="BM498" t="s">
        <v>8705</v>
      </c>
      <c r="BN498">
        <v>29407253</v>
      </c>
      <c r="BO498" t="s">
        <v>74</v>
      </c>
      <c r="BP498" t="s">
        <v>74</v>
      </c>
      <c r="BQ498" t="s">
        <v>74</v>
      </c>
      <c r="BR498" t="s">
        <v>97</v>
      </c>
      <c r="BS498" t="s">
        <v>8706</v>
      </c>
      <c r="BT498" t="str">
        <f>HYPERLINK("https%3A%2F%2Fwww.webofscience.com%2Fwos%2Fwoscc%2Ffull-record%2FWOS:000427669800001","View Full Record in Web of Science")</f>
        <v>View Full Record in Web of Science</v>
      </c>
    </row>
    <row r="499" spans="1:72" x14ac:dyDescent="0.25">
      <c r="A499" t="s">
        <v>72</v>
      </c>
      <c r="B499" t="s">
        <v>8707</v>
      </c>
      <c r="C499" t="s">
        <v>74</v>
      </c>
      <c r="D499" t="s">
        <v>74</v>
      </c>
      <c r="E499" t="s">
        <v>74</v>
      </c>
      <c r="F499" t="s">
        <v>8708</v>
      </c>
      <c r="G499" t="s">
        <v>74</v>
      </c>
      <c r="H499" t="s">
        <v>74</v>
      </c>
      <c r="I499" t="s">
        <v>8709</v>
      </c>
      <c r="J499" t="s">
        <v>2502</v>
      </c>
      <c r="K499" t="s">
        <v>74</v>
      </c>
      <c r="L499" t="s">
        <v>74</v>
      </c>
      <c r="M499" t="s">
        <v>77</v>
      </c>
      <c r="N499" t="s">
        <v>78</v>
      </c>
      <c r="O499" t="s">
        <v>74</v>
      </c>
      <c r="P499" t="s">
        <v>74</v>
      </c>
      <c r="Q499" t="s">
        <v>74</v>
      </c>
      <c r="R499" t="s">
        <v>74</v>
      </c>
      <c r="S499" t="s">
        <v>74</v>
      </c>
      <c r="T499" t="s">
        <v>8710</v>
      </c>
      <c r="U499" t="s">
        <v>8711</v>
      </c>
      <c r="V499" t="s">
        <v>8712</v>
      </c>
      <c r="W499" t="s">
        <v>8713</v>
      </c>
      <c r="X499" t="s">
        <v>8714</v>
      </c>
      <c r="Y499" t="s">
        <v>8715</v>
      </c>
      <c r="Z499" t="s">
        <v>8716</v>
      </c>
      <c r="AA499" t="s">
        <v>8717</v>
      </c>
      <c r="AB499" t="s">
        <v>8718</v>
      </c>
      <c r="AC499" t="s">
        <v>74</v>
      </c>
      <c r="AD499" t="s">
        <v>74</v>
      </c>
      <c r="AE499" t="s">
        <v>74</v>
      </c>
      <c r="AF499" t="s">
        <v>74</v>
      </c>
      <c r="AG499">
        <v>73</v>
      </c>
      <c r="AH499">
        <v>15</v>
      </c>
      <c r="AI499">
        <v>15</v>
      </c>
      <c r="AJ499">
        <v>2</v>
      </c>
      <c r="AK499">
        <v>30</v>
      </c>
      <c r="AL499" t="s">
        <v>665</v>
      </c>
      <c r="AM499" t="s">
        <v>666</v>
      </c>
      <c r="AN499" t="s">
        <v>667</v>
      </c>
      <c r="AO499" t="s">
        <v>2510</v>
      </c>
      <c r="AP499" t="s">
        <v>2511</v>
      </c>
      <c r="AQ499" t="s">
        <v>74</v>
      </c>
      <c r="AR499" t="s">
        <v>2512</v>
      </c>
      <c r="AS499" t="s">
        <v>2513</v>
      </c>
      <c r="AT499" t="s">
        <v>74</v>
      </c>
      <c r="AU499">
        <v>2018</v>
      </c>
      <c r="AV499">
        <v>47</v>
      </c>
      <c r="AW499">
        <v>4</v>
      </c>
      <c r="AX499" t="s">
        <v>74</v>
      </c>
      <c r="AY499" t="s">
        <v>74</v>
      </c>
      <c r="AZ499" t="s">
        <v>74</v>
      </c>
      <c r="BA499" t="s">
        <v>74</v>
      </c>
      <c r="BB499">
        <v>951</v>
      </c>
      <c r="BC499">
        <v>967</v>
      </c>
      <c r="BD499" t="s">
        <v>74</v>
      </c>
      <c r="BE499" t="s">
        <v>8719</v>
      </c>
      <c r="BF499" t="str">
        <f>HYPERLINK("http://dx.doi.org/10.1108/PR-07-2017-0221","http://dx.doi.org/10.1108/PR-07-2017-0221")</f>
        <v>http://dx.doi.org/10.1108/PR-07-2017-0221</v>
      </c>
      <c r="BG499" t="s">
        <v>74</v>
      </c>
      <c r="BH499" t="s">
        <v>74</v>
      </c>
      <c r="BI499">
        <v>17</v>
      </c>
      <c r="BJ499" t="s">
        <v>2515</v>
      </c>
      <c r="BK499" t="s">
        <v>94</v>
      </c>
      <c r="BL499" t="s">
        <v>227</v>
      </c>
      <c r="BM499" t="s">
        <v>8720</v>
      </c>
      <c r="BN499" t="s">
        <v>74</v>
      </c>
      <c r="BO499" t="s">
        <v>74</v>
      </c>
      <c r="BP499" t="s">
        <v>74</v>
      </c>
      <c r="BQ499" t="s">
        <v>74</v>
      </c>
      <c r="BR499" t="s">
        <v>97</v>
      </c>
      <c r="BS499" t="s">
        <v>8721</v>
      </c>
      <c r="BT499" t="str">
        <f>HYPERLINK("https%3A%2F%2Fwww.webofscience.com%2Fwos%2Fwoscc%2Ffull-record%2FWOS:000433077300009","View Full Record in Web of Science")</f>
        <v>View Full Record in Web of Science</v>
      </c>
    </row>
    <row r="500" spans="1:72" x14ac:dyDescent="0.25">
      <c r="A500" t="s">
        <v>72</v>
      </c>
      <c r="B500" t="s">
        <v>8722</v>
      </c>
      <c r="C500" t="s">
        <v>74</v>
      </c>
      <c r="D500" t="s">
        <v>74</v>
      </c>
      <c r="E500" t="s">
        <v>74</v>
      </c>
      <c r="F500" t="s">
        <v>8723</v>
      </c>
      <c r="G500" t="s">
        <v>74</v>
      </c>
      <c r="H500" t="s">
        <v>74</v>
      </c>
      <c r="I500" t="s">
        <v>8724</v>
      </c>
      <c r="J500" t="s">
        <v>4325</v>
      </c>
      <c r="K500" t="s">
        <v>74</v>
      </c>
      <c r="L500" t="s">
        <v>74</v>
      </c>
      <c r="M500" t="s">
        <v>77</v>
      </c>
      <c r="N500" t="s">
        <v>78</v>
      </c>
      <c r="O500" t="s">
        <v>74</v>
      </c>
      <c r="P500" t="s">
        <v>74</v>
      </c>
      <c r="Q500" t="s">
        <v>74</v>
      </c>
      <c r="R500" t="s">
        <v>74</v>
      </c>
      <c r="S500" t="s">
        <v>74</v>
      </c>
      <c r="T500" t="s">
        <v>74</v>
      </c>
      <c r="U500" t="s">
        <v>8725</v>
      </c>
      <c r="V500" t="s">
        <v>8726</v>
      </c>
      <c r="W500" t="s">
        <v>8727</v>
      </c>
      <c r="X500" t="s">
        <v>8728</v>
      </c>
      <c r="Y500" t="s">
        <v>8729</v>
      </c>
      <c r="Z500" t="s">
        <v>8730</v>
      </c>
      <c r="AA500" t="s">
        <v>8731</v>
      </c>
      <c r="AB500" t="s">
        <v>8732</v>
      </c>
      <c r="AC500" t="s">
        <v>74</v>
      </c>
      <c r="AD500" t="s">
        <v>74</v>
      </c>
      <c r="AE500" t="s">
        <v>74</v>
      </c>
      <c r="AF500" t="s">
        <v>74</v>
      </c>
      <c r="AG500">
        <v>114</v>
      </c>
      <c r="AH500">
        <v>15</v>
      </c>
      <c r="AI500">
        <v>16</v>
      </c>
      <c r="AJ500">
        <v>2</v>
      </c>
      <c r="AK500">
        <v>64</v>
      </c>
      <c r="AL500" t="s">
        <v>218</v>
      </c>
      <c r="AM500" t="s">
        <v>219</v>
      </c>
      <c r="AN500" t="s">
        <v>220</v>
      </c>
      <c r="AO500" t="s">
        <v>4332</v>
      </c>
      <c r="AP500" t="s">
        <v>4333</v>
      </c>
      <c r="AQ500" t="s">
        <v>74</v>
      </c>
      <c r="AR500" t="s">
        <v>4334</v>
      </c>
      <c r="AS500" t="s">
        <v>4335</v>
      </c>
      <c r="AT500" t="s">
        <v>375</v>
      </c>
      <c r="AU500">
        <v>2017</v>
      </c>
      <c r="AV500">
        <v>26</v>
      </c>
      <c r="AW500">
        <v>4</v>
      </c>
      <c r="AX500" t="s">
        <v>74</v>
      </c>
      <c r="AY500" t="s">
        <v>74</v>
      </c>
      <c r="AZ500" t="s">
        <v>74</v>
      </c>
      <c r="BA500" t="s">
        <v>74</v>
      </c>
      <c r="BB500">
        <v>391</v>
      </c>
      <c r="BC500">
        <v>406</v>
      </c>
      <c r="BD500" t="s">
        <v>74</v>
      </c>
      <c r="BE500" t="s">
        <v>8733</v>
      </c>
      <c r="BF500" t="str">
        <f>HYPERLINK("http://dx.doi.org/10.1111/caim.12243","http://dx.doi.org/10.1111/caim.12243")</f>
        <v>http://dx.doi.org/10.1111/caim.12243</v>
      </c>
      <c r="BG500" t="s">
        <v>74</v>
      </c>
      <c r="BH500" t="s">
        <v>74</v>
      </c>
      <c r="BI500">
        <v>16</v>
      </c>
      <c r="BJ500" t="s">
        <v>442</v>
      </c>
      <c r="BK500" t="s">
        <v>94</v>
      </c>
      <c r="BL500" t="s">
        <v>95</v>
      </c>
      <c r="BM500" t="s">
        <v>4833</v>
      </c>
      <c r="BN500" t="s">
        <v>74</v>
      </c>
      <c r="BO500" t="s">
        <v>74</v>
      </c>
      <c r="BP500" t="s">
        <v>74</v>
      </c>
      <c r="BQ500" t="s">
        <v>74</v>
      </c>
      <c r="BR500" t="s">
        <v>97</v>
      </c>
      <c r="BS500" t="s">
        <v>8734</v>
      </c>
      <c r="BT500" t="str">
        <f>HYPERLINK("https%3A%2F%2Fwww.webofscience.com%2Fwos%2Fwoscc%2Ffull-record%2FWOS:000416146800007","View Full Record in Web of Science")</f>
        <v>View Full Record in Web of Science</v>
      </c>
    </row>
    <row r="501" spans="1:72" x14ac:dyDescent="0.25">
      <c r="A501" t="s">
        <v>72</v>
      </c>
      <c r="B501" t="s">
        <v>8735</v>
      </c>
      <c r="C501" t="s">
        <v>74</v>
      </c>
      <c r="D501" t="s">
        <v>74</v>
      </c>
      <c r="E501" t="s">
        <v>74</v>
      </c>
      <c r="F501" t="s">
        <v>8736</v>
      </c>
      <c r="G501" t="s">
        <v>74</v>
      </c>
      <c r="H501" t="s">
        <v>74</v>
      </c>
      <c r="I501" t="s">
        <v>8737</v>
      </c>
      <c r="J501" t="s">
        <v>8152</v>
      </c>
      <c r="K501" t="s">
        <v>74</v>
      </c>
      <c r="L501" t="s">
        <v>74</v>
      </c>
      <c r="M501" t="s">
        <v>77</v>
      </c>
      <c r="N501" t="s">
        <v>78</v>
      </c>
      <c r="O501" t="s">
        <v>74</v>
      </c>
      <c r="P501" t="s">
        <v>74</v>
      </c>
      <c r="Q501" t="s">
        <v>74</v>
      </c>
      <c r="R501" t="s">
        <v>74</v>
      </c>
      <c r="S501" t="s">
        <v>74</v>
      </c>
      <c r="T501" t="s">
        <v>8738</v>
      </c>
      <c r="U501" t="s">
        <v>8739</v>
      </c>
      <c r="V501" t="s">
        <v>8740</v>
      </c>
      <c r="W501" t="s">
        <v>8741</v>
      </c>
      <c r="X501" t="s">
        <v>8742</v>
      </c>
      <c r="Y501" t="s">
        <v>8743</v>
      </c>
      <c r="Z501" t="s">
        <v>8744</v>
      </c>
      <c r="AA501" t="s">
        <v>8745</v>
      </c>
      <c r="AB501" t="s">
        <v>8746</v>
      </c>
      <c r="AC501" t="s">
        <v>8747</v>
      </c>
      <c r="AD501" t="s">
        <v>8747</v>
      </c>
      <c r="AE501" t="s">
        <v>8748</v>
      </c>
      <c r="AF501" t="s">
        <v>74</v>
      </c>
      <c r="AG501">
        <v>67</v>
      </c>
      <c r="AH501">
        <v>15</v>
      </c>
      <c r="AI501">
        <v>15</v>
      </c>
      <c r="AJ501">
        <v>2</v>
      </c>
      <c r="AK501">
        <v>44</v>
      </c>
      <c r="AL501" t="s">
        <v>434</v>
      </c>
      <c r="AM501" t="s">
        <v>435</v>
      </c>
      <c r="AN501" t="s">
        <v>436</v>
      </c>
      <c r="AO501" t="s">
        <v>8157</v>
      </c>
      <c r="AP501" t="s">
        <v>8749</v>
      </c>
      <c r="AQ501" t="s">
        <v>74</v>
      </c>
      <c r="AR501" t="s">
        <v>8158</v>
      </c>
      <c r="AS501" t="s">
        <v>8159</v>
      </c>
      <c r="AT501" t="s">
        <v>892</v>
      </c>
      <c r="AU501">
        <v>2017</v>
      </c>
      <c r="AV501">
        <v>134</v>
      </c>
      <c r="AW501" t="s">
        <v>74</v>
      </c>
      <c r="AX501" t="s">
        <v>74</v>
      </c>
      <c r="AY501" t="s">
        <v>74</v>
      </c>
      <c r="AZ501" t="s">
        <v>74</v>
      </c>
      <c r="BA501" t="s">
        <v>74</v>
      </c>
      <c r="BB501">
        <v>95</v>
      </c>
      <c r="BC501">
        <v>102</v>
      </c>
      <c r="BD501" t="s">
        <v>74</v>
      </c>
      <c r="BE501" t="s">
        <v>8750</v>
      </c>
      <c r="BF501" t="str">
        <f>HYPERLINK("http://dx.doi.org/10.1016/j.beproc.2016.09.007","http://dx.doi.org/10.1016/j.beproc.2016.09.007")</f>
        <v>http://dx.doi.org/10.1016/j.beproc.2016.09.007</v>
      </c>
      <c r="BG501" t="s">
        <v>74</v>
      </c>
      <c r="BH501" t="s">
        <v>74</v>
      </c>
      <c r="BI501">
        <v>8</v>
      </c>
      <c r="BJ501" t="s">
        <v>8161</v>
      </c>
      <c r="BK501" t="s">
        <v>147</v>
      </c>
      <c r="BL501" t="s">
        <v>8162</v>
      </c>
      <c r="BM501" t="s">
        <v>8751</v>
      </c>
      <c r="BN501">
        <v>27667554</v>
      </c>
      <c r="BO501" t="s">
        <v>74</v>
      </c>
      <c r="BP501" t="s">
        <v>74</v>
      </c>
      <c r="BQ501" t="s">
        <v>74</v>
      </c>
      <c r="BR501" t="s">
        <v>97</v>
      </c>
      <c r="BS501" t="s">
        <v>8752</v>
      </c>
      <c r="BT501" t="str">
        <f>HYPERLINK("https%3A%2F%2Fwww.webofscience.com%2Fwos%2Fwoscc%2Ffull-record%2FWOS:000392893600013","View Full Record in Web of Science")</f>
        <v>View Full Record in Web of Science</v>
      </c>
    </row>
    <row r="502" spans="1:72" x14ac:dyDescent="0.25">
      <c r="A502" t="s">
        <v>72</v>
      </c>
      <c r="B502" t="s">
        <v>8753</v>
      </c>
      <c r="C502" t="s">
        <v>74</v>
      </c>
      <c r="D502" t="s">
        <v>74</v>
      </c>
      <c r="E502" t="s">
        <v>74</v>
      </c>
      <c r="F502" t="s">
        <v>8754</v>
      </c>
      <c r="G502" t="s">
        <v>74</v>
      </c>
      <c r="H502" t="s">
        <v>74</v>
      </c>
      <c r="I502" t="s">
        <v>8755</v>
      </c>
      <c r="J502" t="s">
        <v>4081</v>
      </c>
      <c r="K502" t="s">
        <v>74</v>
      </c>
      <c r="L502" t="s">
        <v>74</v>
      </c>
      <c r="M502" t="s">
        <v>77</v>
      </c>
      <c r="N502" t="s">
        <v>78</v>
      </c>
      <c r="O502" t="s">
        <v>74</v>
      </c>
      <c r="P502" t="s">
        <v>74</v>
      </c>
      <c r="Q502" t="s">
        <v>74</v>
      </c>
      <c r="R502" t="s">
        <v>74</v>
      </c>
      <c r="S502" t="s">
        <v>74</v>
      </c>
      <c r="T502" t="s">
        <v>8756</v>
      </c>
      <c r="U502" t="s">
        <v>8757</v>
      </c>
      <c r="V502" t="s">
        <v>8758</v>
      </c>
      <c r="W502" t="s">
        <v>8759</v>
      </c>
      <c r="X502" t="s">
        <v>8760</v>
      </c>
      <c r="Y502" t="s">
        <v>8761</v>
      </c>
      <c r="Z502" t="s">
        <v>8762</v>
      </c>
      <c r="AA502" t="s">
        <v>74</v>
      </c>
      <c r="AB502" t="s">
        <v>8763</v>
      </c>
      <c r="AC502" t="s">
        <v>8764</v>
      </c>
      <c r="AD502" t="s">
        <v>8765</v>
      </c>
      <c r="AE502" t="s">
        <v>8766</v>
      </c>
      <c r="AF502" t="s">
        <v>74</v>
      </c>
      <c r="AG502">
        <v>47</v>
      </c>
      <c r="AH502">
        <v>15</v>
      </c>
      <c r="AI502">
        <v>18</v>
      </c>
      <c r="AJ502">
        <v>1</v>
      </c>
      <c r="AK502">
        <v>38</v>
      </c>
      <c r="AL502" t="s">
        <v>218</v>
      </c>
      <c r="AM502" t="s">
        <v>219</v>
      </c>
      <c r="AN502" t="s">
        <v>220</v>
      </c>
      <c r="AO502" t="s">
        <v>4093</v>
      </c>
      <c r="AP502" t="s">
        <v>4094</v>
      </c>
      <c r="AQ502" t="s">
        <v>74</v>
      </c>
      <c r="AR502" t="s">
        <v>4095</v>
      </c>
      <c r="AS502" t="s">
        <v>4096</v>
      </c>
      <c r="AT502" t="s">
        <v>256</v>
      </c>
      <c r="AU502">
        <v>2016</v>
      </c>
      <c r="AV502">
        <v>24</v>
      </c>
      <c r="AW502">
        <v>7</v>
      </c>
      <c r="AX502" t="s">
        <v>74</v>
      </c>
      <c r="AY502" t="s">
        <v>74</v>
      </c>
      <c r="AZ502" t="s">
        <v>74</v>
      </c>
      <c r="BA502" t="s">
        <v>74</v>
      </c>
      <c r="BB502">
        <v>943</v>
      </c>
      <c r="BC502">
        <v>953</v>
      </c>
      <c r="BD502" t="s">
        <v>74</v>
      </c>
      <c r="BE502" t="s">
        <v>8767</v>
      </c>
      <c r="BF502" t="str">
        <f>HYPERLINK("http://dx.doi.org/10.1111/jonm.12404","http://dx.doi.org/10.1111/jonm.12404")</f>
        <v>http://dx.doi.org/10.1111/jonm.12404</v>
      </c>
      <c r="BG502" t="s">
        <v>74</v>
      </c>
      <c r="BH502" t="s">
        <v>74</v>
      </c>
      <c r="BI502">
        <v>11</v>
      </c>
      <c r="BJ502" t="s">
        <v>4098</v>
      </c>
      <c r="BK502" t="s">
        <v>147</v>
      </c>
      <c r="BL502" t="s">
        <v>4099</v>
      </c>
      <c r="BM502" t="s">
        <v>8768</v>
      </c>
      <c r="BN502">
        <v>27271179</v>
      </c>
      <c r="BO502" t="s">
        <v>8769</v>
      </c>
      <c r="BP502" t="s">
        <v>74</v>
      </c>
      <c r="BQ502" t="s">
        <v>74</v>
      </c>
      <c r="BR502" t="s">
        <v>97</v>
      </c>
      <c r="BS502" t="s">
        <v>8770</v>
      </c>
      <c r="BT502" t="str">
        <f>HYPERLINK("https%3A%2F%2Fwww.webofscience.com%2Fwos%2Fwoscc%2Ffull-record%2FWOS:000387216900011","View Full Record in Web of Science")</f>
        <v>View Full Record in Web of Science</v>
      </c>
    </row>
    <row r="503" spans="1:72" x14ac:dyDescent="0.25">
      <c r="A503" t="s">
        <v>72</v>
      </c>
      <c r="B503" t="s">
        <v>8771</v>
      </c>
      <c r="C503" t="s">
        <v>74</v>
      </c>
      <c r="D503" t="s">
        <v>74</v>
      </c>
      <c r="E503" t="s">
        <v>74</v>
      </c>
      <c r="F503" t="s">
        <v>8772</v>
      </c>
      <c r="G503" t="s">
        <v>74</v>
      </c>
      <c r="H503" t="s">
        <v>74</v>
      </c>
      <c r="I503" t="s">
        <v>8773</v>
      </c>
      <c r="J503" t="s">
        <v>8774</v>
      </c>
      <c r="K503" t="s">
        <v>74</v>
      </c>
      <c r="L503" t="s">
        <v>74</v>
      </c>
      <c r="M503" t="s">
        <v>77</v>
      </c>
      <c r="N503" t="s">
        <v>78</v>
      </c>
      <c r="O503" t="s">
        <v>74</v>
      </c>
      <c r="P503" t="s">
        <v>74</v>
      </c>
      <c r="Q503" t="s">
        <v>74</v>
      </c>
      <c r="R503" t="s">
        <v>74</v>
      </c>
      <c r="S503" t="s">
        <v>74</v>
      </c>
      <c r="T503" t="s">
        <v>8775</v>
      </c>
      <c r="U503" t="s">
        <v>8776</v>
      </c>
      <c r="V503" t="s">
        <v>8777</v>
      </c>
      <c r="W503" t="s">
        <v>8778</v>
      </c>
      <c r="X503" t="s">
        <v>8779</v>
      </c>
      <c r="Y503" t="s">
        <v>8780</v>
      </c>
      <c r="Z503" t="s">
        <v>8781</v>
      </c>
      <c r="AA503" t="s">
        <v>8782</v>
      </c>
      <c r="AB503" t="s">
        <v>8783</v>
      </c>
      <c r="AC503" t="s">
        <v>8784</v>
      </c>
      <c r="AD503" t="s">
        <v>8785</v>
      </c>
      <c r="AE503" t="s">
        <v>8786</v>
      </c>
      <c r="AF503" t="s">
        <v>74</v>
      </c>
      <c r="AG503">
        <v>77</v>
      </c>
      <c r="AH503">
        <v>15</v>
      </c>
      <c r="AI503">
        <v>15</v>
      </c>
      <c r="AJ503">
        <v>1</v>
      </c>
      <c r="AK503">
        <v>3</v>
      </c>
      <c r="AL503" t="s">
        <v>766</v>
      </c>
      <c r="AM503" t="s">
        <v>1193</v>
      </c>
      <c r="AN503" t="s">
        <v>1498</v>
      </c>
      <c r="AO503" t="s">
        <v>8787</v>
      </c>
      <c r="AP503" t="s">
        <v>8788</v>
      </c>
      <c r="AQ503" t="s">
        <v>74</v>
      </c>
      <c r="AR503" t="s">
        <v>8789</v>
      </c>
      <c r="AS503" t="s">
        <v>8790</v>
      </c>
      <c r="AT503" t="s">
        <v>375</v>
      </c>
      <c r="AU503">
        <v>2015</v>
      </c>
      <c r="AV503">
        <v>21</v>
      </c>
      <c r="AW503">
        <v>6</v>
      </c>
      <c r="AX503" t="s">
        <v>74</v>
      </c>
      <c r="AY503" t="s">
        <v>74</v>
      </c>
      <c r="AZ503" t="s">
        <v>74</v>
      </c>
      <c r="BA503" t="s">
        <v>74</v>
      </c>
      <c r="BB503">
        <v>1469</v>
      </c>
      <c r="BC503">
        <v>1484</v>
      </c>
      <c r="BD503" t="s">
        <v>74</v>
      </c>
      <c r="BE503" t="s">
        <v>8791</v>
      </c>
      <c r="BF503" t="str">
        <f>HYPERLINK("http://dx.doi.org/10.1007/s11948-014-9620-2","http://dx.doi.org/10.1007/s11948-014-9620-2")</f>
        <v>http://dx.doi.org/10.1007/s11948-014-9620-2</v>
      </c>
      <c r="BG503" t="s">
        <v>74</v>
      </c>
      <c r="BH503" t="s">
        <v>74</v>
      </c>
      <c r="BI503">
        <v>16</v>
      </c>
      <c r="BJ503" t="s">
        <v>8792</v>
      </c>
      <c r="BK503" t="s">
        <v>147</v>
      </c>
      <c r="BL503" t="s">
        <v>8793</v>
      </c>
      <c r="BM503" t="s">
        <v>8794</v>
      </c>
      <c r="BN503">
        <v>25515862</v>
      </c>
      <c r="BO503" t="s">
        <v>718</v>
      </c>
      <c r="BP503" t="s">
        <v>74</v>
      </c>
      <c r="BQ503" t="s">
        <v>74</v>
      </c>
      <c r="BR503" t="s">
        <v>97</v>
      </c>
      <c r="BS503" t="s">
        <v>8795</v>
      </c>
      <c r="BT503" t="str">
        <f>HYPERLINK("https%3A%2F%2Fwww.webofscience.com%2Fwos%2Fwoscc%2Ffull-record%2FWOS:000365471600005","View Full Record in Web of Science")</f>
        <v>View Full Record in Web of Science</v>
      </c>
    </row>
    <row r="504" spans="1:72" x14ac:dyDescent="0.25">
      <c r="A504" t="s">
        <v>72</v>
      </c>
      <c r="B504" t="s">
        <v>8796</v>
      </c>
      <c r="C504" t="s">
        <v>74</v>
      </c>
      <c r="D504" t="s">
        <v>74</v>
      </c>
      <c r="E504" t="s">
        <v>74</v>
      </c>
      <c r="F504" t="s">
        <v>8797</v>
      </c>
      <c r="G504" t="s">
        <v>74</v>
      </c>
      <c r="H504" t="s">
        <v>74</v>
      </c>
      <c r="I504" t="s">
        <v>8798</v>
      </c>
      <c r="J504" t="s">
        <v>466</v>
      </c>
      <c r="K504" t="s">
        <v>74</v>
      </c>
      <c r="L504" t="s">
        <v>74</v>
      </c>
      <c r="M504" t="s">
        <v>77</v>
      </c>
      <c r="N504" t="s">
        <v>78</v>
      </c>
      <c r="O504" t="s">
        <v>74</v>
      </c>
      <c r="P504" t="s">
        <v>74</v>
      </c>
      <c r="Q504" t="s">
        <v>74</v>
      </c>
      <c r="R504" t="s">
        <v>74</v>
      </c>
      <c r="S504" t="s">
        <v>74</v>
      </c>
      <c r="T504" t="s">
        <v>8799</v>
      </c>
      <c r="U504" t="s">
        <v>8800</v>
      </c>
      <c r="V504" t="s">
        <v>8801</v>
      </c>
      <c r="W504" t="s">
        <v>8802</v>
      </c>
      <c r="X504" t="s">
        <v>8803</v>
      </c>
      <c r="Y504" t="s">
        <v>8804</v>
      </c>
      <c r="Z504" t="s">
        <v>8805</v>
      </c>
      <c r="AA504" t="s">
        <v>8806</v>
      </c>
      <c r="AB504" t="s">
        <v>8807</v>
      </c>
      <c r="AC504" t="s">
        <v>74</v>
      </c>
      <c r="AD504" t="s">
        <v>74</v>
      </c>
      <c r="AE504" t="s">
        <v>74</v>
      </c>
      <c r="AF504" t="s">
        <v>74</v>
      </c>
      <c r="AG504">
        <v>33</v>
      </c>
      <c r="AH504">
        <v>15</v>
      </c>
      <c r="AI504">
        <v>15</v>
      </c>
      <c r="AJ504">
        <v>3</v>
      </c>
      <c r="AK504">
        <v>30</v>
      </c>
      <c r="AL504" t="s">
        <v>786</v>
      </c>
      <c r="AM504" t="s">
        <v>219</v>
      </c>
      <c r="AN504" t="s">
        <v>220</v>
      </c>
      <c r="AO504" t="s">
        <v>476</v>
      </c>
      <c r="AP504" t="s">
        <v>477</v>
      </c>
      <c r="AQ504" t="s">
        <v>74</v>
      </c>
      <c r="AR504" t="s">
        <v>478</v>
      </c>
      <c r="AS504" t="s">
        <v>479</v>
      </c>
      <c r="AT504" t="s">
        <v>496</v>
      </c>
      <c r="AU504">
        <v>2013</v>
      </c>
      <c r="AV504">
        <v>47</v>
      </c>
      <c r="AW504">
        <v>3</v>
      </c>
      <c r="AX504" t="s">
        <v>74</v>
      </c>
      <c r="AY504" t="s">
        <v>74</v>
      </c>
      <c r="AZ504" t="s">
        <v>74</v>
      </c>
      <c r="BA504" t="s">
        <v>74</v>
      </c>
      <c r="BB504">
        <v>200</v>
      </c>
      <c r="BC504">
        <v>214</v>
      </c>
      <c r="BD504" t="s">
        <v>74</v>
      </c>
      <c r="BE504" t="s">
        <v>8808</v>
      </c>
      <c r="BF504" t="str">
        <f>HYPERLINK("http://dx.doi.org/10.1002/jocb.31","http://dx.doi.org/10.1002/jocb.31")</f>
        <v>http://dx.doi.org/10.1002/jocb.31</v>
      </c>
      <c r="BG504" t="s">
        <v>74</v>
      </c>
      <c r="BH504" t="s">
        <v>74</v>
      </c>
      <c r="BI504">
        <v>15</v>
      </c>
      <c r="BJ504" t="s">
        <v>481</v>
      </c>
      <c r="BK504" t="s">
        <v>94</v>
      </c>
      <c r="BL504" t="s">
        <v>460</v>
      </c>
      <c r="BM504" t="s">
        <v>1215</v>
      </c>
      <c r="BN504" t="s">
        <v>74</v>
      </c>
      <c r="BO504" t="s">
        <v>74</v>
      </c>
      <c r="BP504" t="s">
        <v>74</v>
      </c>
      <c r="BQ504" t="s">
        <v>74</v>
      </c>
      <c r="BR504" t="s">
        <v>97</v>
      </c>
      <c r="BS504" t="s">
        <v>8809</v>
      </c>
      <c r="BT504" t="str">
        <f>HYPERLINK("https%3A%2F%2Fwww.webofscience.com%2Fwos%2Fwoscc%2Ffull-record%2FWOS:000325865300002","View Full Record in Web of Science")</f>
        <v>View Full Record in Web of Science</v>
      </c>
    </row>
    <row r="505" spans="1:72" x14ac:dyDescent="0.25">
      <c r="A505" t="s">
        <v>72</v>
      </c>
      <c r="B505" t="s">
        <v>8810</v>
      </c>
      <c r="C505" t="s">
        <v>74</v>
      </c>
      <c r="D505" t="s">
        <v>74</v>
      </c>
      <c r="E505" t="s">
        <v>74</v>
      </c>
      <c r="F505" t="s">
        <v>8811</v>
      </c>
      <c r="G505" t="s">
        <v>74</v>
      </c>
      <c r="H505" t="s">
        <v>74</v>
      </c>
      <c r="I505" t="s">
        <v>8812</v>
      </c>
      <c r="J505" t="s">
        <v>8813</v>
      </c>
      <c r="K505" t="s">
        <v>74</v>
      </c>
      <c r="L505" t="s">
        <v>74</v>
      </c>
      <c r="M505" t="s">
        <v>77</v>
      </c>
      <c r="N505" t="s">
        <v>78</v>
      </c>
      <c r="O505" t="s">
        <v>74</v>
      </c>
      <c r="P505" t="s">
        <v>74</v>
      </c>
      <c r="Q505" t="s">
        <v>74</v>
      </c>
      <c r="R505" t="s">
        <v>74</v>
      </c>
      <c r="S505" t="s">
        <v>74</v>
      </c>
      <c r="T505" t="s">
        <v>8814</v>
      </c>
      <c r="U505" t="s">
        <v>8815</v>
      </c>
      <c r="V505" t="s">
        <v>8816</v>
      </c>
      <c r="W505" t="s">
        <v>8817</v>
      </c>
      <c r="X505" t="s">
        <v>8818</v>
      </c>
      <c r="Y505" t="s">
        <v>8819</v>
      </c>
      <c r="Z505" t="s">
        <v>8820</v>
      </c>
      <c r="AA505" t="s">
        <v>74</v>
      </c>
      <c r="AB505" t="s">
        <v>74</v>
      </c>
      <c r="AC505" t="s">
        <v>74</v>
      </c>
      <c r="AD505" t="s">
        <v>74</v>
      </c>
      <c r="AE505" t="s">
        <v>74</v>
      </c>
      <c r="AF505" t="s">
        <v>74</v>
      </c>
      <c r="AG505">
        <v>68</v>
      </c>
      <c r="AH505">
        <v>15</v>
      </c>
      <c r="AI505">
        <v>16</v>
      </c>
      <c r="AJ505">
        <v>1</v>
      </c>
      <c r="AK505">
        <v>31</v>
      </c>
      <c r="AL505" t="s">
        <v>434</v>
      </c>
      <c r="AM505" t="s">
        <v>435</v>
      </c>
      <c r="AN505" t="s">
        <v>436</v>
      </c>
      <c r="AO505" t="s">
        <v>8821</v>
      </c>
      <c r="AP505" t="s">
        <v>8822</v>
      </c>
      <c r="AQ505" t="s">
        <v>74</v>
      </c>
      <c r="AR505" t="s">
        <v>8823</v>
      </c>
      <c r="AS505" t="s">
        <v>8824</v>
      </c>
      <c r="AT505" t="s">
        <v>165</v>
      </c>
      <c r="AU505">
        <v>2013</v>
      </c>
      <c r="AV505">
        <v>35</v>
      </c>
      <c r="AW505">
        <v>2</v>
      </c>
      <c r="AX505" t="s">
        <v>74</v>
      </c>
      <c r="AY505" t="s">
        <v>74</v>
      </c>
      <c r="AZ505" t="s">
        <v>74</v>
      </c>
      <c r="BA505" t="s">
        <v>74</v>
      </c>
      <c r="BB505">
        <v>91</v>
      </c>
      <c r="BC505">
        <v>112</v>
      </c>
      <c r="BD505" t="s">
        <v>74</v>
      </c>
      <c r="BE505" t="s">
        <v>8825</v>
      </c>
      <c r="BF505" t="str">
        <f>HYPERLINK("http://dx.doi.org/10.1016/j.reseneeco.2012.12.002","http://dx.doi.org/10.1016/j.reseneeco.2012.12.002")</f>
        <v>http://dx.doi.org/10.1016/j.reseneeco.2012.12.002</v>
      </c>
      <c r="BG505" t="s">
        <v>74</v>
      </c>
      <c r="BH505" t="s">
        <v>74</v>
      </c>
      <c r="BI505">
        <v>22</v>
      </c>
      <c r="BJ505" t="s">
        <v>8826</v>
      </c>
      <c r="BK505" t="s">
        <v>94</v>
      </c>
      <c r="BL505" t="s">
        <v>8827</v>
      </c>
      <c r="BM505" t="s">
        <v>8828</v>
      </c>
      <c r="BN505" t="s">
        <v>74</v>
      </c>
      <c r="BO505" t="s">
        <v>74</v>
      </c>
      <c r="BP505" t="s">
        <v>74</v>
      </c>
      <c r="BQ505" t="s">
        <v>74</v>
      </c>
      <c r="BR505" t="s">
        <v>97</v>
      </c>
      <c r="BS505" t="s">
        <v>8829</v>
      </c>
      <c r="BT505" t="str">
        <f>HYPERLINK("https%3A%2F%2Fwww.webofscience.com%2Fwos%2Fwoscc%2Ffull-record%2FWOS:000316973600001","View Full Record in Web of Science")</f>
        <v>View Full Record in Web of Science</v>
      </c>
    </row>
    <row r="506" spans="1:72" x14ac:dyDescent="0.25">
      <c r="A506" t="s">
        <v>72</v>
      </c>
      <c r="B506" t="s">
        <v>8830</v>
      </c>
      <c r="C506" t="s">
        <v>74</v>
      </c>
      <c r="D506" t="s">
        <v>74</v>
      </c>
      <c r="E506" t="s">
        <v>74</v>
      </c>
      <c r="F506" t="s">
        <v>8830</v>
      </c>
      <c r="G506" t="s">
        <v>74</v>
      </c>
      <c r="H506" t="s">
        <v>74</v>
      </c>
      <c r="I506" t="s">
        <v>8831</v>
      </c>
      <c r="J506" t="s">
        <v>8832</v>
      </c>
      <c r="K506" t="s">
        <v>74</v>
      </c>
      <c r="L506" t="s">
        <v>74</v>
      </c>
      <c r="M506" t="s">
        <v>77</v>
      </c>
      <c r="N506" t="s">
        <v>78</v>
      </c>
      <c r="O506" t="s">
        <v>74</v>
      </c>
      <c r="P506" t="s">
        <v>74</v>
      </c>
      <c r="Q506" t="s">
        <v>74</v>
      </c>
      <c r="R506" t="s">
        <v>74</v>
      </c>
      <c r="S506" t="s">
        <v>74</v>
      </c>
      <c r="T506" t="s">
        <v>8833</v>
      </c>
      <c r="U506" t="s">
        <v>8834</v>
      </c>
      <c r="V506" t="s">
        <v>8835</v>
      </c>
      <c r="W506" t="s">
        <v>8836</v>
      </c>
      <c r="X506" t="s">
        <v>8837</v>
      </c>
      <c r="Y506" t="s">
        <v>8838</v>
      </c>
      <c r="Z506" t="s">
        <v>74</v>
      </c>
      <c r="AA506" t="s">
        <v>74</v>
      </c>
      <c r="AB506" t="s">
        <v>74</v>
      </c>
      <c r="AC506" t="s">
        <v>74</v>
      </c>
      <c r="AD506" t="s">
        <v>74</v>
      </c>
      <c r="AE506" t="s">
        <v>74</v>
      </c>
      <c r="AF506" t="s">
        <v>74</v>
      </c>
      <c r="AG506">
        <v>18</v>
      </c>
      <c r="AH506">
        <v>15</v>
      </c>
      <c r="AI506">
        <v>15</v>
      </c>
      <c r="AJ506">
        <v>0</v>
      </c>
      <c r="AK506">
        <v>3</v>
      </c>
      <c r="AL506" t="s">
        <v>2304</v>
      </c>
      <c r="AM506" t="s">
        <v>160</v>
      </c>
      <c r="AN506" t="s">
        <v>8839</v>
      </c>
      <c r="AO506" t="s">
        <v>8840</v>
      </c>
      <c r="AP506" t="s">
        <v>74</v>
      </c>
      <c r="AQ506" t="s">
        <v>74</v>
      </c>
      <c r="AR506" t="s">
        <v>8841</v>
      </c>
      <c r="AS506" t="s">
        <v>8842</v>
      </c>
      <c r="AT506" t="s">
        <v>792</v>
      </c>
      <c r="AU506">
        <v>1994</v>
      </c>
      <c r="AV506">
        <v>39</v>
      </c>
      <c r="AW506">
        <v>1</v>
      </c>
      <c r="AX506" t="s">
        <v>74</v>
      </c>
      <c r="AY506" t="s">
        <v>74</v>
      </c>
      <c r="AZ506" t="s">
        <v>74</v>
      </c>
      <c r="BA506" t="s">
        <v>74</v>
      </c>
      <c r="BB506">
        <v>39</v>
      </c>
      <c r="BC506">
        <v>52</v>
      </c>
      <c r="BD506" t="s">
        <v>74</v>
      </c>
      <c r="BE506" t="s">
        <v>8843</v>
      </c>
      <c r="BF506" t="str">
        <f>HYPERLINK("http://dx.doi.org/10.1016/0277-9536(94)90164-3","http://dx.doi.org/10.1016/0277-9536(94)90164-3")</f>
        <v>http://dx.doi.org/10.1016/0277-9536(94)90164-3</v>
      </c>
      <c r="BG506" t="s">
        <v>74</v>
      </c>
      <c r="BH506" t="s">
        <v>74</v>
      </c>
      <c r="BI506">
        <v>14</v>
      </c>
      <c r="BJ506" t="s">
        <v>8844</v>
      </c>
      <c r="BK506" t="s">
        <v>94</v>
      </c>
      <c r="BL506" t="s">
        <v>8845</v>
      </c>
      <c r="BM506" t="s">
        <v>8846</v>
      </c>
      <c r="BN506">
        <v>8066486</v>
      </c>
      <c r="BO506" t="s">
        <v>74</v>
      </c>
      <c r="BP506" t="s">
        <v>74</v>
      </c>
      <c r="BQ506" t="s">
        <v>74</v>
      </c>
      <c r="BR506" t="s">
        <v>97</v>
      </c>
      <c r="BS506" t="s">
        <v>8847</v>
      </c>
      <c r="BT506" t="str">
        <f>HYPERLINK("https%3A%2F%2Fwww.webofscience.com%2Fwos%2Fwoscc%2Ffull-record%2FWOS:A1994NN25300004","View Full Record in Web of Science")</f>
        <v>View Full Record in Web of Science</v>
      </c>
    </row>
    <row r="507" spans="1:72" x14ac:dyDescent="0.25">
      <c r="A507" t="s">
        <v>72</v>
      </c>
      <c r="B507" t="s">
        <v>8848</v>
      </c>
      <c r="C507" t="s">
        <v>74</v>
      </c>
      <c r="D507" t="s">
        <v>74</v>
      </c>
      <c r="E507" t="s">
        <v>74</v>
      </c>
      <c r="F507" t="s">
        <v>8849</v>
      </c>
      <c r="G507" t="s">
        <v>74</v>
      </c>
      <c r="H507" t="s">
        <v>74</v>
      </c>
      <c r="I507" t="s">
        <v>8850</v>
      </c>
      <c r="J507" t="s">
        <v>8851</v>
      </c>
      <c r="K507" t="s">
        <v>74</v>
      </c>
      <c r="L507" t="s">
        <v>74</v>
      </c>
      <c r="M507" t="s">
        <v>77</v>
      </c>
      <c r="N507" t="s">
        <v>78</v>
      </c>
      <c r="O507" t="s">
        <v>74</v>
      </c>
      <c r="P507" t="s">
        <v>74</v>
      </c>
      <c r="Q507" t="s">
        <v>74</v>
      </c>
      <c r="R507" t="s">
        <v>74</v>
      </c>
      <c r="S507" t="s">
        <v>74</v>
      </c>
      <c r="T507" t="s">
        <v>8852</v>
      </c>
      <c r="U507" t="s">
        <v>8853</v>
      </c>
      <c r="V507" t="s">
        <v>8854</v>
      </c>
      <c r="W507" t="s">
        <v>8855</v>
      </c>
      <c r="X507" t="s">
        <v>8856</v>
      </c>
      <c r="Y507" t="s">
        <v>8857</v>
      </c>
      <c r="Z507" t="s">
        <v>8858</v>
      </c>
      <c r="AA507" t="s">
        <v>8859</v>
      </c>
      <c r="AB507" t="s">
        <v>8860</v>
      </c>
      <c r="AC507" t="s">
        <v>8861</v>
      </c>
      <c r="AD507" t="s">
        <v>8862</v>
      </c>
      <c r="AE507" t="s">
        <v>8863</v>
      </c>
      <c r="AF507" t="s">
        <v>74</v>
      </c>
      <c r="AG507">
        <v>59</v>
      </c>
      <c r="AH507">
        <v>14</v>
      </c>
      <c r="AI507">
        <v>14</v>
      </c>
      <c r="AJ507">
        <v>24</v>
      </c>
      <c r="AK507">
        <v>62</v>
      </c>
      <c r="AL507" t="s">
        <v>350</v>
      </c>
      <c r="AM507" t="s">
        <v>351</v>
      </c>
      <c r="AN507" t="s">
        <v>352</v>
      </c>
      <c r="AO507" t="s">
        <v>8864</v>
      </c>
      <c r="AP507" t="s">
        <v>74</v>
      </c>
      <c r="AQ507" t="s">
        <v>74</v>
      </c>
      <c r="AR507" t="s">
        <v>8851</v>
      </c>
      <c r="AS507" t="s">
        <v>8865</v>
      </c>
      <c r="AT507" t="s">
        <v>792</v>
      </c>
      <c r="AU507">
        <v>2021</v>
      </c>
      <c r="AV507">
        <v>11</v>
      </c>
      <c r="AW507">
        <v>3</v>
      </c>
      <c r="AX507" t="s">
        <v>74</v>
      </c>
      <c r="AY507" t="s">
        <v>74</v>
      </c>
      <c r="AZ507" t="s">
        <v>74</v>
      </c>
      <c r="BA507" t="s">
        <v>74</v>
      </c>
      <c r="BB507" t="s">
        <v>74</v>
      </c>
      <c r="BC507" t="s">
        <v>74</v>
      </c>
      <c r="BD507">
        <v>2.1582440211040808E+16</v>
      </c>
      <c r="BE507" t="s">
        <v>8866</v>
      </c>
      <c r="BF507" t="str">
        <f>HYPERLINK("http://dx.doi.org/10.1177/21582440211040809","http://dx.doi.org/10.1177/21582440211040809")</f>
        <v>http://dx.doi.org/10.1177/21582440211040809</v>
      </c>
      <c r="BG507" t="s">
        <v>74</v>
      </c>
      <c r="BH507" t="s">
        <v>74</v>
      </c>
      <c r="BI507">
        <v>14</v>
      </c>
      <c r="BJ507" t="s">
        <v>8867</v>
      </c>
      <c r="BK507" t="s">
        <v>94</v>
      </c>
      <c r="BL507" t="s">
        <v>631</v>
      </c>
      <c r="BM507" t="s">
        <v>8868</v>
      </c>
      <c r="BN507" t="s">
        <v>74</v>
      </c>
      <c r="BO507" t="s">
        <v>2482</v>
      </c>
      <c r="BP507" t="s">
        <v>74</v>
      </c>
      <c r="BQ507" t="s">
        <v>74</v>
      </c>
      <c r="BR507" t="s">
        <v>97</v>
      </c>
      <c r="BS507" t="s">
        <v>8869</v>
      </c>
      <c r="BT507" t="str">
        <f>HYPERLINK("https%3A%2F%2Fwww.webofscience.com%2Fwos%2Fwoscc%2Ffull-record%2FWOS:000708715400001","View Full Record in Web of Science")</f>
        <v>View Full Record in Web of Science</v>
      </c>
    </row>
    <row r="508" spans="1:72" x14ac:dyDescent="0.25">
      <c r="A508" t="s">
        <v>72</v>
      </c>
      <c r="B508" t="s">
        <v>8870</v>
      </c>
      <c r="C508" t="s">
        <v>74</v>
      </c>
      <c r="D508" t="s">
        <v>74</v>
      </c>
      <c r="E508" t="s">
        <v>74</v>
      </c>
      <c r="F508" t="s">
        <v>8871</v>
      </c>
      <c r="G508" t="s">
        <v>74</v>
      </c>
      <c r="H508" t="s">
        <v>74</v>
      </c>
      <c r="I508" t="s">
        <v>8872</v>
      </c>
      <c r="J508" t="s">
        <v>6318</v>
      </c>
      <c r="K508" t="s">
        <v>74</v>
      </c>
      <c r="L508" t="s">
        <v>74</v>
      </c>
      <c r="M508" t="s">
        <v>77</v>
      </c>
      <c r="N508" t="s">
        <v>78</v>
      </c>
      <c r="O508" t="s">
        <v>74</v>
      </c>
      <c r="P508" t="s">
        <v>74</v>
      </c>
      <c r="Q508" t="s">
        <v>74</v>
      </c>
      <c r="R508" t="s">
        <v>74</v>
      </c>
      <c r="S508" t="s">
        <v>74</v>
      </c>
      <c r="T508" t="s">
        <v>8873</v>
      </c>
      <c r="U508" t="s">
        <v>8874</v>
      </c>
      <c r="V508" t="s">
        <v>8875</v>
      </c>
      <c r="W508" t="s">
        <v>8876</v>
      </c>
      <c r="X508" t="s">
        <v>8877</v>
      </c>
      <c r="Y508" t="s">
        <v>8878</v>
      </c>
      <c r="Z508" t="s">
        <v>8879</v>
      </c>
      <c r="AA508" t="s">
        <v>74</v>
      </c>
      <c r="AB508" t="s">
        <v>8880</v>
      </c>
      <c r="AC508" t="s">
        <v>74</v>
      </c>
      <c r="AD508" t="s">
        <v>74</v>
      </c>
      <c r="AE508" t="s">
        <v>74</v>
      </c>
      <c r="AF508" t="s">
        <v>74</v>
      </c>
      <c r="AG508">
        <v>141</v>
      </c>
      <c r="AH508">
        <v>14</v>
      </c>
      <c r="AI508">
        <v>14</v>
      </c>
      <c r="AJ508">
        <v>5</v>
      </c>
      <c r="AK508">
        <v>55</v>
      </c>
      <c r="AL508" t="s">
        <v>350</v>
      </c>
      <c r="AM508" t="s">
        <v>351</v>
      </c>
      <c r="AN508" t="s">
        <v>352</v>
      </c>
      <c r="AO508" t="s">
        <v>6328</v>
      </c>
      <c r="AP508" t="s">
        <v>6329</v>
      </c>
      <c r="AQ508" t="s">
        <v>74</v>
      </c>
      <c r="AR508" t="s">
        <v>6330</v>
      </c>
      <c r="AS508" t="s">
        <v>6331</v>
      </c>
      <c r="AT508" t="s">
        <v>375</v>
      </c>
      <c r="AU508">
        <v>2020</v>
      </c>
      <c r="AV508">
        <v>33</v>
      </c>
      <c r="AW508">
        <v>4</v>
      </c>
      <c r="AX508" t="s">
        <v>74</v>
      </c>
      <c r="AY508" t="s">
        <v>74</v>
      </c>
      <c r="AZ508" t="s">
        <v>74</v>
      </c>
      <c r="BA508" t="s">
        <v>74</v>
      </c>
      <c r="BB508">
        <v>393</v>
      </c>
      <c r="BC508">
        <v>423</v>
      </c>
      <c r="BD508" t="s">
        <v>74</v>
      </c>
      <c r="BE508" t="s">
        <v>8881</v>
      </c>
      <c r="BF508" t="str">
        <f>HYPERLINK("http://dx.doi.org/10.1177/0894486520961645","http://dx.doi.org/10.1177/0894486520961645")</f>
        <v>http://dx.doi.org/10.1177/0894486520961645</v>
      </c>
      <c r="BG508" t="s">
        <v>74</v>
      </c>
      <c r="BH508" t="s">
        <v>74</v>
      </c>
      <c r="BI508">
        <v>31</v>
      </c>
      <c r="BJ508" t="s">
        <v>337</v>
      </c>
      <c r="BK508" t="s">
        <v>94</v>
      </c>
      <c r="BL508" t="s">
        <v>95</v>
      </c>
      <c r="BM508" t="s">
        <v>8882</v>
      </c>
      <c r="BN508" t="s">
        <v>74</v>
      </c>
      <c r="BO508" t="s">
        <v>408</v>
      </c>
      <c r="BP508" t="s">
        <v>74</v>
      </c>
      <c r="BQ508" t="s">
        <v>74</v>
      </c>
      <c r="BR508" t="s">
        <v>97</v>
      </c>
      <c r="BS508" t="s">
        <v>8883</v>
      </c>
      <c r="BT508" t="str">
        <f>HYPERLINK("https%3A%2F%2Fwww.webofscience.com%2Fwos%2Fwoscc%2Ffull-record%2FWOS:000588350200004","View Full Record in Web of Science")</f>
        <v>View Full Record in Web of Science</v>
      </c>
    </row>
    <row r="509" spans="1:72" x14ac:dyDescent="0.25">
      <c r="A509" t="s">
        <v>72</v>
      </c>
      <c r="B509" t="s">
        <v>8884</v>
      </c>
      <c r="C509" t="s">
        <v>74</v>
      </c>
      <c r="D509" t="s">
        <v>74</v>
      </c>
      <c r="E509" t="s">
        <v>74</v>
      </c>
      <c r="F509" t="s">
        <v>8885</v>
      </c>
      <c r="G509" t="s">
        <v>74</v>
      </c>
      <c r="H509" t="s">
        <v>74</v>
      </c>
      <c r="I509" t="s">
        <v>8886</v>
      </c>
      <c r="J509" t="s">
        <v>4935</v>
      </c>
      <c r="K509" t="s">
        <v>74</v>
      </c>
      <c r="L509" t="s">
        <v>74</v>
      </c>
      <c r="M509" t="s">
        <v>77</v>
      </c>
      <c r="N509" t="s">
        <v>78</v>
      </c>
      <c r="O509" t="s">
        <v>74</v>
      </c>
      <c r="P509" t="s">
        <v>74</v>
      </c>
      <c r="Q509" t="s">
        <v>74</v>
      </c>
      <c r="R509" t="s">
        <v>74</v>
      </c>
      <c r="S509" t="s">
        <v>74</v>
      </c>
      <c r="T509" t="s">
        <v>8887</v>
      </c>
      <c r="U509" t="s">
        <v>8888</v>
      </c>
      <c r="V509" t="s">
        <v>8889</v>
      </c>
      <c r="W509" t="s">
        <v>8890</v>
      </c>
      <c r="X509" t="s">
        <v>8891</v>
      </c>
      <c r="Y509" t="s">
        <v>8892</v>
      </c>
      <c r="Z509" t="s">
        <v>8893</v>
      </c>
      <c r="AA509" t="s">
        <v>74</v>
      </c>
      <c r="AB509" t="s">
        <v>74</v>
      </c>
      <c r="AC509" t="s">
        <v>74</v>
      </c>
      <c r="AD509" t="s">
        <v>74</v>
      </c>
      <c r="AE509" t="s">
        <v>74</v>
      </c>
      <c r="AF509" t="s">
        <v>74</v>
      </c>
      <c r="AG509">
        <v>82</v>
      </c>
      <c r="AH509">
        <v>14</v>
      </c>
      <c r="AI509">
        <v>14</v>
      </c>
      <c r="AJ509">
        <v>12</v>
      </c>
      <c r="AK509">
        <v>50</v>
      </c>
      <c r="AL509" t="s">
        <v>350</v>
      </c>
      <c r="AM509" t="s">
        <v>351</v>
      </c>
      <c r="AN509" t="s">
        <v>352</v>
      </c>
      <c r="AO509" t="s">
        <v>4947</v>
      </c>
      <c r="AP509" t="s">
        <v>4948</v>
      </c>
      <c r="AQ509" t="s">
        <v>74</v>
      </c>
      <c r="AR509" t="s">
        <v>4949</v>
      </c>
      <c r="AS509" t="s">
        <v>4950</v>
      </c>
      <c r="AT509" t="s">
        <v>375</v>
      </c>
      <c r="AU509">
        <v>2020</v>
      </c>
      <c r="AV509">
        <v>19</v>
      </c>
      <c r="AW509">
        <v>4</v>
      </c>
      <c r="AX509" t="s">
        <v>74</v>
      </c>
      <c r="AY509" t="s">
        <v>74</v>
      </c>
      <c r="AZ509" t="s">
        <v>74</v>
      </c>
      <c r="BA509" t="s">
        <v>74</v>
      </c>
      <c r="BB509">
        <v>339</v>
      </c>
      <c r="BC509">
        <v>361</v>
      </c>
      <c r="BD509">
        <v>1534484320946208</v>
      </c>
      <c r="BE509" t="s">
        <v>8894</v>
      </c>
      <c r="BF509" t="str">
        <f>HYPERLINK("http://dx.doi.org/10.1177/1534484320946208","http://dx.doi.org/10.1177/1534484320946208")</f>
        <v>http://dx.doi.org/10.1177/1534484320946208</v>
      </c>
      <c r="BG509" t="s">
        <v>74</v>
      </c>
      <c r="BH509" t="s">
        <v>7030</v>
      </c>
      <c r="BI509">
        <v>23</v>
      </c>
      <c r="BJ509" t="s">
        <v>442</v>
      </c>
      <c r="BK509" t="s">
        <v>94</v>
      </c>
      <c r="BL509" t="s">
        <v>95</v>
      </c>
      <c r="BM509" t="s">
        <v>8895</v>
      </c>
      <c r="BN509" t="s">
        <v>74</v>
      </c>
      <c r="BO509" t="s">
        <v>74</v>
      </c>
      <c r="BP509" t="s">
        <v>74</v>
      </c>
      <c r="BQ509" t="s">
        <v>74</v>
      </c>
      <c r="BR509" t="s">
        <v>97</v>
      </c>
      <c r="BS509" t="s">
        <v>8896</v>
      </c>
      <c r="BT509" t="str">
        <f>HYPERLINK("https%3A%2F%2Fwww.webofscience.com%2Fwos%2Fwoscc%2Ffull-record%2FWOS:000557431700001","View Full Record in Web of Science")</f>
        <v>View Full Record in Web of Science</v>
      </c>
    </row>
    <row r="510" spans="1:72" x14ac:dyDescent="0.25">
      <c r="A510" t="s">
        <v>72</v>
      </c>
      <c r="B510" t="s">
        <v>8897</v>
      </c>
      <c r="C510" t="s">
        <v>74</v>
      </c>
      <c r="D510" t="s">
        <v>74</v>
      </c>
      <c r="E510" t="s">
        <v>74</v>
      </c>
      <c r="F510" t="s">
        <v>8898</v>
      </c>
      <c r="G510" t="s">
        <v>74</v>
      </c>
      <c r="H510" t="s">
        <v>74</v>
      </c>
      <c r="I510" t="s">
        <v>8899</v>
      </c>
      <c r="J510" t="s">
        <v>3184</v>
      </c>
      <c r="K510" t="s">
        <v>74</v>
      </c>
      <c r="L510" t="s">
        <v>74</v>
      </c>
      <c r="M510" t="s">
        <v>77</v>
      </c>
      <c r="N510" t="s">
        <v>78</v>
      </c>
      <c r="O510" t="s">
        <v>74</v>
      </c>
      <c r="P510" t="s">
        <v>74</v>
      </c>
      <c r="Q510" t="s">
        <v>74</v>
      </c>
      <c r="R510" t="s">
        <v>74</v>
      </c>
      <c r="S510" t="s">
        <v>74</v>
      </c>
      <c r="T510" t="s">
        <v>8900</v>
      </c>
      <c r="U510" t="s">
        <v>8901</v>
      </c>
      <c r="V510" t="s">
        <v>8902</v>
      </c>
      <c r="W510" t="s">
        <v>8903</v>
      </c>
      <c r="X510" t="s">
        <v>8904</v>
      </c>
      <c r="Y510" t="s">
        <v>8905</v>
      </c>
      <c r="Z510" t="s">
        <v>8906</v>
      </c>
      <c r="AA510" t="s">
        <v>8907</v>
      </c>
      <c r="AB510" t="s">
        <v>74</v>
      </c>
      <c r="AC510" t="s">
        <v>74</v>
      </c>
      <c r="AD510" t="s">
        <v>74</v>
      </c>
      <c r="AE510" t="s">
        <v>74</v>
      </c>
      <c r="AF510" t="s">
        <v>74</v>
      </c>
      <c r="AG510">
        <v>86</v>
      </c>
      <c r="AH510">
        <v>14</v>
      </c>
      <c r="AI510">
        <v>15</v>
      </c>
      <c r="AJ510">
        <v>17</v>
      </c>
      <c r="AK510">
        <v>110</v>
      </c>
      <c r="AL510" t="s">
        <v>3195</v>
      </c>
      <c r="AM510" t="s">
        <v>3196</v>
      </c>
      <c r="AN510" t="s">
        <v>3197</v>
      </c>
      <c r="AO510" t="s">
        <v>3198</v>
      </c>
      <c r="AP510" t="s">
        <v>74</v>
      </c>
      <c r="AQ510" t="s">
        <v>74</v>
      </c>
      <c r="AR510" t="s">
        <v>3199</v>
      </c>
      <c r="AS510" t="s">
        <v>3200</v>
      </c>
      <c r="AT510" t="s">
        <v>8908</v>
      </c>
      <c r="AU510">
        <v>2020</v>
      </c>
      <c r="AV510">
        <v>11</v>
      </c>
      <c r="AW510" t="s">
        <v>74</v>
      </c>
      <c r="AX510" t="s">
        <v>74</v>
      </c>
      <c r="AY510" t="s">
        <v>74</v>
      </c>
      <c r="AZ510" t="s">
        <v>74</v>
      </c>
      <c r="BA510" t="s">
        <v>74</v>
      </c>
      <c r="BB510" t="s">
        <v>74</v>
      </c>
      <c r="BC510" t="s">
        <v>74</v>
      </c>
      <c r="BD510">
        <v>590</v>
      </c>
      <c r="BE510" t="s">
        <v>8909</v>
      </c>
      <c r="BF510" t="str">
        <f>HYPERLINK("http://dx.doi.org/10.3389/fpsyg.2020.00590","http://dx.doi.org/10.3389/fpsyg.2020.00590")</f>
        <v>http://dx.doi.org/10.3389/fpsyg.2020.00590</v>
      </c>
      <c r="BG510" t="s">
        <v>74</v>
      </c>
      <c r="BH510" t="s">
        <v>74</v>
      </c>
      <c r="BI510">
        <v>11</v>
      </c>
      <c r="BJ510" t="s">
        <v>3203</v>
      </c>
      <c r="BK510" t="s">
        <v>94</v>
      </c>
      <c r="BL510" t="s">
        <v>460</v>
      </c>
      <c r="BM510" t="s">
        <v>8910</v>
      </c>
      <c r="BN510">
        <v>32373007</v>
      </c>
      <c r="BO510" t="s">
        <v>4398</v>
      </c>
      <c r="BP510" t="s">
        <v>74</v>
      </c>
      <c r="BQ510" t="s">
        <v>74</v>
      </c>
      <c r="BR510" t="s">
        <v>97</v>
      </c>
      <c r="BS510" t="s">
        <v>8911</v>
      </c>
      <c r="BT510" t="str">
        <f>HYPERLINK("https%3A%2F%2Fwww.webofscience.com%2Fwos%2Fwoscc%2Ffull-record%2FWOS:000531631200001","View Full Record in Web of Science")</f>
        <v>View Full Record in Web of Science</v>
      </c>
    </row>
    <row r="511" spans="1:72" x14ac:dyDescent="0.25">
      <c r="A511" t="s">
        <v>72</v>
      </c>
      <c r="B511" t="s">
        <v>8912</v>
      </c>
      <c r="C511" t="s">
        <v>74</v>
      </c>
      <c r="D511" t="s">
        <v>74</v>
      </c>
      <c r="E511" t="s">
        <v>74</v>
      </c>
      <c r="F511" t="s">
        <v>8913</v>
      </c>
      <c r="G511" t="s">
        <v>74</v>
      </c>
      <c r="H511" t="s">
        <v>74</v>
      </c>
      <c r="I511" t="s">
        <v>8914</v>
      </c>
      <c r="J511" t="s">
        <v>2463</v>
      </c>
      <c r="K511" t="s">
        <v>74</v>
      </c>
      <c r="L511" t="s">
        <v>74</v>
      </c>
      <c r="M511" t="s">
        <v>77</v>
      </c>
      <c r="N511" t="s">
        <v>78</v>
      </c>
      <c r="O511" t="s">
        <v>74</v>
      </c>
      <c r="P511" t="s">
        <v>74</v>
      </c>
      <c r="Q511" t="s">
        <v>74</v>
      </c>
      <c r="R511" t="s">
        <v>74</v>
      </c>
      <c r="S511" t="s">
        <v>74</v>
      </c>
      <c r="T511" t="s">
        <v>8915</v>
      </c>
      <c r="U511" t="s">
        <v>8916</v>
      </c>
      <c r="V511" t="s">
        <v>8917</v>
      </c>
      <c r="W511" t="s">
        <v>8918</v>
      </c>
      <c r="X511" t="s">
        <v>8919</v>
      </c>
      <c r="Y511" t="s">
        <v>8920</v>
      </c>
      <c r="Z511" t="s">
        <v>8921</v>
      </c>
      <c r="AA511" t="s">
        <v>8922</v>
      </c>
      <c r="AB511" t="s">
        <v>8923</v>
      </c>
      <c r="AC511" t="s">
        <v>74</v>
      </c>
      <c r="AD511" t="s">
        <v>74</v>
      </c>
      <c r="AE511" t="s">
        <v>74</v>
      </c>
      <c r="AF511" t="s">
        <v>74</v>
      </c>
      <c r="AG511">
        <v>86</v>
      </c>
      <c r="AH511">
        <v>14</v>
      </c>
      <c r="AI511">
        <v>14</v>
      </c>
      <c r="AJ511">
        <v>13</v>
      </c>
      <c r="AK511">
        <v>49</v>
      </c>
      <c r="AL511" t="s">
        <v>2473</v>
      </c>
      <c r="AM511" t="s">
        <v>2102</v>
      </c>
      <c r="AN511" t="s">
        <v>2474</v>
      </c>
      <c r="AO511" t="s">
        <v>74</v>
      </c>
      <c r="AP511" t="s">
        <v>2475</v>
      </c>
      <c r="AQ511" t="s">
        <v>74</v>
      </c>
      <c r="AR511" t="s">
        <v>2476</v>
      </c>
      <c r="AS511" t="s">
        <v>2477</v>
      </c>
      <c r="AT511" t="s">
        <v>122</v>
      </c>
      <c r="AU511">
        <v>2020</v>
      </c>
      <c r="AV511">
        <v>12</v>
      </c>
      <c r="AW511">
        <v>7</v>
      </c>
      <c r="AX511" t="s">
        <v>74</v>
      </c>
      <c r="AY511" t="s">
        <v>74</v>
      </c>
      <c r="AZ511" t="s">
        <v>74</v>
      </c>
      <c r="BA511" t="s">
        <v>74</v>
      </c>
      <c r="BB511" t="s">
        <v>74</v>
      </c>
      <c r="BC511" t="s">
        <v>74</v>
      </c>
      <c r="BD511">
        <v>2592</v>
      </c>
      <c r="BE511" t="s">
        <v>8924</v>
      </c>
      <c r="BF511" t="str">
        <f>HYPERLINK("http://dx.doi.org/10.3390/su12072592","http://dx.doi.org/10.3390/su12072592")</f>
        <v>http://dx.doi.org/10.3390/su12072592</v>
      </c>
      <c r="BG511" t="s">
        <v>74</v>
      </c>
      <c r="BH511" t="s">
        <v>74</v>
      </c>
      <c r="BI511">
        <v>17</v>
      </c>
      <c r="BJ511" t="s">
        <v>2479</v>
      </c>
      <c r="BK511" t="s">
        <v>147</v>
      </c>
      <c r="BL511" t="s">
        <v>2480</v>
      </c>
      <c r="BM511" t="s">
        <v>8925</v>
      </c>
      <c r="BN511" t="s">
        <v>74</v>
      </c>
      <c r="BO511" t="s">
        <v>3205</v>
      </c>
      <c r="BP511" t="s">
        <v>74</v>
      </c>
      <c r="BQ511" t="s">
        <v>74</v>
      </c>
      <c r="BR511" t="s">
        <v>97</v>
      </c>
      <c r="BS511" t="s">
        <v>8926</v>
      </c>
      <c r="BT511" t="str">
        <f>HYPERLINK("https%3A%2F%2Fwww.webofscience.com%2Fwos%2Fwoscc%2Ffull-record%2FWOS:000531558100016","View Full Record in Web of Science")</f>
        <v>View Full Record in Web of Science</v>
      </c>
    </row>
    <row r="512" spans="1:72" x14ac:dyDescent="0.25">
      <c r="A512" t="s">
        <v>72</v>
      </c>
      <c r="B512" t="s">
        <v>8927</v>
      </c>
      <c r="C512" t="s">
        <v>74</v>
      </c>
      <c r="D512" t="s">
        <v>74</v>
      </c>
      <c r="E512" t="s">
        <v>74</v>
      </c>
      <c r="F512" t="s">
        <v>8928</v>
      </c>
      <c r="G512" t="s">
        <v>74</v>
      </c>
      <c r="H512" t="s">
        <v>74</v>
      </c>
      <c r="I512" t="s">
        <v>8929</v>
      </c>
      <c r="J512" t="s">
        <v>5649</v>
      </c>
      <c r="K512" t="s">
        <v>74</v>
      </c>
      <c r="L512" t="s">
        <v>74</v>
      </c>
      <c r="M512" t="s">
        <v>77</v>
      </c>
      <c r="N512" t="s">
        <v>78</v>
      </c>
      <c r="O512" t="s">
        <v>74</v>
      </c>
      <c r="P512" t="s">
        <v>74</v>
      </c>
      <c r="Q512" t="s">
        <v>74</v>
      </c>
      <c r="R512" t="s">
        <v>74</v>
      </c>
      <c r="S512" t="s">
        <v>74</v>
      </c>
      <c r="T512" t="s">
        <v>8930</v>
      </c>
      <c r="U512" t="s">
        <v>8931</v>
      </c>
      <c r="V512" t="s">
        <v>8932</v>
      </c>
      <c r="W512" t="s">
        <v>8933</v>
      </c>
      <c r="X512" t="s">
        <v>8934</v>
      </c>
      <c r="Y512" t="s">
        <v>8935</v>
      </c>
      <c r="Z512" t="s">
        <v>8936</v>
      </c>
      <c r="AA512" t="s">
        <v>8937</v>
      </c>
      <c r="AB512" t="s">
        <v>8938</v>
      </c>
      <c r="AC512" t="s">
        <v>74</v>
      </c>
      <c r="AD512" t="s">
        <v>74</v>
      </c>
      <c r="AE512" t="s">
        <v>74</v>
      </c>
      <c r="AF512" t="s">
        <v>74</v>
      </c>
      <c r="AG512">
        <v>56</v>
      </c>
      <c r="AH512">
        <v>14</v>
      </c>
      <c r="AI512">
        <v>15</v>
      </c>
      <c r="AJ512">
        <v>1</v>
      </c>
      <c r="AK512">
        <v>12</v>
      </c>
      <c r="AL512" t="s">
        <v>1099</v>
      </c>
      <c r="AM512" t="s">
        <v>305</v>
      </c>
      <c r="AN512" t="s">
        <v>1100</v>
      </c>
      <c r="AO512" t="s">
        <v>5654</v>
      </c>
      <c r="AP512" t="s">
        <v>5655</v>
      </c>
      <c r="AQ512" t="s">
        <v>74</v>
      </c>
      <c r="AR512" t="s">
        <v>5656</v>
      </c>
      <c r="AS512" t="s">
        <v>5657</v>
      </c>
      <c r="AT512" t="s">
        <v>8939</v>
      </c>
      <c r="AU512">
        <v>2020</v>
      </c>
      <c r="AV512">
        <v>29</v>
      </c>
      <c r="AW512">
        <v>7</v>
      </c>
      <c r="AX512" t="s">
        <v>74</v>
      </c>
      <c r="AY512" t="s">
        <v>74</v>
      </c>
      <c r="AZ512" t="s">
        <v>860</v>
      </c>
      <c r="BA512" t="s">
        <v>74</v>
      </c>
      <c r="BB512">
        <v>799</v>
      </c>
      <c r="BC512">
        <v>813</v>
      </c>
      <c r="BD512" t="s">
        <v>74</v>
      </c>
      <c r="BE512" t="s">
        <v>8940</v>
      </c>
      <c r="BF512" t="str">
        <f>HYPERLINK("http://dx.doi.org/10.1080/10438599.2020.1719629","http://dx.doi.org/10.1080/10438599.2020.1719629")</f>
        <v>http://dx.doi.org/10.1080/10438599.2020.1719629</v>
      </c>
      <c r="BG512" t="s">
        <v>74</v>
      </c>
      <c r="BH512" t="s">
        <v>3849</v>
      </c>
      <c r="BI512">
        <v>15</v>
      </c>
      <c r="BJ512" t="s">
        <v>2599</v>
      </c>
      <c r="BK512" t="s">
        <v>94</v>
      </c>
      <c r="BL512" t="s">
        <v>95</v>
      </c>
      <c r="BM512" t="s">
        <v>8941</v>
      </c>
      <c r="BN512" t="s">
        <v>74</v>
      </c>
      <c r="BO512" t="s">
        <v>74</v>
      </c>
      <c r="BP512" t="s">
        <v>74</v>
      </c>
      <c r="BQ512" t="s">
        <v>74</v>
      </c>
      <c r="BR512" t="s">
        <v>97</v>
      </c>
      <c r="BS512" t="s">
        <v>8942</v>
      </c>
      <c r="BT512" t="str">
        <f>HYPERLINK("https%3A%2F%2Fwww.webofscience.com%2Fwos%2Fwoscc%2Ffull-record%2FWOS:000513843200001","View Full Record in Web of Science")</f>
        <v>View Full Record in Web of Science</v>
      </c>
    </row>
    <row r="513" spans="1:72" x14ac:dyDescent="0.25">
      <c r="A513" t="s">
        <v>72</v>
      </c>
      <c r="B513" t="s">
        <v>8549</v>
      </c>
      <c r="C513" t="s">
        <v>74</v>
      </c>
      <c r="D513" t="s">
        <v>74</v>
      </c>
      <c r="E513" t="s">
        <v>74</v>
      </c>
      <c r="F513" t="s">
        <v>8943</v>
      </c>
      <c r="G513" t="s">
        <v>74</v>
      </c>
      <c r="H513" t="s">
        <v>74</v>
      </c>
      <c r="I513" t="s">
        <v>8944</v>
      </c>
      <c r="J513" t="s">
        <v>1290</v>
      </c>
      <c r="K513" t="s">
        <v>74</v>
      </c>
      <c r="L513" t="s">
        <v>74</v>
      </c>
      <c r="M513" t="s">
        <v>77</v>
      </c>
      <c r="N513" t="s">
        <v>78</v>
      </c>
      <c r="O513" t="s">
        <v>74</v>
      </c>
      <c r="P513" t="s">
        <v>74</v>
      </c>
      <c r="Q513" t="s">
        <v>74</v>
      </c>
      <c r="R513" t="s">
        <v>74</v>
      </c>
      <c r="S513" t="s">
        <v>74</v>
      </c>
      <c r="T513" t="s">
        <v>8945</v>
      </c>
      <c r="U513" t="s">
        <v>8946</v>
      </c>
      <c r="V513" t="s">
        <v>8947</v>
      </c>
      <c r="W513" t="s">
        <v>8948</v>
      </c>
      <c r="X513" t="s">
        <v>3631</v>
      </c>
      <c r="Y513" t="s">
        <v>8949</v>
      </c>
      <c r="Z513" t="s">
        <v>3633</v>
      </c>
      <c r="AA513" t="s">
        <v>74</v>
      </c>
      <c r="AB513" t="s">
        <v>74</v>
      </c>
      <c r="AC513" t="s">
        <v>74</v>
      </c>
      <c r="AD513" t="s">
        <v>74</v>
      </c>
      <c r="AE513" t="s">
        <v>74</v>
      </c>
      <c r="AF513" t="s">
        <v>74</v>
      </c>
      <c r="AG513">
        <v>118</v>
      </c>
      <c r="AH513">
        <v>14</v>
      </c>
      <c r="AI513">
        <v>14</v>
      </c>
      <c r="AJ513">
        <v>4</v>
      </c>
      <c r="AK513">
        <v>30</v>
      </c>
      <c r="AL513" t="s">
        <v>665</v>
      </c>
      <c r="AM513" t="s">
        <v>666</v>
      </c>
      <c r="AN513" t="s">
        <v>667</v>
      </c>
      <c r="AO513" t="s">
        <v>1300</v>
      </c>
      <c r="AP513" t="s">
        <v>1301</v>
      </c>
      <c r="AQ513" t="s">
        <v>74</v>
      </c>
      <c r="AR513" t="s">
        <v>1302</v>
      </c>
      <c r="AS513" t="s">
        <v>1303</v>
      </c>
      <c r="AT513" t="s">
        <v>8950</v>
      </c>
      <c r="AU513">
        <v>2020</v>
      </c>
      <c r="AV513">
        <v>32</v>
      </c>
      <c r="AW513">
        <v>1</v>
      </c>
      <c r="AX513" t="s">
        <v>74</v>
      </c>
      <c r="AY513" t="s">
        <v>74</v>
      </c>
      <c r="AZ513" t="s">
        <v>74</v>
      </c>
      <c r="BA513" t="s">
        <v>74</v>
      </c>
      <c r="BB513">
        <v>81</v>
      </c>
      <c r="BC513">
        <v>107</v>
      </c>
      <c r="BD513" t="s">
        <v>74</v>
      </c>
      <c r="BE513" t="s">
        <v>8951</v>
      </c>
      <c r="BF513" t="str">
        <f>HYPERLINK("http://dx.doi.org/10.1108/IJCHM-12-2018-0990","http://dx.doi.org/10.1108/IJCHM-12-2018-0990")</f>
        <v>http://dx.doi.org/10.1108/IJCHM-12-2018-0990</v>
      </c>
      <c r="BG513" t="s">
        <v>74</v>
      </c>
      <c r="BH513" t="s">
        <v>74</v>
      </c>
      <c r="BI513">
        <v>27</v>
      </c>
      <c r="BJ513" t="s">
        <v>1305</v>
      </c>
      <c r="BK513" t="s">
        <v>94</v>
      </c>
      <c r="BL513" t="s">
        <v>1306</v>
      </c>
      <c r="BM513" t="s">
        <v>8952</v>
      </c>
      <c r="BN513" t="s">
        <v>74</v>
      </c>
      <c r="BO513" t="s">
        <v>74</v>
      </c>
      <c r="BP513" t="s">
        <v>74</v>
      </c>
      <c r="BQ513" t="s">
        <v>74</v>
      </c>
      <c r="BR513" t="s">
        <v>97</v>
      </c>
      <c r="BS513" t="s">
        <v>8953</v>
      </c>
      <c r="BT513" t="str">
        <f>HYPERLINK("https%3A%2F%2Fwww.webofscience.com%2Fwos%2Fwoscc%2Ffull-record%2FWOS:000506696300006","View Full Record in Web of Science")</f>
        <v>View Full Record in Web of Science</v>
      </c>
    </row>
    <row r="514" spans="1:72" x14ac:dyDescent="0.25">
      <c r="A514" t="s">
        <v>72</v>
      </c>
      <c r="B514" t="s">
        <v>8954</v>
      </c>
      <c r="C514" t="s">
        <v>74</v>
      </c>
      <c r="D514" t="s">
        <v>74</v>
      </c>
      <c r="E514" t="s">
        <v>74</v>
      </c>
      <c r="F514" t="s">
        <v>8955</v>
      </c>
      <c r="G514" t="s">
        <v>74</v>
      </c>
      <c r="H514" t="s">
        <v>74</v>
      </c>
      <c r="I514" t="s">
        <v>8956</v>
      </c>
      <c r="J514" t="s">
        <v>8957</v>
      </c>
      <c r="K514" t="s">
        <v>74</v>
      </c>
      <c r="L514" t="s">
        <v>74</v>
      </c>
      <c r="M514" t="s">
        <v>77</v>
      </c>
      <c r="N514" t="s">
        <v>78</v>
      </c>
      <c r="O514" t="s">
        <v>74</v>
      </c>
      <c r="P514" t="s">
        <v>74</v>
      </c>
      <c r="Q514" t="s">
        <v>74</v>
      </c>
      <c r="R514" t="s">
        <v>74</v>
      </c>
      <c r="S514" t="s">
        <v>74</v>
      </c>
      <c r="T514" t="s">
        <v>8958</v>
      </c>
      <c r="U514" t="s">
        <v>8959</v>
      </c>
      <c r="V514" t="s">
        <v>8960</v>
      </c>
      <c r="W514" t="s">
        <v>8961</v>
      </c>
      <c r="X514" t="s">
        <v>8962</v>
      </c>
      <c r="Y514" t="s">
        <v>8963</v>
      </c>
      <c r="Z514" t="s">
        <v>8964</v>
      </c>
      <c r="AA514" t="s">
        <v>8965</v>
      </c>
      <c r="AB514" t="s">
        <v>8966</v>
      </c>
      <c r="AC514" t="s">
        <v>8967</v>
      </c>
      <c r="AD514" t="s">
        <v>8968</v>
      </c>
      <c r="AE514" t="s">
        <v>8969</v>
      </c>
      <c r="AF514" t="s">
        <v>74</v>
      </c>
      <c r="AG514">
        <v>79</v>
      </c>
      <c r="AH514">
        <v>14</v>
      </c>
      <c r="AI514">
        <v>16</v>
      </c>
      <c r="AJ514">
        <v>18</v>
      </c>
      <c r="AK514">
        <v>97</v>
      </c>
      <c r="AL514" t="s">
        <v>766</v>
      </c>
      <c r="AM514" t="s">
        <v>1193</v>
      </c>
      <c r="AN514" t="s">
        <v>1498</v>
      </c>
      <c r="AO514" t="s">
        <v>8970</v>
      </c>
      <c r="AP514" t="s">
        <v>8971</v>
      </c>
      <c r="AQ514" t="s">
        <v>74</v>
      </c>
      <c r="AR514" t="s">
        <v>8972</v>
      </c>
      <c r="AS514" t="s">
        <v>8973</v>
      </c>
      <c r="AT514" t="s">
        <v>375</v>
      </c>
      <c r="AU514">
        <v>2019</v>
      </c>
      <c r="AV514">
        <v>20</v>
      </c>
      <c r="AW514">
        <v>4</v>
      </c>
      <c r="AX514" t="s">
        <v>74</v>
      </c>
      <c r="AY514" t="s">
        <v>74</v>
      </c>
      <c r="AZ514" t="s">
        <v>74</v>
      </c>
      <c r="BA514" t="s">
        <v>74</v>
      </c>
      <c r="BB514">
        <v>657</v>
      </c>
      <c r="BC514">
        <v>671</v>
      </c>
      <c r="BD514" t="s">
        <v>74</v>
      </c>
      <c r="BE514" t="s">
        <v>8974</v>
      </c>
      <c r="BF514" t="str">
        <f>HYPERLINK("http://dx.doi.org/10.1007/s12564-019-09584-2","http://dx.doi.org/10.1007/s12564-019-09584-2")</f>
        <v>http://dx.doi.org/10.1007/s12564-019-09584-2</v>
      </c>
      <c r="BG514" t="s">
        <v>74</v>
      </c>
      <c r="BH514" t="s">
        <v>74</v>
      </c>
      <c r="BI514">
        <v>15</v>
      </c>
      <c r="BJ514" t="s">
        <v>815</v>
      </c>
      <c r="BK514" t="s">
        <v>94</v>
      </c>
      <c r="BL514" t="s">
        <v>815</v>
      </c>
      <c r="BM514" t="s">
        <v>8975</v>
      </c>
      <c r="BN514" t="s">
        <v>74</v>
      </c>
      <c r="BO514" t="s">
        <v>74</v>
      </c>
      <c r="BP514" t="s">
        <v>74</v>
      </c>
      <c r="BQ514" t="s">
        <v>74</v>
      </c>
      <c r="BR514" t="s">
        <v>97</v>
      </c>
      <c r="BS514" t="s">
        <v>8976</v>
      </c>
      <c r="BT514" t="str">
        <f>HYPERLINK("https%3A%2F%2Fwww.webofscience.com%2Fwos%2Fwoscc%2Ffull-record%2FWOS:000494823100010","View Full Record in Web of Science")</f>
        <v>View Full Record in Web of Science</v>
      </c>
    </row>
    <row r="515" spans="1:72" x14ac:dyDescent="0.25">
      <c r="A515" t="s">
        <v>72</v>
      </c>
      <c r="B515" t="s">
        <v>8977</v>
      </c>
      <c r="C515" t="s">
        <v>74</v>
      </c>
      <c r="D515" t="s">
        <v>74</v>
      </c>
      <c r="E515" t="s">
        <v>74</v>
      </c>
      <c r="F515" t="s">
        <v>8978</v>
      </c>
      <c r="G515" t="s">
        <v>74</v>
      </c>
      <c r="H515" t="s">
        <v>74</v>
      </c>
      <c r="I515" t="s">
        <v>8979</v>
      </c>
      <c r="J515" t="s">
        <v>8980</v>
      </c>
      <c r="K515" t="s">
        <v>74</v>
      </c>
      <c r="L515" t="s">
        <v>74</v>
      </c>
      <c r="M515" t="s">
        <v>77</v>
      </c>
      <c r="N515" t="s">
        <v>78</v>
      </c>
      <c r="O515" t="s">
        <v>74</v>
      </c>
      <c r="P515" t="s">
        <v>74</v>
      </c>
      <c r="Q515" t="s">
        <v>74</v>
      </c>
      <c r="R515" t="s">
        <v>74</v>
      </c>
      <c r="S515" t="s">
        <v>74</v>
      </c>
      <c r="T515" t="s">
        <v>8981</v>
      </c>
      <c r="U515" t="s">
        <v>8982</v>
      </c>
      <c r="V515" t="s">
        <v>8983</v>
      </c>
      <c r="W515" t="s">
        <v>8984</v>
      </c>
      <c r="X515" t="s">
        <v>8985</v>
      </c>
      <c r="Y515" t="s">
        <v>8986</v>
      </c>
      <c r="Z515" t="s">
        <v>8987</v>
      </c>
      <c r="AA515" t="s">
        <v>8988</v>
      </c>
      <c r="AB515" t="s">
        <v>8989</v>
      </c>
      <c r="AC515" t="s">
        <v>74</v>
      </c>
      <c r="AD515" t="s">
        <v>74</v>
      </c>
      <c r="AE515" t="s">
        <v>74</v>
      </c>
      <c r="AF515" t="s">
        <v>74</v>
      </c>
      <c r="AG515">
        <v>128</v>
      </c>
      <c r="AH515">
        <v>14</v>
      </c>
      <c r="AI515">
        <v>14</v>
      </c>
      <c r="AJ515">
        <v>5</v>
      </c>
      <c r="AK515">
        <v>51</v>
      </c>
      <c r="AL515" t="s">
        <v>2304</v>
      </c>
      <c r="AM515" t="s">
        <v>160</v>
      </c>
      <c r="AN515" t="s">
        <v>2305</v>
      </c>
      <c r="AO515" t="s">
        <v>8990</v>
      </c>
      <c r="AP515" t="s">
        <v>8991</v>
      </c>
      <c r="AQ515" t="s">
        <v>74</v>
      </c>
      <c r="AR515" t="s">
        <v>8992</v>
      </c>
      <c r="AS515" t="s">
        <v>8993</v>
      </c>
      <c r="AT515" t="s">
        <v>256</v>
      </c>
      <c r="AU515">
        <v>2019</v>
      </c>
      <c r="AV515">
        <v>71</v>
      </c>
      <c r="AW515" t="s">
        <v>74</v>
      </c>
      <c r="AX515" t="s">
        <v>74</v>
      </c>
      <c r="AY515" t="s">
        <v>74</v>
      </c>
      <c r="AZ515" t="s">
        <v>74</v>
      </c>
      <c r="BA515" t="s">
        <v>74</v>
      </c>
      <c r="BB515">
        <v>114</v>
      </c>
      <c r="BC515">
        <v>124</v>
      </c>
      <c r="BD515" t="s">
        <v>74</v>
      </c>
      <c r="BE515" t="s">
        <v>8994</v>
      </c>
      <c r="BF515" t="str">
        <f>HYPERLINK("http://dx.doi.org/10.1016/j.jrurstud.2019.02.027","http://dx.doi.org/10.1016/j.jrurstud.2019.02.027")</f>
        <v>http://dx.doi.org/10.1016/j.jrurstud.2019.02.027</v>
      </c>
      <c r="BG515" t="s">
        <v>74</v>
      </c>
      <c r="BH515" t="s">
        <v>74</v>
      </c>
      <c r="BI515">
        <v>11</v>
      </c>
      <c r="BJ515" t="s">
        <v>8995</v>
      </c>
      <c r="BK515" t="s">
        <v>94</v>
      </c>
      <c r="BL515" t="s">
        <v>8996</v>
      </c>
      <c r="BM515" t="s">
        <v>8997</v>
      </c>
      <c r="BN515" t="s">
        <v>74</v>
      </c>
      <c r="BO515" t="s">
        <v>74</v>
      </c>
      <c r="BP515" t="s">
        <v>74</v>
      </c>
      <c r="BQ515" t="s">
        <v>74</v>
      </c>
      <c r="BR515" t="s">
        <v>97</v>
      </c>
      <c r="BS515" t="s">
        <v>8998</v>
      </c>
      <c r="BT515" t="str">
        <f>HYPERLINK("https%3A%2F%2Fwww.webofscience.com%2Fwos%2Fwoscc%2Ffull-record%2FWOS:000497249800011","View Full Record in Web of Science")</f>
        <v>View Full Record in Web of Science</v>
      </c>
    </row>
    <row r="516" spans="1:72" x14ac:dyDescent="0.25">
      <c r="A516" t="s">
        <v>72</v>
      </c>
      <c r="B516" t="s">
        <v>8999</v>
      </c>
      <c r="C516" t="s">
        <v>74</v>
      </c>
      <c r="D516" t="s">
        <v>74</v>
      </c>
      <c r="E516" t="s">
        <v>74</v>
      </c>
      <c r="F516" t="s">
        <v>9000</v>
      </c>
      <c r="G516" t="s">
        <v>74</v>
      </c>
      <c r="H516" t="s">
        <v>74</v>
      </c>
      <c r="I516" t="s">
        <v>9001</v>
      </c>
      <c r="J516" t="s">
        <v>3184</v>
      </c>
      <c r="K516" t="s">
        <v>74</v>
      </c>
      <c r="L516" t="s">
        <v>74</v>
      </c>
      <c r="M516" t="s">
        <v>77</v>
      </c>
      <c r="N516" t="s">
        <v>78</v>
      </c>
      <c r="O516" t="s">
        <v>74</v>
      </c>
      <c r="P516" t="s">
        <v>74</v>
      </c>
      <c r="Q516" t="s">
        <v>74</v>
      </c>
      <c r="R516" t="s">
        <v>74</v>
      </c>
      <c r="S516" t="s">
        <v>74</v>
      </c>
      <c r="T516" t="s">
        <v>9002</v>
      </c>
      <c r="U516" t="s">
        <v>9003</v>
      </c>
      <c r="V516" t="s">
        <v>9004</v>
      </c>
      <c r="W516" t="s">
        <v>9005</v>
      </c>
      <c r="X516" t="s">
        <v>9006</v>
      </c>
      <c r="Y516" t="s">
        <v>9007</v>
      </c>
      <c r="Z516" t="s">
        <v>9008</v>
      </c>
      <c r="AA516" t="s">
        <v>74</v>
      </c>
      <c r="AB516" t="s">
        <v>9009</v>
      </c>
      <c r="AC516" t="s">
        <v>9010</v>
      </c>
      <c r="AD516" t="s">
        <v>9010</v>
      </c>
      <c r="AE516" t="s">
        <v>9011</v>
      </c>
      <c r="AF516" t="s">
        <v>74</v>
      </c>
      <c r="AG516">
        <v>52</v>
      </c>
      <c r="AH516">
        <v>14</v>
      </c>
      <c r="AI516">
        <v>15</v>
      </c>
      <c r="AJ516">
        <v>18</v>
      </c>
      <c r="AK516">
        <v>71</v>
      </c>
      <c r="AL516" t="s">
        <v>3195</v>
      </c>
      <c r="AM516" t="s">
        <v>3196</v>
      </c>
      <c r="AN516" t="s">
        <v>3197</v>
      </c>
      <c r="AO516" t="s">
        <v>3198</v>
      </c>
      <c r="AP516" t="s">
        <v>74</v>
      </c>
      <c r="AQ516" t="s">
        <v>74</v>
      </c>
      <c r="AR516" t="s">
        <v>3199</v>
      </c>
      <c r="AS516" t="s">
        <v>3200</v>
      </c>
      <c r="AT516" t="s">
        <v>9012</v>
      </c>
      <c r="AU516">
        <v>2019</v>
      </c>
      <c r="AV516">
        <v>10</v>
      </c>
      <c r="AW516" t="s">
        <v>74</v>
      </c>
      <c r="AX516" t="s">
        <v>74</v>
      </c>
      <c r="AY516" t="s">
        <v>74</v>
      </c>
      <c r="AZ516" t="s">
        <v>74</v>
      </c>
      <c r="BA516" t="s">
        <v>74</v>
      </c>
      <c r="BB516" t="s">
        <v>74</v>
      </c>
      <c r="BC516" t="s">
        <v>74</v>
      </c>
      <c r="BD516">
        <v>1659</v>
      </c>
      <c r="BE516" t="s">
        <v>9013</v>
      </c>
      <c r="BF516" t="str">
        <f>HYPERLINK("http://dx.doi.org/10.3389/fpsyg.2019.01659","http://dx.doi.org/10.3389/fpsyg.2019.01659")</f>
        <v>http://dx.doi.org/10.3389/fpsyg.2019.01659</v>
      </c>
      <c r="BG516" t="s">
        <v>74</v>
      </c>
      <c r="BH516" t="s">
        <v>74</v>
      </c>
      <c r="BI516">
        <v>12</v>
      </c>
      <c r="BJ516" t="s">
        <v>3203</v>
      </c>
      <c r="BK516" t="s">
        <v>94</v>
      </c>
      <c r="BL516" t="s">
        <v>460</v>
      </c>
      <c r="BM516" t="s">
        <v>9014</v>
      </c>
      <c r="BN516">
        <v>31379682</v>
      </c>
      <c r="BO516" t="s">
        <v>4398</v>
      </c>
      <c r="BP516" t="s">
        <v>74</v>
      </c>
      <c r="BQ516" t="s">
        <v>74</v>
      </c>
      <c r="BR516" t="s">
        <v>97</v>
      </c>
      <c r="BS516" t="s">
        <v>9015</v>
      </c>
      <c r="BT516" t="str">
        <f>HYPERLINK("https%3A%2F%2Fwww.webofscience.com%2Fwos%2Fwoscc%2Ffull-record%2FWOS:000475821800001","View Full Record in Web of Science")</f>
        <v>View Full Record in Web of Science</v>
      </c>
    </row>
    <row r="517" spans="1:72" x14ac:dyDescent="0.25">
      <c r="A517" t="s">
        <v>72</v>
      </c>
      <c r="B517" t="s">
        <v>9016</v>
      </c>
      <c r="C517" t="s">
        <v>74</v>
      </c>
      <c r="D517" t="s">
        <v>74</v>
      </c>
      <c r="E517" t="s">
        <v>74</v>
      </c>
      <c r="F517" t="s">
        <v>9017</v>
      </c>
      <c r="G517" t="s">
        <v>74</v>
      </c>
      <c r="H517" t="s">
        <v>74</v>
      </c>
      <c r="I517" t="s">
        <v>9018</v>
      </c>
      <c r="J517" t="s">
        <v>2463</v>
      </c>
      <c r="K517" t="s">
        <v>74</v>
      </c>
      <c r="L517" t="s">
        <v>74</v>
      </c>
      <c r="M517" t="s">
        <v>77</v>
      </c>
      <c r="N517" t="s">
        <v>78</v>
      </c>
      <c r="O517" t="s">
        <v>74</v>
      </c>
      <c r="P517" t="s">
        <v>74</v>
      </c>
      <c r="Q517" t="s">
        <v>74</v>
      </c>
      <c r="R517" t="s">
        <v>74</v>
      </c>
      <c r="S517" t="s">
        <v>74</v>
      </c>
      <c r="T517" t="s">
        <v>9019</v>
      </c>
      <c r="U517" t="s">
        <v>9020</v>
      </c>
      <c r="V517" t="s">
        <v>9021</v>
      </c>
      <c r="W517" t="s">
        <v>9022</v>
      </c>
      <c r="X517" t="s">
        <v>9023</v>
      </c>
      <c r="Y517" t="s">
        <v>9024</v>
      </c>
      <c r="Z517" t="s">
        <v>9025</v>
      </c>
      <c r="AA517" t="s">
        <v>74</v>
      </c>
      <c r="AB517" t="s">
        <v>9026</v>
      </c>
      <c r="AC517" t="s">
        <v>9027</v>
      </c>
      <c r="AD517" t="s">
        <v>575</v>
      </c>
      <c r="AE517" t="s">
        <v>9028</v>
      </c>
      <c r="AF517" t="s">
        <v>74</v>
      </c>
      <c r="AG517">
        <v>60</v>
      </c>
      <c r="AH517">
        <v>14</v>
      </c>
      <c r="AI517">
        <v>14</v>
      </c>
      <c r="AJ517">
        <v>7</v>
      </c>
      <c r="AK517">
        <v>45</v>
      </c>
      <c r="AL517" t="s">
        <v>2473</v>
      </c>
      <c r="AM517" t="s">
        <v>2102</v>
      </c>
      <c r="AN517" t="s">
        <v>2474</v>
      </c>
      <c r="AO517" t="s">
        <v>2475</v>
      </c>
      <c r="AP517" t="s">
        <v>74</v>
      </c>
      <c r="AQ517" t="s">
        <v>74</v>
      </c>
      <c r="AR517" t="s">
        <v>2476</v>
      </c>
      <c r="AS517" t="s">
        <v>2477</v>
      </c>
      <c r="AT517" t="s">
        <v>7750</v>
      </c>
      <c r="AU517">
        <v>2019</v>
      </c>
      <c r="AV517">
        <v>11</v>
      </c>
      <c r="AW517">
        <v>10</v>
      </c>
      <c r="AX517" t="s">
        <v>74</v>
      </c>
      <c r="AY517" t="s">
        <v>74</v>
      </c>
      <c r="AZ517" t="s">
        <v>74</v>
      </c>
      <c r="BA517" t="s">
        <v>74</v>
      </c>
      <c r="BB517" t="s">
        <v>74</v>
      </c>
      <c r="BC517" t="s">
        <v>74</v>
      </c>
      <c r="BD517">
        <v>2883</v>
      </c>
      <c r="BE517" t="s">
        <v>9029</v>
      </c>
      <c r="BF517" t="str">
        <f>HYPERLINK("http://dx.doi.org/10.3390/su11102883","http://dx.doi.org/10.3390/su11102883")</f>
        <v>http://dx.doi.org/10.3390/su11102883</v>
      </c>
      <c r="BG517" t="s">
        <v>74</v>
      </c>
      <c r="BH517" t="s">
        <v>74</v>
      </c>
      <c r="BI517">
        <v>19</v>
      </c>
      <c r="BJ517" t="s">
        <v>2479</v>
      </c>
      <c r="BK517" t="s">
        <v>147</v>
      </c>
      <c r="BL517" t="s">
        <v>2480</v>
      </c>
      <c r="BM517" t="s">
        <v>7752</v>
      </c>
      <c r="BN517" t="s">
        <v>74</v>
      </c>
      <c r="BO517" t="s">
        <v>9030</v>
      </c>
      <c r="BP517" t="s">
        <v>74</v>
      </c>
      <c r="BQ517" t="s">
        <v>74</v>
      </c>
      <c r="BR517" t="s">
        <v>97</v>
      </c>
      <c r="BS517" t="s">
        <v>9031</v>
      </c>
      <c r="BT517" t="str">
        <f>HYPERLINK("https%3A%2F%2Fwww.webofscience.com%2Fwos%2Fwoscc%2Ffull-record%2FWOS:000471010300166","View Full Record in Web of Science")</f>
        <v>View Full Record in Web of Science</v>
      </c>
    </row>
    <row r="518" spans="1:72" x14ac:dyDescent="0.25">
      <c r="A518" t="s">
        <v>72</v>
      </c>
      <c r="B518" t="s">
        <v>9032</v>
      </c>
      <c r="C518" t="s">
        <v>74</v>
      </c>
      <c r="D518" t="s">
        <v>74</v>
      </c>
      <c r="E518" t="s">
        <v>74</v>
      </c>
      <c r="F518" t="s">
        <v>9033</v>
      </c>
      <c r="G518" t="s">
        <v>74</v>
      </c>
      <c r="H518" t="s">
        <v>74</v>
      </c>
      <c r="I518" t="s">
        <v>9034</v>
      </c>
      <c r="J518" t="s">
        <v>2463</v>
      </c>
      <c r="K518" t="s">
        <v>74</v>
      </c>
      <c r="L518" t="s">
        <v>74</v>
      </c>
      <c r="M518" t="s">
        <v>77</v>
      </c>
      <c r="N518" t="s">
        <v>78</v>
      </c>
      <c r="O518" t="s">
        <v>74</v>
      </c>
      <c r="P518" t="s">
        <v>74</v>
      </c>
      <c r="Q518" t="s">
        <v>74</v>
      </c>
      <c r="R518" t="s">
        <v>74</v>
      </c>
      <c r="S518" t="s">
        <v>74</v>
      </c>
      <c r="T518" t="s">
        <v>9035</v>
      </c>
      <c r="U518" t="s">
        <v>9036</v>
      </c>
      <c r="V518" t="s">
        <v>9037</v>
      </c>
      <c r="W518" t="s">
        <v>9038</v>
      </c>
      <c r="X518" t="s">
        <v>9039</v>
      </c>
      <c r="Y518" t="s">
        <v>9040</v>
      </c>
      <c r="Z518" t="s">
        <v>9041</v>
      </c>
      <c r="AA518" t="s">
        <v>9042</v>
      </c>
      <c r="AB518" t="s">
        <v>9043</v>
      </c>
      <c r="AC518" t="s">
        <v>9044</v>
      </c>
      <c r="AD518" t="s">
        <v>9045</v>
      </c>
      <c r="AE518" t="s">
        <v>9046</v>
      </c>
      <c r="AF518" t="s">
        <v>74</v>
      </c>
      <c r="AG518">
        <v>60</v>
      </c>
      <c r="AH518">
        <v>14</v>
      </c>
      <c r="AI518">
        <v>14</v>
      </c>
      <c r="AJ518">
        <v>2</v>
      </c>
      <c r="AK518">
        <v>13</v>
      </c>
      <c r="AL518" t="s">
        <v>2473</v>
      </c>
      <c r="AM518" t="s">
        <v>2102</v>
      </c>
      <c r="AN518" t="s">
        <v>2474</v>
      </c>
      <c r="AO518" t="s">
        <v>74</v>
      </c>
      <c r="AP518" t="s">
        <v>2475</v>
      </c>
      <c r="AQ518" t="s">
        <v>74</v>
      </c>
      <c r="AR518" t="s">
        <v>2476</v>
      </c>
      <c r="AS518" t="s">
        <v>2477</v>
      </c>
      <c r="AT518" t="s">
        <v>9047</v>
      </c>
      <c r="AU518">
        <v>2019</v>
      </c>
      <c r="AV518">
        <v>11</v>
      </c>
      <c r="AW518">
        <v>4</v>
      </c>
      <c r="AX518" t="s">
        <v>74</v>
      </c>
      <c r="AY518" t="s">
        <v>74</v>
      </c>
      <c r="AZ518" t="s">
        <v>74</v>
      </c>
      <c r="BA518" t="s">
        <v>74</v>
      </c>
      <c r="BB518" t="s">
        <v>74</v>
      </c>
      <c r="BC518" t="s">
        <v>74</v>
      </c>
      <c r="BD518">
        <v>1085</v>
      </c>
      <c r="BE518" t="s">
        <v>9048</v>
      </c>
      <c r="BF518" t="str">
        <f>HYPERLINK("http://dx.doi.org/10.3390/su11041085","http://dx.doi.org/10.3390/su11041085")</f>
        <v>http://dx.doi.org/10.3390/su11041085</v>
      </c>
      <c r="BG518" t="s">
        <v>74</v>
      </c>
      <c r="BH518" t="s">
        <v>74</v>
      </c>
      <c r="BI518">
        <v>13</v>
      </c>
      <c r="BJ518" t="s">
        <v>2479</v>
      </c>
      <c r="BK518" t="s">
        <v>147</v>
      </c>
      <c r="BL518" t="s">
        <v>2480</v>
      </c>
      <c r="BM518" t="s">
        <v>9049</v>
      </c>
      <c r="BN518" t="s">
        <v>74</v>
      </c>
      <c r="BO518" t="s">
        <v>7225</v>
      </c>
      <c r="BP518" t="s">
        <v>74</v>
      </c>
      <c r="BQ518" t="s">
        <v>74</v>
      </c>
      <c r="BR518" t="s">
        <v>97</v>
      </c>
      <c r="BS518" t="s">
        <v>9050</v>
      </c>
      <c r="BT518" t="str">
        <f>HYPERLINK("https%3A%2F%2Fwww.webofscience.com%2Fwos%2Fwoscc%2Ffull-record%2FWOS:000460819100145","View Full Record in Web of Science")</f>
        <v>View Full Record in Web of Science</v>
      </c>
    </row>
    <row r="519" spans="1:72" x14ac:dyDescent="0.25">
      <c r="A519" t="s">
        <v>72</v>
      </c>
      <c r="B519" t="s">
        <v>9051</v>
      </c>
      <c r="C519" t="s">
        <v>74</v>
      </c>
      <c r="D519" t="s">
        <v>74</v>
      </c>
      <c r="E519" t="s">
        <v>74</v>
      </c>
      <c r="F519" t="s">
        <v>9052</v>
      </c>
      <c r="G519" t="s">
        <v>74</v>
      </c>
      <c r="H519" t="s">
        <v>74</v>
      </c>
      <c r="I519" t="s">
        <v>9053</v>
      </c>
      <c r="J519" t="s">
        <v>779</v>
      </c>
      <c r="K519" t="s">
        <v>74</v>
      </c>
      <c r="L519" t="s">
        <v>74</v>
      </c>
      <c r="M519" t="s">
        <v>77</v>
      </c>
      <c r="N519" t="s">
        <v>78</v>
      </c>
      <c r="O519" t="s">
        <v>74</v>
      </c>
      <c r="P519" t="s">
        <v>74</v>
      </c>
      <c r="Q519" t="s">
        <v>74</v>
      </c>
      <c r="R519" t="s">
        <v>74</v>
      </c>
      <c r="S519" t="s">
        <v>74</v>
      </c>
      <c r="T519" t="s">
        <v>74</v>
      </c>
      <c r="U519" t="s">
        <v>9054</v>
      </c>
      <c r="V519" t="s">
        <v>9055</v>
      </c>
      <c r="W519" t="s">
        <v>9056</v>
      </c>
      <c r="X519" t="s">
        <v>9057</v>
      </c>
      <c r="Y519" t="s">
        <v>9058</v>
      </c>
      <c r="Z519" t="s">
        <v>9059</v>
      </c>
      <c r="AA519" t="s">
        <v>74</v>
      </c>
      <c r="AB519" t="s">
        <v>74</v>
      </c>
      <c r="AC519" t="s">
        <v>74</v>
      </c>
      <c r="AD519" t="s">
        <v>74</v>
      </c>
      <c r="AE519" t="s">
        <v>74</v>
      </c>
      <c r="AF519" t="s">
        <v>74</v>
      </c>
      <c r="AG519">
        <v>159</v>
      </c>
      <c r="AH519">
        <v>14</v>
      </c>
      <c r="AI519">
        <v>14</v>
      </c>
      <c r="AJ519">
        <v>3</v>
      </c>
      <c r="AK519">
        <v>56</v>
      </c>
      <c r="AL519" t="s">
        <v>218</v>
      </c>
      <c r="AM519" t="s">
        <v>219</v>
      </c>
      <c r="AN519" t="s">
        <v>220</v>
      </c>
      <c r="AO519" t="s">
        <v>789</v>
      </c>
      <c r="AP519" t="s">
        <v>1320</v>
      </c>
      <c r="AQ519" t="s">
        <v>74</v>
      </c>
      <c r="AR519" t="s">
        <v>790</v>
      </c>
      <c r="AS519" t="s">
        <v>791</v>
      </c>
      <c r="AT519" t="s">
        <v>892</v>
      </c>
      <c r="AU519">
        <v>2019</v>
      </c>
      <c r="AV519">
        <v>36</v>
      </c>
      <c r="AW519">
        <v>1</v>
      </c>
      <c r="AX519" t="s">
        <v>74</v>
      </c>
      <c r="AY519" t="s">
        <v>74</v>
      </c>
      <c r="AZ519" t="s">
        <v>74</v>
      </c>
      <c r="BA519" t="s">
        <v>74</v>
      </c>
      <c r="BB519">
        <v>41</v>
      </c>
      <c r="BC519">
        <v>65</v>
      </c>
      <c r="BD519" t="s">
        <v>74</v>
      </c>
      <c r="BE519" t="s">
        <v>9060</v>
      </c>
      <c r="BF519" t="str">
        <f>HYPERLINK("http://dx.doi.org/10.1111/jpim.12443","http://dx.doi.org/10.1111/jpim.12443")</f>
        <v>http://dx.doi.org/10.1111/jpim.12443</v>
      </c>
      <c r="BG519" t="s">
        <v>74</v>
      </c>
      <c r="BH519" t="s">
        <v>74</v>
      </c>
      <c r="BI519">
        <v>25</v>
      </c>
      <c r="BJ519" t="s">
        <v>794</v>
      </c>
      <c r="BK519" t="s">
        <v>147</v>
      </c>
      <c r="BL519" t="s">
        <v>795</v>
      </c>
      <c r="BM519" t="s">
        <v>9061</v>
      </c>
      <c r="BN519" t="s">
        <v>74</v>
      </c>
      <c r="BO519" t="s">
        <v>74</v>
      </c>
      <c r="BP519" t="s">
        <v>74</v>
      </c>
      <c r="BQ519" t="s">
        <v>74</v>
      </c>
      <c r="BR519" t="s">
        <v>97</v>
      </c>
      <c r="BS519" t="s">
        <v>9062</v>
      </c>
      <c r="BT519" t="str">
        <f>HYPERLINK("https%3A%2F%2Fwww.webofscience.com%2Fwos%2Fwoscc%2Ffull-record%2FWOS:000451707200004","View Full Record in Web of Science")</f>
        <v>View Full Record in Web of Science</v>
      </c>
    </row>
    <row r="520" spans="1:72" x14ac:dyDescent="0.25">
      <c r="A520" t="s">
        <v>72</v>
      </c>
      <c r="B520" t="s">
        <v>9063</v>
      </c>
      <c r="C520" t="s">
        <v>74</v>
      </c>
      <c r="D520" t="s">
        <v>74</v>
      </c>
      <c r="E520" t="s">
        <v>74</v>
      </c>
      <c r="F520" t="s">
        <v>9064</v>
      </c>
      <c r="G520" t="s">
        <v>74</v>
      </c>
      <c r="H520" t="s">
        <v>74</v>
      </c>
      <c r="I520" t="s">
        <v>9065</v>
      </c>
      <c r="J520" t="s">
        <v>5649</v>
      </c>
      <c r="K520" t="s">
        <v>74</v>
      </c>
      <c r="L520" t="s">
        <v>74</v>
      </c>
      <c r="M520" t="s">
        <v>77</v>
      </c>
      <c r="N520" t="s">
        <v>78</v>
      </c>
      <c r="O520" t="s">
        <v>74</v>
      </c>
      <c r="P520" t="s">
        <v>74</v>
      </c>
      <c r="Q520" t="s">
        <v>74</v>
      </c>
      <c r="R520" t="s">
        <v>74</v>
      </c>
      <c r="S520" t="s">
        <v>74</v>
      </c>
      <c r="T520" t="s">
        <v>9066</v>
      </c>
      <c r="U520" t="s">
        <v>9067</v>
      </c>
      <c r="V520" t="s">
        <v>9068</v>
      </c>
      <c r="W520" t="s">
        <v>9069</v>
      </c>
      <c r="X520" t="s">
        <v>74</v>
      </c>
      <c r="Y520" t="s">
        <v>9070</v>
      </c>
      <c r="Z520" t="s">
        <v>3977</v>
      </c>
      <c r="AA520" t="s">
        <v>74</v>
      </c>
      <c r="AB520" t="s">
        <v>9071</v>
      </c>
      <c r="AC520" t="s">
        <v>74</v>
      </c>
      <c r="AD520" t="s">
        <v>74</v>
      </c>
      <c r="AE520" t="s">
        <v>74</v>
      </c>
      <c r="AF520" t="s">
        <v>74</v>
      </c>
      <c r="AG520">
        <v>51</v>
      </c>
      <c r="AH520">
        <v>14</v>
      </c>
      <c r="AI520">
        <v>14</v>
      </c>
      <c r="AJ520">
        <v>0</v>
      </c>
      <c r="AK520">
        <v>28</v>
      </c>
      <c r="AL520" t="s">
        <v>1099</v>
      </c>
      <c r="AM520" t="s">
        <v>305</v>
      </c>
      <c r="AN520" t="s">
        <v>1100</v>
      </c>
      <c r="AO520" t="s">
        <v>5654</v>
      </c>
      <c r="AP520" t="s">
        <v>5655</v>
      </c>
      <c r="AQ520" t="s">
        <v>74</v>
      </c>
      <c r="AR520" t="s">
        <v>5656</v>
      </c>
      <c r="AS520" t="s">
        <v>5657</v>
      </c>
      <c r="AT520" t="s">
        <v>74</v>
      </c>
      <c r="AU520">
        <v>2018</v>
      </c>
      <c r="AV520">
        <v>27</v>
      </c>
      <c r="AW520">
        <v>1</v>
      </c>
      <c r="AX520" t="s">
        <v>74</v>
      </c>
      <c r="AY520" t="s">
        <v>74</v>
      </c>
      <c r="AZ520" t="s">
        <v>74</v>
      </c>
      <c r="BA520" t="s">
        <v>74</v>
      </c>
      <c r="BB520">
        <v>62</v>
      </c>
      <c r="BC520">
        <v>79</v>
      </c>
      <c r="BD520" t="s">
        <v>74</v>
      </c>
      <c r="BE520" t="s">
        <v>9072</v>
      </c>
      <c r="BF520" t="str">
        <f>HYPERLINK("http://dx.doi.org/10.1080/10438599.2017.1294544","http://dx.doi.org/10.1080/10438599.2017.1294544")</f>
        <v>http://dx.doi.org/10.1080/10438599.2017.1294544</v>
      </c>
      <c r="BG520" t="s">
        <v>74</v>
      </c>
      <c r="BH520" t="s">
        <v>74</v>
      </c>
      <c r="BI520">
        <v>18</v>
      </c>
      <c r="BJ520" t="s">
        <v>2599</v>
      </c>
      <c r="BK520" t="s">
        <v>94</v>
      </c>
      <c r="BL520" t="s">
        <v>95</v>
      </c>
      <c r="BM520" t="s">
        <v>9073</v>
      </c>
      <c r="BN520" t="s">
        <v>74</v>
      </c>
      <c r="BO520" t="s">
        <v>74</v>
      </c>
      <c r="BP520" t="s">
        <v>74</v>
      </c>
      <c r="BQ520" t="s">
        <v>74</v>
      </c>
      <c r="BR520" t="s">
        <v>97</v>
      </c>
      <c r="BS520" t="s">
        <v>9074</v>
      </c>
      <c r="BT520" t="str">
        <f>HYPERLINK("https%3A%2F%2Fwww.webofscience.com%2Fwos%2Fwoscc%2Ffull-record%2FWOS:000418513700004","View Full Record in Web of Science")</f>
        <v>View Full Record in Web of Science</v>
      </c>
    </row>
    <row r="521" spans="1:72" x14ac:dyDescent="0.25">
      <c r="A521" t="s">
        <v>72</v>
      </c>
      <c r="B521" t="s">
        <v>9075</v>
      </c>
      <c r="C521" t="s">
        <v>74</v>
      </c>
      <c r="D521" t="s">
        <v>74</v>
      </c>
      <c r="E521" t="s">
        <v>74</v>
      </c>
      <c r="F521" t="s">
        <v>9076</v>
      </c>
      <c r="G521" t="s">
        <v>74</v>
      </c>
      <c r="H521" t="s">
        <v>74</v>
      </c>
      <c r="I521" t="s">
        <v>9077</v>
      </c>
      <c r="J521" t="s">
        <v>9078</v>
      </c>
      <c r="K521" t="s">
        <v>74</v>
      </c>
      <c r="L521" t="s">
        <v>74</v>
      </c>
      <c r="M521" t="s">
        <v>77</v>
      </c>
      <c r="N521" t="s">
        <v>78</v>
      </c>
      <c r="O521" t="s">
        <v>74</v>
      </c>
      <c r="P521" t="s">
        <v>74</v>
      </c>
      <c r="Q521" t="s">
        <v>74</v>
      </c>
      <c r="R521" t="s">
        <v>74</v>
      </c>
      <c r="S521" t="s">
        <v>74</v>
      </c>
      <c r="T521" t="s">
        <v>9079</v>
      </c>
      <c r="U521" t="s">
        <v>9080</v>
      </c>
      <c r="V521" t="s">
        <v>9081</v>
      </c>
      <c r="W521" t="s">
        <v>9082</v>
      </c>
      <c r="X521" t="s">
        <v>3056</v>
      </c>
      <c r="Y521" t="s">
        <v>9083</v>
      </c>
      <c r="Z521" t="s">
        <v>9084</v>
      </c>
      <c r="AA521" t="s">
        <v>9085</v>
      </c>
      <c r="AB521" t="s">
        <v>9086</v>
      </c>
      <c r="AC521" t="s">
        <v>74</v>
      </c>
      <c r="AD521" t="s">
        <v>74</v>
      </c>
      <c r="AE521" t="s">
        <v>74</v>
      </c>
      <c r="AF521" t="s">
        <v>74</v>
      </c>
      <c r="AG521">
        <v>98</v>
      </c>
      <c r="AH521">
        <v>14</v>
      </c>
      <c r="AI521">
        <v>15</v>
      </c>
      <c r="AJ521">
        <v>1</v>
      </c>
      <c r="AK521">
        <v>36</v>
      </c>
      <c r="AL521" t="s">
        <v>329</v>
      </c>
      <c r="AM521" t="s">
        <v>330</v>
      </c>
      <c r="AN521" t="s">
        <v>730</v>
      </c>
      <c r="AO521" t="s">
        <v>9087</v>
      </c>
      <c r="AP521" t="s">
        <v>9088</v>
      </c>
      <c r="AQ521" t="s">
        <v>74</v>
      </c>
      <c r="AR521" t="s">
        <v>9089</v>
      </c>
      <c r="AS521" t="s">
        <v>9090</v>
      </c>
      <c r="AT521" t="s">
        <v>375</v>
      </c>
      <c r="AU521">
        <v>2017</v>
      </c>
      <c r="AV521">
        <v>46</v>
      </c>
      <c r="AW521" t="s">
        <v>74</v>
      </c>
      <c r="AX521" t="s">
        <v>74</v>
      </c>
      <c r="AY521" t="s">
        <v>9091</v>
      </c>
      <c r="AZ521" t="s">
        <v>860</v>
      </c>
      <c r="BA521" t="s">
        <v>74</v>
      </c>
      <c r="BB521" t="s">
        <v>9092</v>
      </c>
      <c r="BC521" t="s">
        <v>9093</v>
      </c>
      <c r="BD521" t="s">
        <v>74</v>
      </c>
      <c r="BE521" t="s">
        <v>9094</v>
      </c>
      <c r="BF521" t="str">
        <f>HYPERLINK("http://dx.doi.org/10.1016/j.chieco.2016.08.010","http://dx.doi.org/10.1016/j.chieco.2016.08.010")</f>
        <v>http://dx.doi.org/10.1016/j.chieco.2016.08.010</v>
      </c>
      <c r="BG521" t="s">
        <v>74</v>
      </c>
      <c r="BH521" t="s">
        <v>74</v>
      </c>
      <c r="BI521">
        <v>15</v>
      </c>
      <c r="BJ521" t="s">
        <v>2599</v>
      </c>
      <c r="BK521" t="s">
        <v>94</v>
      </c>
      <c r="BL521" t="s">
        <v>95</v>
      </c>
      <c r="BM521" t="s">
        <v>9095</v>
      </c>
      <c r="BN521" t="s">
        <v>74</v>
      </c>
      <c r="BO521" t="s">
        <v>74</v>
      </c>
      <c r="BP521" t="s">
        <v>74</v>
      </c>
      <c r="BQ521" t="s">
        <v>74</v>
      </c>
      <c r="BR521" t="s">
        <v>97</v>
      </c>
      <c r="BS521" t="s">
        <v>9096</v>
      </c>
      <c r="BT521" t="str">
        <f>HYPERLINK("https%3A%2F%2Fwww.webofscience.com%2Fwos%2Fwoscc%2Ffull-record%2FWOS:000419085400005","View Full Record in Web of Science")</f>
        <v>View Full Record in Web of Science</v>
      </c>
    </row>
    <row r="522" spans="1:72" x14ac:dyDescent="0.25">
      <c r="A522" t="s">
        <v>72</v>
      </c>
      <c r="B522" t="s">
        <v>9097</v>
      </c>
      <c r="C522" t="s">
        <v>74</v>
      </c>
      <c r="D522" t="s">
        <v>74</v>
      </c>
      <c r="E522" t="s">
        <v>74</v>
      </c>
      <c r="F522" t="s">
        <v>9098</v>
      </c>
      <c r="G522" t="s">
        <v>74</v>
      </c>
      <c r="H522" t="s">
        <v>74</v>
      </c>
      <c r="I522" t="s">
        <v>9099</v>
      </c>
      <c r="J522" t="s">
        <v>657</v>
      </c>
      <c r="K522" t="s">
        <v>74</v>
      </c>
      <c r="L522" t="s">
        <v>74</v>
      </c>
      <c r="M522" t="s">
        <v>77</v>
      </c>
      <c r="N522" t="s">
        <v>78</v>
      </c>
      <c r="O522" t="s">
        <v>74</v>
      </c>
      <c r="P522" t="s">
        <v>74</v>
      </c>
      <c r="Q522" t="s">
        <v>74</v>
      </c>
      <c r="R522" t="s">
        <v>74</v>
      </c>
      <c r="S522" t="s">
        <v>74</v>
      </c>
      <c r="T522" t="s">
        <v>9100</v>
      </c>
      <c r="U522" t="s">
        <v>9101</v>
      </c>
      <c r="V522" t="s">
        <v>9102</v>
      </c>
      <c r="W522" t="s">
        <v>9103</v>
      </c>
      <c r="X522" t="s">
        <v>9104</v>
      </c>
      <c r="Y522" t="s">
        <v>9105</v>
      </c>
      <c r="Z522" t="s">
        <v>9106</v>
      </c>
      <c r="AA522" t="s">
        <v>9107</v>
      </c>
      <c r="AB522" t="s">
        <v>9108</v>
      </c>
      <c r="AC522" t="s">
        <v>74</v>
      </c>
      <c r="AD522" t="s">
        <v>74</v>
      </c>
      <c r="AE522" t="s">
        <v>74</v>
      </c>
      <c r="AF522" t="s">
        <v>74</v>
      </c>
      <c r="AG522">
        <v>96</v>
      </c>
      <c r="AH522">
        <v>14</v>
      </c>
      <c r="AI522">
        <v>15</v>
      </c>
      <c r="AJ522">
        <v>4</v>
      </c>
      <c r="AK522">
        <v>76</v>
      </c>
      <c r="AL522" t="s">
        <v>665</v>
      </c>
      <c r="AM522" t="s">
        <v>666</v>
      </c>
      <c r="AN522" t="s">
        <v>667</v>
      </c>
      <c r="AO522" t="s">
        <v>668</v>
      </c>
      <c r="AP522" t="s">
        <v>669</v>
      </c>
      <c r="AQ522" t="s">
        <v>74</v>
      </c>
      <c r="AR522" t="s">
        <v>670</v>
      </c>
      <c r="AS522" t="s">
        <v>671</v>
      </c>
      <c r="AT522" t="s">
        <v>74</v>
      </c>
      <c r="AU522">
        <v>2014</v>
      </c>
      <c r="AV522">
        <v>35</v>
      </c>
      <c r="AW522">
        <v>7</v>
      </c>
      <c r="AX522" t="s">
        <v>74</v>
      </c>
      <c r="AY522" t="s">
        <v>74</v>
      </c>
      <c r="AZ522" t="s">
        <v>74</v>
      </c>
      <c r="BA522" t="s">
        <v>74</v>
      </c>
      <c r="BB522">
        <v>930</v>
      </c>
      <c r="BC522">
        <v>955</v>
      </c>
      <c r="BD522" t="s">
        <v>74</v>
      </c>
      <c r="BE522" t="s">
        <v>9109</v>
      </c>
      <c r="BF522" t="str">
        <f>HYPERLINK("http://dx.doi.org/10.1108/IJM-03-2012-0049","http://dx.doi.org/10.1108/IJM-03-2012-0049")</f>
        <v>http://dx.doi.org/10.1108/IJM-03-2012-0049</v>
      </c>
      <c r="BG522" t="s">
        <v>74</v>
      </c>
      <c r="BH522" t="s">
        <v>74</v>
      </c>
      <c r="BI522">
        <v>26</v>
      </c>
      <c r="BJ522" t="s">
        <v>673</v>
      </c>
      <c r="BK522" t="s">
        <v>94</v>
      </c>
      <c r="BL522" t="s">
        <v>95</v>
      </c>
      <c r="BM522" t="s">
        <v>9110</v>
      </c>
      <c r="BN522" t="s">
        <v>74</v>
      </c>
      <c r="BO522" t="s">
        <v>74</v>
      </c>
      <c r="BP522" t="s">
        <v>74</v>
      </c>
      <c r="BQ522" t="s">
        <v>74</v>
      </c>
      <c r="BR522" t="s">
        <v>97</v>
      </c>
      <c r="BS522" t="s">
        <v>9111</v>
      </c>
      <c r="BT522" t="str">
        <f>HYPERLINK("https%3A%2F%2Fwww.webofscience.com%2Fwos%2Fwoscc%2Ffull-record%2FWOS:000343325400001","View Full Record in Web of Science")</f>
        <v>View Full Record in Web of Science</v>
      </c>
    </row>
    <row r="523" spans="1:72" x14ac:dyDescent="0.25">
      <c r="A523" t="s">
        <v>72</v>
      </c>
      <c r="B523" t="s">
        <v>20114</v>
      </c>
      <c r="C523" t="s">
        <v>74</v>
      </c>
      <c r="D523" t="s">
        <v>74</v>
      </c>
      <c r="E523" t="s">
        <v>74</v>
      </c>
      <c r="F523" t="s">
        <v>20115</v>
      </c>
      <c r="G523" t="s">
        <v>74</v>
      </c>
      <c r="H523" t="s">
        <v>74</v>
      </c>
      <c r="I523" t="s">
        <v>20116</v>
      </c>
      <c r="J523" t="s">
        <v>20117</v>
      </c>
      <c r="K523" t="s">
        <v>74</v>
      </c>
      <c r="L523" t="s">
        <v>74</v>
      </c>
      <c r="M523" t="s">
        <v>77</v>
      </c>
      <c r="N523" t="s">
        <v>78</v>
      </c>
      <c r="O523" t="s">
        <v>74</v>
      </c>
      <c r="P523" t="s">
        <v>74</v>
      </c>
      <c r="Q523" t="s">
        <v>74</v>
      </c>
      <c r="R523" t="s">
        <v>74</v>
      </c>
      <c r="S523" t="s">
        <v>74</v>
      </c>
      <c r="T523" t="s">
        <v>20118</v>
      </c>
      <c r="U523" t="s">
        <v>20119</v>
      </c>
      <c r="V523" t="s">
        <v>20120</v>
      </c>
      <c r="W523" t="s">
        <v>20121</v>
      </c>
      <c r="X523" t="s">
        <v>20122</v>
      </c>
      <c r="Y523" t="s">
        <v>20123</v>
      </c>
      <c r="Z523" t="s">
        <v>20124</v>
      </c>
      <c r="AA523" t="s">
        <v>20125</v>
      </c>
      <c r="AB523" t="s">
        <v>20126</v>
      </c>
      <c r="AC523" t="s">
        <v>20127</v>
      </c>
      <c r="AD523" t="s">
        <v>20128</v>
      </c>
      <c r="AE523" t="s">
        <v>20129</v>
      </c>
      <c r="AF523" t="s">
        <v>74</v>
      </c>
      <c r="AG523">
        <v>51</v>
      </c>
      <c r="AH523">
        <v>0</v>
      </c>
      <c r="AI523">
        <v>0</v>
      </c>
      <c r="AJ523">
        <v>14</v>
      </c>
      <c r="AK523">
        <v>20</v>
      </c>
      <c r="AL523" t="s">
        <v>1099</v>
      </c>
      <c r="AM523" t="s">
        <v>305</v>
      </c>
      <c r="AN523" t="s">
        <v>1100</v>
      </c>
      <c r="AO523" t="s">
        <v>20130</v>
      </c>
      <c r="AP523" t="s">
        <v>20131</v>
      </c>
      <c r="AQ523" t="s">
        <v>74</v>
      </c>
      <c r="AR523" t="s">
        <v>20132</v>
      </c>
      <c r="AS523" t="s">
        <v>20133</v>
      </c>
      <c r="AT523" t="s">
        <v>457</v>
      </c>
      <c r="AU523">
        <v>2023</v>
      </c>
      <c r="AV523">
        <v>113</v>
      </c>
      <c r="AW523">
        <v>3</v>
      </c>
      <c r="AX523" t="s">
        <v>74</v>
      </c>
      <c r="AY523" t="s">
        <v>74</v>
      </c>
      <c r="AZ523" t="s">
        <v>74</v>
      </c>
      <c r="BA523" t="s">
        <v>74</v>
      </c>
      <c r="BB523">
        <v>700</v>
      </c>
      <c r="BC523">
        <v>716</v>
      </c>
      <c r="BD523" t="s">
        <v>74</v>
      </c>
      <c r="BE523" t="s">
        <v>20134</v>
      </c>
      <c r="BF523" t="str">
        <f>HYPERLINK("http://dx.doi.org/10.1080/24694452.2022.2130868","http://dx.doi.org/10.1080/24694452.2022.2130868")</f>
        <v>http://dx.doi.org/10.1080/24694452.2022.2130868</v>
      </c>
      <c r="BG523" t="s">
        <v>74</v>
      </c>
      <c r="BH523" t="s">
        <v>17318</v>
      </c>
      <c r="BI523">
        <v>17</v>
      </c>
      <c r="BJ523" t="s">
        <v>13831</v>
      </c>
      <c r="BK523" t="s">
        <v>94</v>
      </c>
      <c r="BL523" t="s">
        <v>13831</v>
      </c>
      <c r="BM523" t="s">
        <v>20135</v>
      </c>
      <c r="BN523" t="s">
        <v>74</v>
      </c>
      <c r="BO523" t="s">
        <v>74</v>
      </c>
      <c r="BP523" t="s">
        <v>74</v>
      </c>
      <c r="BQ523" t="s">
        <v>74</v>
      </c>
      <c r="BR523" t="s">
        <v>97</v>
      </c>
      <c r="BS523" t="s">
        <v>20136</v>
      </c>
      <c r="BT523" t="str">
        <f>HYPERLINK("https%3A%2F%2Fwww.webofscience.com%2Fwos%2Fwoscc%2Ffull-record%2FWOS:000874741300001","View Full Record in Web of Science")</f>
        <v>View Full Record in Web of Science</v>
      </c>
    </row>
    <row r="524" spans="1:72" x14ac:dyDescent="0.25">
      <c r="A524" t="s">
        <v>72</v>
      </c>
      <c r="B524" t="s">
        <v>9131</v>
      </c>
      <c r="C524" t="s">
        <v>74</v>
      </c>
      <c r="D524" t="s">
        <v>74</v>
      </c>
      <c r="E524" t="s">
        <v>74</v>
      </c>
      <c r="F524" t="s">
        <v>9132</v>
      </c>
      <c r="G524" t="s">
        <v>74</v>
      </c>
      <c r="H524" t="s">
        <v>74</v>
      </c>
      <c r="I524" t="s">
        <v>9133</v>
      </c>
      <c r="J524" t="s">
        <v>9134</v>
      </c>
      <c r="K524" t="s">
        <v>74</v>
      </c>
      <c r="L524" t="s">
        <v>74</v>
      </c>
      <c r="M524" t="s">
        <v>77</v>
      </c>
      <c r="N524" t="s">
        <v>78</v>
      </c>
      <c r="O524" t="s">
        <v>74</v>
      </c>
      <c r="P524" t="s">
        <v>74</v>
      </c>
      <c r="Q524" t="s">
        <v>74</v>
      </c>
      <c r="R524" t="s">
        <v>74</v>
      </c>
      <c r="S524" t="s">
        <v>74</v>
      </c>
      <c r="T524" t="s">
        <v>9135</v>
      </c>
      <c r="U524" t="s">
        <v>9136</v>
      </c>
      <c r="V524" t="s">
        <v>9137</v>
      </c>
      <c r="W524" t="s">
        <v>9138</v>
      </c>
      <c r="X524" t="s">
        <v>9139</v>
      </c>
      <c r="Y524" t="s">
        <v>9140</v>
      </c>
      <c r="Z524" t="s">
        <v>9141</v>
      </c>
      <c r="AA524" t="s">
        <v>9142</v>
      </c>
      <c r="AB524" t="s">
        <v>9143</v>
      </c>
      <c r="AC524" t="s">
        <v>9144</v>
      </c>
      <c r="AD524" t="s">
        <v>9145</v>
      </c>
      <c r="AE524" t="s">
        <v>9146</v>
      </c>
      <c r="AF524" t="s">
        <v>74</v>
      </c>
      <c r="AG524">
        <v>44</v>
      </c>
      <c r="AH524">
        <v>14</v>
      </c>
      <c r="AI524">
        <v>15</v>
      </c>
      <c r="AJ524">
        <v>4</v>
      </c>
      <c r="AK524">
        <v>51</v>
      </c>
      <c r="AL524" t="s">
        <v>766</v>
      </c>
      <c r="AM524" t="s">
        <v>330</v>
      </c>
      <c r="AN524" t="s">
        <v>1452</v>
      </c>
      <c r="AO524" t="s">
        <v>9147</v>
      </c>
      <c r="AP524" t="s">
        <v>9148</v>
      </c>
      <c r="AQ524" t="s">
        <v>74</v>
      </c>
      <c r="AR524" t="s">
        <v>9134</v>
      </c>
      <c r="AS524" t="s">
        <v>9149</v>
      </c>
      <c r="AT524" t="s">
        <v>165</v>
      </c>
      <c r="AU524">
        <v>2012</v>
      </c>
      <c r="AV524">
        <v>169</v>
      </c>
      <c r="AW524">
        <v>1</v>
      </c>
      <c r="AX524" t="s">
        <v>74</v>
      </c>
      <c r="AY524" t="s">
        <v>74</v>
      </c>
      <c r="AZ524" t="s">
        <v>74</v>
      </c>
      <c r="BA524" t="s">
        <v>74</v>
      </c>
      <c r="BB524">
        <v>117</v>
      </c>
      <c r="BC524">
        <v>124</v>
      </c>
      <c r="BD524" t="s">
        <v>74</v>
      </c>
      <c r="BE524" t="s">
        <v>9150</v>
      </c>
      <c r="BF524" t="str">
        <f>HYPERLINK("http://dx.doi.org/10.1007/s00442-011-2193-8","http://dx.doi.org/10.1007/s00442-011-2193-8")</f>
        <v>http://dx.doi.org/10.1007/s00442-011-2193-8</v>
      </c>
      <c r="BG524" t="s">
        <v>74</v>
      </c>
      <c r="BH524" t="s">
        <v>74</v>
      </c>
      <c r="BI524">
        <v>8</v>
      </c>
      <c r="BJ524" t="s">
        <v>9151</v>
      </c>
      <c r="BK524" t="s">
        <v>283</v>
      </c>
      <c r="BL524" t="s">
        <v>5337</v>
      </c>
      <c r="BM524" t="s">
        <v>9152</v>
      </c>
      <c r="BN524">
        <v>22086240</v>
      </c>
      <c r="BO524" t="s">
        <v>74</v>
      </c>
      <c r="BP524" t="s">
        <v>74</v>
      </c>
      <c r="BQ524" t="s">
        <v>74</v>
      </c>
      <c r="BR524" t="s">
        <v>97</v>
      </c>
      <c r="BS524" t="s">
        <v>9153</v>
      </c>
      <c r="BT524" t="str">
        <f>HYPERLINK("https%3A%2F%2Fwww.webofscience.com%2Fwos%2Fwoscc%2Ffull-record%2FWOS:000302817700011","View Full Record in Web of Science")</f>
        <v>View Full Record in Web of Science</v>
      </c>
    </row>
    <row r="525" spans="1:72" x14ac:dyDescent="0.25">
      <c r="A525" t="s">
        <v>72</v>
      </c>
      <c r="B525" t="s">
        <v>9154</v>
      </c>
      <c r="C525" t="s">
        <v>74</v>
      </c>
      <c r="D525" t="s">
        <v>74</v>
      </c>
      <c r="E525" t="s">
        <v>74</v>
      </c>
      <c r="F525" t="s">
        <v>9155</v>
      </c>
      <c r="G525" t="s">
        <v>74</v>
      </c>
      <c r="H525" t="s">
        <v>74</v>
      </c>
      <c r="I525" t="s">
        <v>9156</v>
      </c>
      <c r="J525" t="s">
        <v>9157</v>
      </c>
      <c r="K525" t="s">
        <v>74</v>
      </c>
      <c r="L525" t="s">
        <v>74</v>
      </c>
      <c r="M525" t="s">
        <v>77</v>
      </c>
      <c r="N525" t="s">
        <v>78</v>
      </c>
      <c r="O525" t="s">
        <v>74</v>
      </c>
      <c r="P525" t="s">
        <v>74</v>
      </c>
      <c r="Q525" t="s">
        <v>74</v>
      </c>
      <c r="R525" t="s">
        <v>74</v>
      </c>
      <c r="S525" t="s">
        <v>74</v>
      </c>
      <c r="T525" t="s">
        <v>9158</v>
      </c>
      <c r="U525" t="s">
        <v>9159</v>
      </c>
      <c r="V525" t="s">
        <v>9160</v>
      </c>
      <c r="W525" t="s">
        <v>9161</v>
      </c>
      <c r="X525" t="s">
        <v>9162</v>
      </c>
      <c r="Y525" t="s">
        <v>9163</v>
      </c>
      <c r="Z525" t="s">
        <v>9164</v>
      </c>
      <c r="AA525" t="s">
        <v>74</v>
      </c>
      <c r="AB525" t="s">
        <v>74</v>
      </c>
      <c r="AC525" t="s">
        <v>74</v>
      </c>
      <c r="AD525" t="s">
        <v>74</v>
      </c>
      <c r="AE525" t="s">
        <v>74</v>
      </c>
      <c r="AF525" t="s">
        <v>74</v>
      </c>
      <c r="AG525">
        <v>85</v>
      </c>
      <c r="AH525">
        <v>14</v>
      </c>
      <c r="AI525">
        <v>14</v>
      </c>
      <c r="AJ525">
        <v>4</v>
      </c>
      <c r="AK525">
        <v>101</v>
      </c>
      <c r="AL525" t="s">
        <v>1471</v>
      </c>
      <c r="AM525" t="s">
        <v>1472</v>
      </c>
      <c r="AN525" t="s">
        <v>1473</v>
      </c>
      <c r="AO525" t="s">
        <v>9165</v>
      </c>
      <c r="AP525" t="s">
        <v>9166</v>
      </c>
      <c r="AQ525" t="s">
        <v>74</v>
      </c>
      <c r="AR525" t="s">
        <v>9167</v>
      </c>
      <c r="AS525" t="s">
        <v>9168</v>
      </c>
      <c r="AT525" t="s">
        <v>74</v>
      </c>
      <c r="AU525">
        <v>2012</v>
      </c>
      <c r="AV525">
        <v>6</v>
      </c>
      <c r="AW525">
        <v>1</v>
      </c>
      <c r="AX525" t="s">
        <v>74</v>
      </c>
      <c r="AY525" t="s">
        <v>74</v>
      </c>
      <c r="AZ525" t="s">
        <v>74</v>
      </c>
      <c r="BA525" t="s">
        <v>74</v>
      </c>
      <c r="BB525">
        <v>83</v>
      </c>
      <c r="BC525">
        <v>100</v>
      </c>
      <c r="BD525" t="s">
        <v>74</v>
      </c>
      <c r="BE525" t="s">
        <v>9169</v>
      </c>
      <c r="BF525" t="str">
        <f>HYPERLINK("http://dx.doi.org/10.1504/EJIM.2012.044759","http://dx.doi.org/10.1504/EJIM.2012.044759")</f>
        <v>http://dx.doi.org/10.1504/EJIM.2012.044759</v>
      </c>
      <c r="BG525" t="s">
        <v>74</v>
      </c>
      <c r="BH525" t="s">
        <v>74</v>
      </c>
      <c r="BI525">
        <v>18</v>
      </c>
      <c r="BJ525" t="s">
        <v>442</v>
      </c>
      <c r="BK525" t="s">
        <v>94</v>
      </c>
      <c r="BL525" t="s">
        <v>95</v>
      </c>
      <c r="BM525" t="s">
        <v>9170</v>
      </c>
      <c r="BN525" t="s">
        <v>74</v>
      </c>
      <c r="BO525" t="s">
        <v>74</v>
      </c>
      <c r="BP525" t="s">
        <v>74</v>
      </c>
      <c r="BQ525" t="s">
        <v>74</v>
      </c>
      <c r="BR525" t="s">
        <v>97</v>
      </c>
      <c r="BS525" t="s">
        <v>9171</v>
      </c>
      <c r="BT525" t="str">
        <f>HYPERLINK("https%3A%2F%2Fwww.webofscience.com%2Fwos%2Fwoscc%2Ffull-record%2FWOS:000299105600006","View Full Record in Web of Science")</f>
        <v>View Full Record in Web of Science</v>
      </c>
    </row>
    <row r="526" spans="1:72" x14ac:dyDescent="0.25">
      <c r="A526" t="s">
        <v>72</v>
      </c>
      <c r="B526" t="s">
        <v>9172</v>
      </c>
      <c r="C526" t="s">
        <v>74</v>
      </c>
      <c r="D526" t="s">
        <v>74</v>
      </c>
      <c r="E526" t="s">
        <v>74</v>
      </c>
      <c r="F526" t="s">
        <v>9173</v>
      </c>
      <c r="G526" t="s">
        <v>74</v>
      </c>
      <c r="H526" t="s">
        <v>74</v>
      </c>
      <c r="I526" t="s">
        <v>9174</v>
      </c>
      <c r="J526" t="s">
        <v>1600</v>
      </c>
      <c r="K526" t="s">
        <v>74</v>
      </c>
      <c r="L526" t="s">
        <v>74</v>
      </c>
      <c r="M526" t="s">
        <v>77</v>
      </c>
      <c r="N526" t="s">
        <v>78</v>
      </c>
      <c r="O526" t="s">
        <v>74</v>
      </c>
      <c r="P526" t="s">
        <v>74</v>
      </c>
      <c r="Q526" t="s">
        <v>74</v>
      </c>
      <c r="R526" t="s">
        <v>74</v>
      </c>
      <c r="S526" t="s">
        <v>74</v>
      </c>
      <c r="T526" t="s">
        <v>9175</v>
      </c>
      <c r="U526" t="s">
        <v>9176</v>
      </c>
      <c r="V526" t="s">
        <v>9177</v>
      </c>
      <c r="W526" t="s">
        <v>9178</v>
      </c>
      <c r="X526" t="s">
        <v>9179</v>
      </c>
      <c r="Y526" t="s">
        <v>9180</v>
      </c>
      <c r="Z526" t="s">
        <v>9181</v>
      </c>
      <c r="AA526" t="s">
        <v>74</v>
      </c>
      <c r="AB526" t="s">
        <v>9182</v>
      </c>
      <c r="AC526" t="s">
        <v>74</v>
      </c>
      <c r="AD526" t="s">
        <v>74</v>
      </c>
      <c r="AE526" t="s">
        <v>74</v>
      </c>
      <c r="AF526" t="s">
        <v>74</v>
      </c>
      <c r="AG526">
        <v>83</v>
      </c>
      <c r="AH526">
        <v>14</v>
      </c>
      <c r="AI526">
        <v>14</v>
      </c>
      <c r="AJ526">
        <v>3</v>
      </c>
      <c r="AK526">
        <v>40</v>
      </c>
      <c r="AL526" t="s">
        <v>1099</v>
      </c>
      <c r="AM526" t="s">
        <v>305</v>
      </c>
      <c r="AN526" t="s">
        <v>1100</v>
      </c>
      <c r="AO526" t="s">
        <v>1610</v>
      </c>
      <c r="AP526" t="s">
        <v>1611</v>
      </c>
      <c r="AQ526" t="s">
        <v>74</v>
      </c>
      <c r="AR526" t="s">
        <v>1612</v>
      </c>
      <c r="AS526" t="s">
        <v>1613</v>
      </c>
      <c r="AT526" t="s">
        <v>74</v>
      </c>
      <c r="AU526">
        <v>2008</v>
      </c>
      <c r="AV526">
        <v>19</v>
      </c>
      <c r="AW526">
        <v>12</v>
      </c>
      <c r="AX526" t="s">
        <v>74</v>
      </c>
      <c r="AY526" t="s">
        <v>74</v>
      </c>
      <c r="AZ526" t="s">
        <v>74</v>
      </c>
      <c r="BA526" t="s">
        <v>74</v>
      </c>
      <c r="BB526">
        <v>2311</v>
      </c>
      <c r="BC526">
        <v>2331</v>
      </c>
      <c r="BD526" t="s">
        <v>9183</v>
      </c>
      <c r="BE526" t="s">
        <v>9184</v>
      </c>
      <c r="BF526" t="str">
        <f>HYPERLINK("http://dx.doi.org/10.1080/09585190802479546","http://dx.doi.org/10.1080/09585190802479546")</f>
        <v>http://dx.doi.org/10.1080/09585190802479546</v>
      </c>
      <c r="BG526" t="s">
        <v>74</v>
      </c>
      <c r="BH526" t="s">
        <v>74</v>
      </c>
      <c r="BI526">
        <v>21</v>
      </c>
      <c r="BJ526" t="s">
        <v>442</v>
      </c>
      <c r="BK526" t="s">
        <v>94</v>
      </c>
      <c r="BL526" t="s">
        <v>95</v>
      </c>
      <c r="BM526" t="s">
        <v>9185</v>
      </c>
      <c r="BN526" t="s">
        <v>74</v>
      </c>
      <c r="BO526" t="s">
        <v>74</v>
      </c>
      <c r="BP526" t="s">
        <v>74</v>
      </c>
      <c r="BQ526" t="s">
        <v>74</v>
      </c>
      <c r="BR526" t="s">
        <v>97</v>
      </c>
      <c r="BS526" t="s">
        <v>9186</v>
      </c>
      <c r="BT526" t="str">
        <f>HYPERLINK("https%3A%2F%2Fwww.webofscience.com%2Fwos%2Fwoscc%2Ffull-record%2FWOS:000261674000011","View Full Record in Web of Science")</f>
        <v>View Full Record in Web of Science</v>
      </c>
    </row>
    <row r="527" spans="1:72" x14ac:dyDescent="0.25">
      <c r="A527" t="s">
        <v>72</v>
      </c>
      <c r="B527" t="s">
        <v>9187</v>
      </c>
      <c r="C527" t="s">
        <v>74</v>
      </c>
      <c r="D527" t="s">
        <v>74</v>
      </c>
      <c r="E527" t="s">
        <v>74</v>
      </c>
      <c r="F527" t="s">
        <v>9188</v>
      </c>
      <c r="G527" t="s">
        <v>74</v>
      </c>
      <c r="H527" t="s">
        <v>74</v>
      </c>
      <c r="I527" t="s">
        <v>9189</v>
      </c>
      <c r="J527" t="s">
        <v>9190</v>
      </c>
      <c r="K527" t="s">
        <v>74</v>
      </c>
      <c r="L527" t="s">
        <v>74</v>
      </c>
      <c r="M527" t="s">
        <v>77</v>
      </c>
      <c r="N527" t="s">
        <v>78</v>
      </c>
      <c r="O527" t="s">
        <v>74</v>
      </c>
      <c r="P527" t="s">
        <v>74</v>
      </c>
      <c r="Q527" t="s">
        <v>74</v>
      </c>
      <c r="R527" t="s">
        <v>74</v>
      </c>
      <c r="S527" t="s">
        <v>74</v>
      </c>
      <c r="T527" t="s">
        <v>74</v>
      </c>
      <c r="U527" t="s">
        <v>9191</v>
      </c>
      <c r="V527" t="s">
        <v>9192</v>
      </c>
      <c r="W527" t="s">
        <v>9193</v>
      </c>
      <c r="X527" t="s">
        <v>9194</v>
      </c>
      <c r="Y527" t="s">
        <v>9195</v>
      </c>
      <c r="Z527" t="s">
        <v>9196</v>
      </c>
      <c r="AA527" t="s">
        <v>74</v>
      </c>
      <c r="AB527" t="s">
        <v>74</v>
      </c>
      <c r="AC527" t="s">
        <v>74</v>
      </c>
      <c r="AD527" t="s">
        <v>74</v>
      </c>
      <c r="AE527" t="s">
        <v>74</v>
      </c>
      <c r="AF527" t="s">
        <v>74</v>
      </c>
      <c r="AG527">
        <v>9</v>
      </c>
      <c r="AH527">
        <v>14</v>
      </c>
      <c r="AI527">
        <v>15</v>
      </c>
      <c r="AJ527">
        <v>0</v>
      </c>
      <c r="AK527">
        <v>31</v>
      </c>
      <c r="AL527" t="s">
        <v>766</v>
      </c>
      <c r="AM527" t="s">
        <v>1193</v>
      </c>
      <c r="AN527" t="s">
        <v>1498</v>
      </c>
      <c r="AO527" t="s">
        <v>9197</v>
      </c>
      <c r="AP527" t="s">
        <v>74</v>
      </c>
      <c r="AQ527" t="s">
        <v>74</v>
      </c>
      <c r="AR527" t="s">
        <v>9190</v>
      </c>
      <c r="AS527" t="s">
        <v>9198</v>
      </c>
      <c r="AT527" t="s">
        <v>91</v>
      </c>
      <c r="AU527">
        <v>2007</v>
      </c>
      <c r="AV527">
        <v>71</v>
      </c>
      <c r="AW527">
        <v>3</v>
      </c>
      <c r="AX527" t="s">
        <v>74</v>
      </c>
      <c r="AY527" t="s">
        <v>74</v>
      </c>
      <c r="AZ527" t="s">
        <v>74</v>
      </c>
      <c r="BA527" t="s">
        <v>74</v>
      </c>
      <c r="BB527">
        <v>495</v>
      </c>
      <c r="BC527">
        <v>507</v>
      </c>
      <c r="BD527" t="s">
        <v>74</v>
      </c>
      <c r="BE527" t="s">
        <v>9199</v>
      </c>
      <c r="BF527" t="str">
        <f>HYPERLINK("http://dx.doi.org/10.1007/s11192-007-1691-2","http://dx.doi.org/10.1007/s11192-007-1691-2")</f>
        <v>http://dx.doi.org/10.1007/s11192-007-1691-2</v>
      </c>
      <c r="BG527" t="s">
        <v>74</v>
      </c>
      <c r="BH527" t="s">
        <v>74</v>
      </c>
      <c r="BI527">
        <v>13</v>
      </c>
      <c r="BJ527" t="s">
        <v>9200</v>
      </c>
      <c r="BK527" t="s">
        <v>147</v>
      </c>
      <c r="BL527" t="s">
        <v>9201</v>
      </c>
      <c r="BM527" t="s">
        <v>9202</v>
      </c>
      <c r="BN527" t="s">
        <v>74</v>
      </c>
      <c r="BO527" t="s">
        <v>1897</v>
      </c>
      <c r="BP527" t="s">
        <v>74</v>
      </c>
      <c r="BQ527" t="s">
        <v>74</v>
      </c>
      <c r="BR527" t="s">
        <v>97</v>
      </c>
      <c r="BS527" t="s">
        <v>9203</v>
      </c>
      <c r="BT527" t="str">
        <f>HYPERLINK("https%3A%2F%2Fwww.webofscience.com%2Fwos%2Fwoscc%2Ffull-record%2FWOS:000246373000010","View Full Record in Web of Science")</f>
        <v>View Full Record in Web of Science</v>
      </c>
    </row>
    <row r="528" spans="1:72" x14ac:dyDescent="0.25">
      <c r="A528" t="s">
        <v>72</v>
      </c>
      <c r="B528" t="s">
        <v>9204</v>
      </c>
      <c r="C528" t="s">
        <v>74</v>
      </c>
      <c r="D528" t="s">
        <v>74</v>
      </c>
      <c r="E528" t="s">
        <v>74</v>
      </c>
      <c r="F528" t="s">
        <v>9204</v>
      </c>
      <c r="G528" t="s">
        <v>74</v>
      </c>
      <c r="H528" t="s">
        <v>74</v>
      </c>
      <c r="I528" t="s">
        <v>9205</v>
      </c>
      <c r="J528" t="s">
        <v>9206</v>
      </c>
      <c r="K528" t="s">
        <v>74</v>
      </c>
      <c r="L528" t="s">
        <v>74</v>
      </c>
      <c r="M528" t="s">
        <v>77</v>
      </c>
      <c r="N528" t="s">
        <v>78</v>
      </c>
      <c r="O528" t="s">
        <v>74</v>
      </c>
      <c r="P528" t="s">
        <v>74</v>
      </c>
      <c r="Q528" t="s">
        <v>74</v>
      </c>
      <c r="R528" t="s">
        <v>74</v>
      </c>
      <c r="S528" t="s">
        <v>74</v>
      </c>
      <c r="T528" t="s">
        <v>9207</v>
      </c>
      <c r="U528" t="s">
        <v>74</v>
      </c>
      <c r="V528" t="s">
        <v>9208</v>
      </c>
      <c r="W528" t="s">
        <v>9209</v>
      </c>
      <c r="X528" t="s">
        <v>4284</v>
      </c>
      <c r="Y528" t="s">
        <v>9210</v>
      </c>
      <c r="Z528" t="s">
        <v>9211</v>
      </c>
      <c r="AA528" t="s">
        <v>3691</v>
      </c>
      <c r="AB528" t="s">
        <v>9212</v>
      </c>
      <c r="AC528" t="s">
        <v>74</v>
      </c>
      <c r="AD528" t="s">
        <v>74</v>
      </c>
      <c r="AE528" t="s">
        <v>74</v>
      </c>
      <c r="AF528" t="s">
        <v>74</v>
      </c>
      <c r="AG528">
        <v>20</v>
      </c>
      <c r="AH528">
        <v>14</v>
      </c>
      <c r="AI528">
        <v>14</v>
      </c>
      <c r="AJ528">
        <v>4</v>
      </c>
      <c r="AK528">
        <v>22</v>
      </c>
      <c r="AL528" t="s">
        <v>766</v>
      </c>
      <c r="AM528" t="s">
        <v>1193</v>
      </c>
      <c r="AN528" t="s">
        <v>1498</v>
      </c>
      <c r="AO528" t="s">
        <v>9213</v>
      </c>
      <c r="AP528" t="s">
        <v>9214</v>
      </c>
      <c r="AQ528" t="s">
        <v>74</v>
      </c>
      <c r="AR528" t="s">
        <v>9215</v>
      </c>
      <c r="AS528" t="s">
        <v>9216</v>
      </c>
      <c r="AT528" t="s">
        <v>200</v>
      </c>
      <c r="AU528">
        <v>2006</v>
      </c>
      <c r="AV528">
        <v>154</v>
      </c>
      <c r="AW528">
        <v>1</v>
      </c>
      <c r="AX528" t="s">
        <v>74</v>
      </c>
      <c r="AY528" t="s">
        <v>74</v>
      </c>
      <c r="AZ528" t="s">
        <v>74</v>
      </c>
      <c r="BA528" t="s">
        <v>74</v>
      </c>
      <c r="BB528">
        <v>85</v>
      </c>
      <c r="BC528">
        <v>105</v>
      </c>
      <c r="BD528" t="s">
        <v>74</v>
      </c>
      <c r="BE528" t="s">
        <v>9217</v>
      </c>
      <c r="BF528" t="str">
        <f>HYPERLINK("http://dx.doi.org/10.1007/s10645-006-0005-z","http://dx.doi.org/10.1007/s10645-006-0005-z")</f>
        <v>http://dx.doi.org/10.1007/s10645-006-0005-z</v>
      </c>
      <c r="BG528" t="s">
        <v>74</v>
      </c>
      <c r="BH528" t="s">
        <v>74</v>
      </c>
      <c r="BI528">
        <v>21</v>
      </c>
      <c r="BJ528" t="s">
        <v>2599</v>
      </c>
      <c r="BK528" t="s">
        <v>94</v>
      </c>
      <c r="BL528" t="s">
        <v>95</v>
      </c>
      <c r="BM528" t="s">
        <v>9218</v>
      </c>
      <c r="BN528" t="s">
        <v>74</v>
      </c>
      <c r="BO528" t="s">
        <v>74</v>
      </c>
      <c r="BP528" t="s">
        <v>74</v>
      </c>
      <c r="BQ528" t="s">
        <v>74</v>
      </c>
      <c r="BR528" t="s">
        <v>97</v>
      </c>
      <c r="BS528" t="s">
        <v>9219</v>
      </c>
      <c r="BT528" t="str">
        <f>HYPERLINK("https%3A%2F%2Fwww.webofscience.com%2Fwos%2Fwoscc%2Ffull-record%2FWOS:000237089700005","View Full Record in Web of Science")</f>
        <v>View Full Record in Web of Science</v>
      </c>
    </row>
    <row r="529" spans="1:72" x14ac:dyDescent="0.25">
      <c r="A529" t="s">
        <v>72</v>
      </c>
      <c r="B529" t="s">
        <v>9220</v>
      </c>
      <c r="C529" t="s">
        <v>74</v>
      </c>
      <c r="D529" t="s">
        <v>74</v>
      </c>
      <c r="E529" t="s">
        <v>74</v>
      </c>
      <c r="F529" t="s">
        <v>9220</v>
      </c>
      <c r="G529" t="s">
        <v>74</v>
      </c>
      <c r="H529" t="s">
        <v>74</v>
      </c>
      <c r="I529" t="s">
        <v>9221</v>
      </c>
      <c r="J529" t="s">
        <v>9222</v>
      </c>
      <c r="K529" t="s">
        <v>74</v>
      </c>
      <c r="L529" t="s">
        <v>74</v>
      </c>
      <c r="M529" t="s">
        <v>77</v>
      </c>
      <c r="N529" t="s">
        <v>78</v>
      </c>
      <c r="O529" t="s">
        <v>74</v>
      </c>
      <c r="P529" t="s">
        <v>74</v>
      </c>
      <c r="Q529" t="s">
        <v>74</v>
      </c>
      <c r="R529" t="s">
        <v>74</v>
      </c>
      <c r="S529" t="s">
        <v>74</v>
      </c>
      <c r="T529" t="s">
        <v>74</v>
      </c>
      <c r="U529" t="s">
        <v>74</v>
      </c>
      <c r="V529" t="s">
        <v>9223</v>
      </c>
      <c r="W529" t="s">
        <v>9224</v>
      </c>
      <c r="X529" t="s">
        <v>1763</v>
      </c>
      <c r="Y529" t="s">
        <v>9225</v>
      </c>
      <c r="Z529" t="s">
        <v>74</v>
      </c>
      <c r="AA529" t="s">
        <v>74</v>
      </c>
      <c r="AB529" t="s">
        <v>74</v>
      </c>
      <c r="AC529" t="s">
        <v>74</v>
      </c>
      <c r="AD529" t="s">
        <v>74</v>
      </c>
      <c r="AE529" t="s">
        <v>74</v>
      </c>
      <c r="AF529" t="s">
        <v>74</v>
      </c>
      <c r="AG529">
        <v>14</v>
      </c>
      <c r="AH529">
        <v>14</v>
      </c>
      <c r="AI529">
        <v>16</v>
      </c>
      <c r="AJ529">
        <v>0</v>
      </c>
      <c r="AK529">
        <v>10</v>
      </c>
      <c r="AL529" t="s">
        <v>9226</v>
      </c>
      <c r="AM529" t="s">
        <v>9227</v>
      </c>
      <c r="AN529" t="s">
        <v>9228</v>
      </c>
      <c r="AO529" t="s">
        <v>9229</v>
      </c>
      <c r="AP529" t="s">
        <v>74</v>
      </c>
      <c r="AQ529" t="s">
        <v>74</v>
      </c>
      <c r="AR529" t="s">
        <v>9230</v>
      </c>
      <c r="AS529" t="s">
        <v>9231</v>
      </c>
      <c r="AT529" t="s">
        <v>74</v>
      </c>
      <c r="AU529">
        <v>1999</v>
      </c>
      <c r="AV529">
        <v>23</v>
      </c>
      <c r="AW529">
        <v>2</v>
      </c>
      <c r="AX529" t="s">
        <v>74</v>
      </c>
      <c r="AY529" t="s">
        <v>74</v>
      </c>
      <c r="AZ529" t="s">
        <v>74</v>
      </c>
      <c r="BA529" t="s">
        <v>74</v>
      </c>
      <c r="BB529">
        <v>47</v>
      </c>
      <c r="BC529" t="s">
        <v>2838</v>
      </c>
      <c r="BD529" t="s">
        <v>74</v>
      </c>
      <c r="BE529" t="s">
        <v>9232</v>
      </c>
      <c r="BF529" t="str">
        <f>HYPERLINK("http://dx.doi.org/10.1300/J147v23n02_04","http://dx.doi.org/10.1300/J147v23n02_04")</f>
        <v>http://dx.doi.org/10.1300/J147v23n02_04</v>
      </c>
      <c r="BG529" t="s">
        <v>74</v>
      </c>
      <c r="BH529" t="s">
        <v>74</v>
      </c>
      <c r="BI529">
        <v>14</v>
      </c>
      <c r="BJ529" t="s">
        <v>9233</v>
      </c>
      <c r="BK529" t="s">
        <v>94</v>
      </c>
      <c r="BL529" t="s">
        <v>9233</v>
      </c>
      <c r="BM529" t="s">
        <v>9234</v>
      </c>
      <c r="BN529" t="s">
        <v>74</v>
      </c>
      <c r="BO529" t="s">
        <v>74</v>
      </c>
      <c r="BP529" t="s">
        <v>74</v>
      </c>
      <c r="BQ529" t="s">
        <v>74</v>
      </c>
      <c r="BR529" t="s">
        <v>97</v>
      </c>
      <c r="BS529" t="s">
        <v>9235</v>
      </c>
      <c r="BT529" t="str">
        <f>HYPERLINK("https%3A%2F%2Fwww.webofscience.com%2Fwos%2Fwoscc%2Ffull-record%2FWOS:000082444900004","View Full Record in Web of Science")</f>
        <v>View Full Record in Web of Science</v>
      </c>
    </row>
    <row r="530" spans="1:72" x14ac:dyDescent="0.25">
      <c r="A530" t="s">
        <v>72</v>
      </c>
      <c r="B530" t="s">
        <v>9236</v>
      </c>
      <c r="C530" t="s">
        <v>74</v>
      </c>
      <c r="D530" t="s">
        <v>74</v>
      </c>
      <c r="E530" t="s">
        <v>74</v>
      </c>
      <c r="F530" t="s">
        <v>9236</v>
      </c>
      <c r="G530" t="s">
        <v>74</v>
      </c>
      <c r="H530" t="s">
        <v>74</v>
      </c>
      <c r="I530" t="s">
        <v>9237</v>
      </c>
      <c r="J530" t="s">
        <v>424</v>
      </c>
      <c r="K530" t="s">
        <v>74</v>
      </c>
      <c r="L530" t="s">
        <v>74</v>
      </c>
      <c r="M530" t="s">
        <v>77</v>
      </c>
      <c r="N530" t="s">
        <v>78</v>
      </c>
      <c r="O530" t="s">
        <v>74</v>
      </c>
      <c r="P530" t="s">
        <v>74</v>
      </c>
      <c r="Q530" t="s">
        <v>74</v>
      </c>
      <c r="R530" t="s">
        <v>74</v>
      </c>
      <c r="S530" t="s">
        <v>74</v>
      </c>
      <c r="T530" t="s">
        <v>74</v>
      </c>
      <c r="U530" t="s">
        <v>74</v>
      </c>
      <c r="V530" t="s">
        <v>9238</v>
      </c>
      <c r="W530" t="s">
        <v>9239</v>
      </c>
      <c r="X530" t="s">
        <v>74</v>
      </c>
      <c r="Y530" t="s">
        <v>9240</v>
      </c>
      <c r="Z530" t="s">
        <v>74</v>
      </c>
      <c r="AA530" t="s">
        <v>74</v>
      </c>
      <c r="AB530" t="s">
        <v>74</v>
      </c>
      <c r="AC530" t="s">
        <v>74</v>
      </c>
      <c r="AD530" t="s">
        <v>74</v>
      </c>
      <c r="AE530" t="s">
        <v>74</v>
      </c>
      <c r="AF530" t="s">
        <v>74</v>
      </c>
      <c r="AG530">
        <v>9</v>
      </c>
      <c r="AH530">
        <v>14</v>
      </c>
      <c r="AI530">
        <v>14</v>
      </c>
      <c r="AJ530">
        <v>1</v>
      </c>
      <c r="AK530">
        <v>16</v>
      </c>
      <c r="AL530" t="s">
        <v>511</v>
      </c>
      <c r="AM530" t="s">
        <v>435</v>
      </c>
      <c r="AN530" t="s">
        <v>512</v>
      </c>
      <c r="AO530" t="s">
        <v>437</v>
      </c>
      <c r="AP530" t="s">
        <v>74</v>
      </c>
      <c r="AQ530" t="s">
        <v>74</v>
      </c>
      <c r="AR530" t="s">
        <v>439</v>
      </c>
      <c r="AS530" t="s">
        <v>440</v>
      </c>
      <c r="AT530" t="s">
        <v>892</v>
      </c>
      <c r="AU530">
        <v>1996</v>
      </c>
      <c r="AV530">
        <v>25</v>
      </c>
      <c r="AW530">
        <v>1</v>
      </c>
      <c r="AX530" t="s">
        <v>74</v>
      </c>
      <c r="AY530" t="s">
        <v>74</v>
      </c>
      <c r="AZ530" t="s">
        <v>74</v>
      </c>
      <c r="BA530" t="s">
        <v>74</v>
      </c>
      <c r="BB530">
        <v>13</v>
      </c>
      <c r="BC530">
        <v>23</v>
      </c>
      <c r="BD530" t="s">
        <v>74</v>
      </c>
      <c r="BE530" t="s">
        <v>9241</v>
      </c>
      <c r="BF530" t="str">
        <f>HYPERLINK("http://dx.doi.org/10.1016/0048-7333(94)00818-3","http://dx.doi.org/10.1016/0048-7333(94)00818-3")</f>
        <v>http://dx.doi.org/10.1016/0048-7333(94)00818-3</v>
      </c>
      <c r="BG530" t="s">
        <v>74</v>
      </c>
      <c r="BH530" t="s">
        <v>74</v>
      </c>
      <c r="BI530">
        <v>11</v>
      </c>
      <c r="BJ530" t="s">
        <v>442</v>
      </c>
      <c r="BK530" t="s">
        <v>94</v>
      </c>
      <c r="BL530" t="s">
        <v>95</v>
      </c>
      <c r="BM530" t="s">
        <v>9242</v>
      </c>
      <c r="BN530" t="s">
        <v>74</v>
      </c>
      <c r="BO530" t="s">
        <v>74</v>
      </c>
      <c r="BP530" t="s">
        <v>74</v>
      </c>
      <c r="BQ530" t="s">
        <v>74</v>
      </c>
      <c r="BR530" t="s">
        <v>97</v>
      </c>
      <c r="BS530" t="s">
        <v>9243</v>
      </c>
      <c r="BT530" t="str">
        <f>HYPERLINK("https%3A%2F%2Fwww.webofscience.com%2Fwos%2Fwoscc%2Ffull-record%2FWOS:A1996UD86500002","View Full Record in Web of Science")</f>
        <v>View Full Record in Web of Science</v>
      </c>
    </row>
    <row r="531" spans="1:72" x14ac:dyDescent="0.25">
      <c r="A531" t="s">
        <v>72</v>
      </c>
      <c r="B531" t="s">
        <v>9244</v>
      </c>
      <c r="C531" t="s">
        <v>74</v>
      </c>
      <c r="D531" t="s">
        <v>74</v>
      </c>
      <c r="E531" t="s">
        <v>74</v>
      </c>
      <c r="F531" t="s">
        <v>9245</v>
      </c>
      <c r="G531" t="s">
        <v>74</v>
      </c>
      <c r="H531" t="s">
        <v>74</v>
      </c>
      <c r="I531" t="s">
        <v>9246</v>
      </c>
      <c r="J531" t="s">
        <v>616</v>
      </c>
      <c r="K531" t="s">
        <v>74</v>
      </c>
      <c r="L531" t="s">
        <v>74</v>
      </c>
      <c r="M531" t="s">
        <v>77</v>
      </c>
      <c r="N531" t="s">
        <v>78</v>
      </c>
      <c r="O531" t="s">
        <v>74</v>
      </c>
      <c r="P531" t="s">
        <v>74</v>
      </c>
      <c r="Q531" t="s">
        <v>74</v>
      </c>
      <c r="R531" t="s">
        <v>74</v>
      </c>
      <c r="S531" t="s">
        <v>74</v>
      </c>
      <c r="T531" t="s">
        <v>9247</v>
      </c>
      <c r="U531" t="s">
        <v>9248</v>
      </c>
      <c r="V531" t="s">
        <v>9249</v>
      </c>
      <c r="W531" t="s">
        <v>9250</v>
      </c>
      <c r="X531" t="s">
        <v>9251</v>
      </c>
      <c r="Y531" t="s">
        <v>9252</v>
      </c>
      <c r="Z531" t="s">
        <v>9253</v>
      </c>
      <c r="AA531" t="s">
        <v>74</v>
      </c>
      <c r="AB531" t="s">
        <v>9254</v>
      </c>
      <c r="AC531" t="s">
        <v>9255</v>
      </c>
      <c r="AD531" t="s">
        <v>9256</v>
      </c>
      <c r="AE531" t="s">
        <v>9257</v>
      </c>
      <c r="AF531" t="s">
        <v>74</v>
      </c>
      <c r="AG531">
        <v>133</v>
      </c>
      <c r="AH531">
        <v>13</v>
      </c>
      <c r="AI531">
        <v>13</v>
      </c>
      <c r="AJ531">
        <v>22</v>
      </c>
      <c r="AK531">
        <v>53</v>
      </c>
      <c r="AL531" t="s">
        <v>602</v>
      </c>
      <c r="AM531" t="s">
        <v>160</v>
      </c>
      <c r="AN531" t="s">
        <v>603</v>
      </c>
      <c r="AO531" t="s">
        <v>625</v>
      </c>
      <c r="AP531" t="s">
        <v>626</v>
      </c>
      <c r="AQ531" t="s">
        <v>74</v>
      </c>
      <c r="AR531" t="s">
        <v>627</v>
      </c>
      <c r="AS531" t="s">
        <v>628</v>
      </c>
      <c r="AT531" t="s">
        <v>122</v>
      </c>
      <c r="AU531">
        <v>2022</v>
      </c>
      <c r="AV531">
        <v>102</v>
      </c>
      <c r="AW531" t="s">
        <v>74</v>
      </c>
      <c r="AX531" t="s">
        <v>74</v>
      </c>
      <c r="AY531" t="s">
        <v>74</v>
      </c>
      <c r="AZ531" t="s">
        <v>74</v>
      </c>
      <c r="BA531" t="s">
        <v>74</v>
      </c>
      <c r="BB531" t="s">
        <v>74</v>
      </c>
      <c r="BC531" t="s">
        <v>74</v>
      </c>
      <c r="BD531">
        <v>103142</v>
      </c>
      <c r="BE531" t="s">
        <v>9258</v>
      </c>
      <c r="BF531" t="str">
        <f>HYPERLINK("http://dx.doi.org/10.1016/j.ijhm.2022.103142","http://dx.doi.org/10.1016/j.ijhm.2022.103142")</f>
        <v>http://dx.doi.org/10.1016/j.ijhm.2022.103142</v>
      </c>
      <c r="BG531" t="s">
        <v>74</v>
      </c>
      <c r="BH531" t="s">
        <v>9259</v>
      </c>
      <c r="BI531">
        <v>13</v>
      </c>
      <c r="BJ531" t="s">
        <v>630</v>
      </c>
      <c r="BK531" t="s">
        <v>94</v>
      </c>
      <c r="BL531" t="s">
        <v>631</v>
      </c>
      <c r="BM531" t="s">
        <v>9260</v>
      </c>
      <c r="BN531" t="s">
        <v>74</v>
      </c>
      <c r="BO531" t="s">
        <v>74</v>
      </c>
      <c r="BP531" t="s">
        <v>74</v>
      </c>
      <c r="BQ531" t="s">
        <v>74</v>
      </c>
      <c r="BR531" t="s">
        <v>97</v>
      </c>
      <c r="BS531" t="s">
        <v>9261</v>
      </c>
      <c r="BT531" t="str">
        <f>HYPERLINK("https%3A%2F%2Fwww.webofscience.com%2Fwos%2Fwoscc%2Ffull-record%2FWOS:000766151400023","View Full Record in Web of Science")</f>
        <v>View Full Record in Web of Science</v>
      </c>
    </row>
    <row r="532" spans="1:72" x14ac:dyDescent="0.25">
      <c r="A532" t="s">
        <v>72</v>
      </c>
      <c r="B532" t="s">
        <v>8561</v>
      </c>
      <c r="C532" t="s">
        <v>74</v>
      </c>
      <c r="D532" t="s">
        <v>74</v>
      </c>
      <c r="E532" t="s">
        <v>74</v>
      </c>
      <c r="F532" t="s">
        <v>9262</v>
      </c>
      <c r="G532" t="s">
        <v>74</v>
      </c>
      <c r="H532" t="s">
        <v>74</v>
      </c>
      <c r="I532" t="s">
        <v>9263</v>
      </c>
      <c r="J532" t="s">
        <v>1290</v>
      </c>
      <c r="K532" t="s">
        <v>74</v>
      </c>
      <c r="L532" t="s">
        <v>74</v>
      </c>
      <c r="M532" t="s">
        <v>77</v>
      </c>
      <c r="N532" t="s">
        <v>78</v>
      </c>
      <c r="O532" t="s">
        <v>74</v>
      </c>
      <c r="P532" t="s">
        <v>74</v>
      </c>
      <c r="Q532" t="s">
        <v>74</v>
      </c>
      <c r="R532" t="s">
        <v>74</v>
      </c>
      <c r="S532" t="s">
        <v>74</v>
      </c>
      <c r="T532" t="s">
        <v>9264</v>
      </c>
      <c r="U532" t="s">
        <v>9265</v>
      </c>
      <c r="V532" t="s">
        <v>9266</v>
      </c>
      <c r="W532" t="s">
        <v>9267</v>
      </c>
      <c r="X532" t="s">
        <v>9268</v>
      </c>
      <c r="Y532" t="s">
        <v>9269</v>
      </c>
      <c r="Z532" t="s">
        <v>9270</v>
      </c>
      <c r="AA532" t="s">
        <v>8570</v>
      </c>
      <c r="AB532" t="s">
        <v>8571</v>
      </c>
      <c r="AC532" t="s">
        <v>74</v>
      </c>
      <c r="AD532" t="s">
        <v>74</v>
      </c>
      <c r="AE532" t="s">
        <v>74</v>
      </c>
      <c r="AF532" t="s">
        <v>74</v>
      </c>
      <c r="AG532">
        <v>95</v>
      </c>
      <c r="AH532">
        <v>13</v>
      </c>
      <c r="AI532">
        <v>13</v>
      </c>
      <c r="AJ532">
        <v>5</v>
      </c>
      <c r="AK532">
        <v>37</v>
      </c>
      <c r="AL532" t="s">
        <v>665</v>
      </c>
      <c r="AM532" t="s">
        <v>666</v>
      </c>
      <c r="AN532" t="s">
        <v>667</v>
      </c>
      <c r="AO532" t="s">
        <v>1300</v>
      </c>
      <c r="AP532" t="s">
        <v>1301</v>
      </c>
      <c r="AQ532" t="s">
        <v>74</v>
      </c>
      <c r="AR532" t="s">
        <v>1302</v>
      </c>
      <c r="AS532" t="s">
        <v>1303</v>
      </c>
      <c r="AT532" t="s">
        <v>9271</v>
      </c>
      <c r="AU532">
        <v>2022</v>
      </c>
      <c r="AV532">
        <v>34</v>
      </c>
      <c r="AW532">
        <v>2</v>
      </c>
      <c r="AX532" t="s">
        <v>74</v>
      </c>
      <c r="AY532" t="s">
        <v>74</v>
      </c>
      <c r="AZ532" t="s">
        <v>74</v>
      </c>
      <c r="BA532" t="s">
        <v>74</v>
      </c>
      <c r="BB532">
        <v>808</v>
      </c>
      <c r="BC532">
        <v>835</v>
      </c>
      <c r="BD532" t="s">
        <v>74</v>
      </c>
      <c r="BE532" t="s">
        <v>9272</v>
      </c>
      <c r="BF532" t="str">
        <f>HYPERLINK("http://dx.doi.org/10.1108/IJCHM-06-2021-0822","http://dx.doi.org/10.1108/IJCHM-06-2021-0822")</f>
        <v>http://dx.doi.org/10.1108/IJCHM-06-2021-0822</v>
      </c>
      <c r="BG532" t="s">
        <v>74</v>
      </c>
      <c r="BH532" t="s">
        <v>9273</v>
      </c>
      <c r="BI532">
        <v>28</v>
      </c>
      <c r="BJ532" t="s">
        <v>1305</v>
      </c>
      <c r="BK532" t="s">
        <v>94</v>
      </c>
      <c r="BL532" t="s">
        <v>1306</v>
      </c>
      <c r="BM532" t="s">
        <v>9274</v>
      </c>
      <c r="BN532" t="s">
        <v>74</v>
      </c>
      <c r="BO532" t="s">
        <v>74</v>
      </c>
      <c r="BP532" t="s">
        <v>74</v>
      </c>
      <c r="BQ532" t="s">
        <v>74</v>
      </c>
      <c r="BR532" t="s">
        <v>97</v>
      </c>
      <c r="BS532" t="s">
        <v>9275</v>
      </c>
      <c r="BT532" t="str">
        <f>HYPERLINK("https%3A%2F%2Fwww.webofscience.com%2Fwos%2Fwoscc%2Ffull-record%2FWOS:000728205200001","View Full Record in Web of Science")</f>
        <v>View Full Record in Web of Science</v>
      </c>
    </row>
    <row r="533" spans="1:72" x14ac:dyDescent="0.25">
      <c r="A533" t="s">
        <v>72</v>
      </c>
      <c r="B533" t="s">
        <v>9276</v>
      </c>
      <c r="C533" t="s">
        <v>74</v>
      </c>
      <c r="D533" t="s">
        <v>74</v>
      </c>
      <c r="E533" t="s">
        <v>74</v>
      </c>
      <c r="F533" t="s">
        <v>9277</v>
      </c>
      <c r="G533" t="s">
        <v>74</v>
      </c>
      <c r="H533" t="s">
        <v>74</v>
      </c>
      <c r="I533" t="s">
        <v>9278</v>
      </c>
      <c r="J533" t="s">
        <v>3184</v>
      </c>
      <c r="K533" t="s">
        <v>74</v>
      </c>
      <c r="L533" t="s">
        <v>74</v>
      </c>
      <c r="M533" t="s">
        <v>77</v>
      </c>
      <c r="N533" t="s">
        <v>78</v>
      </c>
      <c r="O533" t="s">
        <v>74</v>
      </c>
      <c r="P533" t="s">
        <v>74</v>
      </c>
      <c r="Q533" t="s">
        <v>74</v>
      </c>
      <c r="R533" t="s">
        <v>74</v>
      </c>
      <c r="S533" t="s">
        <v>74</v>
      </c>
      <c r="T533" t="s">
        <v>9279</v>
      </c>
      <c r="U533" t="s">
        <v>9280</v>
      </c>
      <c r="V533" t="s">
        <v>9281</v>
      </c>
      <c r="W533" t="s">
        <v>9282</v>
      </c>
      <c r="X533" t="s">
        <v>9283</v>
      </c>
      <c r="Y533" t="s">
        <v>9284</v>
      </c>
      <c r="Z533" t="s">
        <v>9285</v>
      </c>
      <c r="AA533" t="s">
        <v>9286</v>
      </c>
      <c r="AB533" t="s">
        <v>74</v>
      </c>
      <c r="AC533" t="s">
        <v>9287</v>
      </c>
      <c r="AD533" t="s">
        <v>9288</v>
      </c>
      <c r="AE533" t="s">
        <v>9289</v>
      </c>
      <c r="AF533" t="s">
        <v>74</v>
      </c>
      <c r="AG533">
        <v>115</v>
      </c>
      <c r="AH533">
        <v>13</v>
      </c>
      <c r="AI533">
        <v>13</v>
      </c>
      <c r="AJ533">
        <v>19</v>
      </c>
      <c r="AK533">
        <v>90</v>
      </c>
      <c r="AL533" t="s">
        <v>3195</v>
      </c>
      <c r="AM533" t="s">
        <v>3196</v>
      </c>
      <c r="AN533" t="s">
        <v>3197</v>
      </c>
      <c r="AO533" t="s">
        <v>3198</v>
      </c>
      <c r="AP533" t="s">
        <v>74</v>
      </c>
      <c r="AQ533" t="s">
        <v>74</v>
      </c>
      <c r="AR533" t="s">
        <v>3199</v>
      </c>
      <c r="AS533" t="s">
        <v>3200</v>
      </c>
      <c r="AT533" t="s">
        <v>9290</v>
      </c>
      <c r="AU533">
        <v>2021</v>
      </c>
      <c r="AV533">
        <v>11</v>
      </c>
      <c r="AW533" t="s">
        <v>74</v>
      </c>
      <c r="AX533" t="s">
        <v>74</v>
      </c>
      <c r="AY533" t="s">
        <v>74</v>
      </c>
      <c r="AZ533" t="s">
        <v>74</v>
      </c>
      <c r="BA533" t="s">
        <v>74</v>
      </c>
      <c r="BB533" t="s">
        <v>74</v>
      </c>
      <c r="BC533" t="s">
        <v>74</v>
      </c>
      <c r="BD533">
        <v>598090</v>
      </c>
      <c r="BE533" t="s">
        <v>9291</v>
      </c>
      <c r="BF533" t="str">
        <f>HYPERLINK("http://dx.doi.org/10.3389/fpsyg.2020.598090","http://dx.doi.org/10.3389/fpsyg.2020.598090")</f>
        <v>http://dx.doi.org/10.3389/fpsyg.2020.598090</v>
      </c>
      <c r="BG533" t="s">
        <v>74</v>
      </c>
      <c r="BH533" t="s">
        <v>74</v>
      </c>
      <c r="BI533">
        <v>12</v>
      </c>
      <c r="BJ533" t="s">
        <v>3203</v>
      </c>
      <c r="BK533" t="s">
        <v>94</v>
      </c>
      <c r="BL533" t="s">
        <v>460</v>
      </c>
      <c r="BM533" t="s">
        <v>9292</v>
      </c>
      <c r="BN533">
        <v>33510678</v>
      </c>
      <c r="BO533" t="s">
        <v>3205</v>
      </c>
      <c r="BP533" t="s">
        <v>74</v>
      </c>
      <c r="BQ533" t="s">
        <v>74</v>
      </c>
      <c r="BR533" t="s">
        <v>97</v>
      </c>
      <c r="BS533" t="s">
        <v>9293</v>
      </c>
      <c r="BT533" t="str">
        <f>HYPERLINK("https%3A%2F%2Fwww.webofscience.com%2Fwos%2Fwoscc%2Ffull-record%2FWOS:000611942800001","View Full Record in Web of Science")</f>
        <v>View Full Record in Web of Science</v>
      </c>
    </row>
    <row r="534" spans="1:72" x14ac:dyDescent="0.25">
      <c r="A534" t="s">
        <v>72</v>
      </c>
      <c r="B534" t="s">
        <v>9294</v>
      </c>
      <c r="C534" t="s">
        <v>74</v>
      </c>
      <c r="D534" t="s">
        <v>74</v>
      </c>
      <c r="E534" t="s">
        <v>74</v>
      </c>
      <c r="F534" t="s">
        <v>9295</v>
      </c>
      <c r="G534" t="s">
        <v>74</v>
      </c>
      <c r="H534" t="s">
        <v>74</v>
      </c>
      <c r="I534" t="s">
        <v>9296</v>
      </c>
      <c r="J534" t="s">
        <v>9297</v>
      </c>
      <c r="K534" t="s">
        <v>74</v>
      </c>
      <c r="L534" t="s">
        <v>74</v>
      </c>
      <c r="M534" t="s">
        <v>77</v>
      </c>
      <c r="N534" t="s">
        <v>78</v>
      </c>
      <c r="O534" t="s">
        <v>74</v>
      </c>
      <c r="P534" t="s">
        <v>74</v>
      </c>
      <c r="Q534" t="s">
        <v>74</v>
      </c>
      <c r="R534" t="s">
        <v>74</v>
      </c>
      <c r="S534" t="s">
        <v>74</v>
      </c>
      <c r="T534" t="s">
        <v>9298</v>
      </c>
      <c r="U534" t="s">
        <v>74</v>
      </c>
      <c r="V534" t="s">
        <v>9299</v>
      </c>
      <c r="W534" t="s">
        <v>9300</v>
      </c>
      <c r="X534" t="s">
        <v>9301</v>
      </c>
      <c r="Y534" t="s">
        <v>9302</v>
      </c>
      <c r="Z534" t="s">
        <v>9303</v>
      </c>
      <c r="AA534" t="s">
        <v>74</v>
      </c>
      <c r="AB534" t="s">
        <v>74</v>
      </c>
      <c r="AC534" t="s">
        <v>74</v>
      </c>
      <c r="AD534" t="s">
        <v>74</v>
      </c>
      <c r="AE534" t="s">
        <v>74</v>
      </c>
      <c r="AF534" t="s">
        <v>74</v>
      </c>
      <c r="AG534">
        <v>23</v>
      </c>
      <c r="AH534">
        <v>13</v>
      </c>
      <c r="AI534">
        <v>13</v>
      </c>
      <c r="AJ534">
        <v>12</v>
      </c>
      <c r="AK534">
        <v>69</v>
      </c>
      <c r="AL534" t="s">
        <v>1099</v>
      </c>
      <c r="AM534" t="s">
        <v>305</v>
      </c>
      <c r="AN534" t="s">
        <v>1100</v>
      </c>
      <c r="AO534" t="s">
        <v>9304</v>
      </c>
      <c r="AP534" t="s">
        <v>9305</v>
      </c>
      <c r="AQ534" t="s">
        <v>74</v>
      </c>
      <c r="AR534" t="s">
        <v>9306</v>
      </c>
      <c r="AS534" t="s">
        <v>9307</v>
      </c>
      <c r="AT534" t="s">
        <v>3472</v>
      </c>
      <c r="AU534">
        <v>2021</v>
      </c>
      <c r="AV534">
        <v>34</v>
      </c>
      <c r="AW534">
        <v>1</v>
      </c>
      <c r="AX534" t="s">
        <v>74</v>
      </c>
      <c r="AY534" t="s">
        <v>74</v>
      </c>
      <c r="AZ534" t="s">
        <v>74</v>
      </c>
      <c r="BA534" t="s">
        <v>74</v>
      </c>
      <c r="BB534">
        <v>484</v>
      </c>
      <c r="BC534">
        <v>497</v>
      </c>
      <c r="BD534" t="s">
        <v>74</v>
      </c>
      <c r="BE534" t="s">
        <v>9308</v>
      </c>
      <c r="BF534" t="str">
        <f>HYPERLINK("http://dx.doi.org/10.1080/1331677X.2020.1792324","http://dx.doi.org/10.1080/1331677X.2020.1792324")</f>
        <v>http://dx.doi.org/10.1080/1331677X.2020.1792324</v>
      </c>
      <c r="BG534" t="s">
        <v>74</v>
      </c>
      <c r="BH534" t="s">
        <v>5770</v>
      </c>
      <c r="BI534">
        <v>14</v>
      </c>
      <c r="BJ534" t="s">
        <v>2599</v>
      </c>
      <c r="BK534" t="s">
        <v>94</v>
      </c>
      <c r="BL534" t="s">
        <v>95</v>
      </c>
      <c r="BM534" t="s">
        <v>9309</v>
      </c>
      <c r="BN534" t="s">
        <v>74</v>
      </c>
      <c r="BO534" t="s">
        <v>2482</v>
      </c>
      <c r="BP534" t="s">
        <v>74</v>
      </c>
      <c r="BQ534" t="s">
        <v>74</v>
      </c>
      <c r="BR534" t="s">
        <v>97</v>
      </c>
      <c r="BS534" t="s">
        <v>9310</v>
      </c>
      <c r="BT534" t="str">
        <f>HYPERLINK("https%3A%2F%2Fwww.webofscience.com%2Fwos%2Fwoscc%2Ffull-record%2FWOS:000566586400001","View Full Record in Web of Science")</f>
        <v>View Full Record in Web of Science</v>
      </c>
    </row>
    <row r="535" spans="1:72" x14ac:dyDescent="0.25">
      <c r="A535" t="s">
        <v>72</v>
      </c>
      <c r="B535" t="s">
        <v>9311</v>
      </c>
      <c r="C535" t="s">
        <v>74</v>
      </c>
      <c r="D535" t="s">
        <v>74</v>
      </c>
      <c r="E535" t="s">
        <v>74</v>
      </c>
      <c r="F535" t="s">
        <v>9312</v>
      </c>
      <c r="G535" t="s">
        <v>74</v>
      </c>
      <c r="H535" t="s">
        <v>74</v>
      </c>
      <c r="I535" t="s">
        <v>9313</v>
      </c>
      <c r="J535" t="s">
        <v>2502</v>
      </c>
      <c r="K535" t="s">
        <v>74</v>
      </c>
      <c r="L535" t="s">
        <v>74</v>
      </c>
      <c r="M535" t="s">
        <v>77</v>
      </c>
      <c r="N535" t="s">
        <v>78</v>
      </c>
      <c r="O535" t="s">
        <v>74</v>
      </c>
      <c r="P535" t="s">
        <v>74</v>
      </c>
      <c r="Q535" t="s">
        <v>74</v>
      </c>
      <c r="R535" t="s">
        <v>74</v>
      </c>
      <c r="S535" t="s">
        <v>74</v>
      </c>
      <c r="T535" t="s">
        <v>9314</v>
      </c>
      <c r="U535" t="s">
        <v>9315</v>
      </c>
      <c r="V535" t="s">
        <v>9316</v>
      </c>
      <c r="W535" t="s">
        <v>9317</v>
      </c>
      <c r="X535" t="s">
        <v>9318</v>
      </c>
      <c r="Y535" t="s">
        <v>9319</v>
      </c>
      <c r="Z535" t="s">
        <v>9320</v>
      </c>
      <c r="AA535" t="s">
        <v>9321</v>
      </c>
      <c r="AB535" t="s">
        <v>2856</v>
      </c>
      <c r="AC535" t="s">
        <v>9322</v>
      </c>
      <c r="AD535" t="s">
        <v>9323</v>
      </c>
      <c r="AE535" t="s">
        <v>9324</v>
      </c>
      <c r="AF535" t="s">
        <v>74</v>
      </c>
      <c r="AG535">
        <v>90</v>
      </c>
      <c r="AH535">
        <v>13</v>
      </c>
      <c r="AI535">
        <v>13</v>
      </c>
      <c r="AJ535">
        <v>6</v>
      </c>
      <c r="AK535">
        <v>104</v>
      </c>
      <c r="AL535" t="s">
        <v>665</v>
      </c>
      <c r="AM535" t="s">
        <v>666</v>
      </c>
      <c r="AN535" t="s">
        <v>667</v>
      </c>
      <c r="AO535" t="s">
        <v>2510</v>
      </c>
      <c r="AP535" t="s">
        <v>2511</v>
      </c>
      <c r="AQ535" t="s">
        <v>74</v>
      </c>
      <c r="AR535" t="s">
        <v>2512</v>
      </c>
      <c r="AS535" t="s">
        <v>2513</v>
      </c>
      <c r="AT535" t="s">
        <v>9325</v>
      </c>
      <c r="AU535">
        <v>2021</v>
      </c>
      <c r="AV535">
        <v>50</v>
      </c>
      <c r="AW535">
        <v>4</v>
      </c>
      <c r="AX535" t="s">
        <v>74</v>
      </c>
      <c r="AY535" t="s">
        <v>74</v>
      </c>
      <c r="AZ535" t="s">
        <v>74</v>
      </c>
      <c r="BA535" t="s">
        <v>74</v>
      </c>
      <c r="BB535">
        <v>1073</v>
      </c>
      <c r="BC535">
        <v>1092</v>
      </c>
      <c r="BD535" t="s">
        <v>74</v>
      </c>
      <c r="BE535" t="s">
        <v>9326</v>
      </c>
      <c r="BF535" t="str">
        <f>HYPERLINK("http://dx.doi.org/10.1108/PR-07-2019-0399","http://dx.doi.org/10.1108/PR-07-2019-0399")</f>
        <v>http://dx.doi.org/10.1108/PR-07-2019-0399</v>
      </c>
      <c r="BG535" t="s">
        <v>74</v>
      </c>
      <c r="BH535" t="s">
        <v>7030</v>
      </c>
      <c r="BI535">
        <v>20</v>
      </c>
      <c r="BJ535" t="s">
        <v>2515</v>
      </c>
      <c r="BK535" t="s">
        <v>94</v>
      </c>
      <c r="BL535" t="s">
        <v>227</v>
      </c>
      <c r="BM535" t="s">
        <v>9327</v>
      </c>
      <c r="BN535" t="s">
        <v>74</v>
      </c>
      <c r="BO535" t="s">
        <v>74</v>
      </c>
      <c r="BP535" t="s">
        <v>74</v>
      </c>
      <c r="BQ535" t="s">
        <v>74</v>
      </c>
      <c r="BR535" t="s">
        <v>97</v>
      </c>
      <c r="BS535" t="s">
        <v>9328</v>
      </c>
      <c r="BT535" t="str">
        <f>HYPERLINK("https%3A%2F%2Fwww.webofscience.com%2Fwos%2Fwoscc%2Ffull-record%2FWOS:000563584100001","View Full Record in Web of Science")</f>
        <v>View Full Record in Web of Science</v>
      </c>
    </row>
    <row r="536" spans="1:72" x14ac:dyDescent="0.25">
      <c r="A536" t="s">
        <v>72</v>
      </c>
      <c r="B536" t="s">
        <v>9329</v>
      </c>
      <c r="C536" t="s">
        <v>74</v>
      </c>
      <c r="D536" t="s">
        <v>74</v>
      </c>
      <c r="E536" t="s">
        <v>74</v>
      </c>
      <c r="F536" t="s">
        <v>9330</v>
      </c>
      <c r="G536" t="s">
        <v>74</v>
      </c>
      <c r="H536" t="s">
        <v>74</v>
      </c>
      <c r="I536" t="s">
        <v>9331</v>
      </c>
      <c r="J536" t="s">
        <v>9332</v>
      </c>
      <c r="K536" t="s">
        <v>74</v>
      </c>
      <c r="L536" t="s">
        <v>74</v>
      </c>
      <c r="M536" t="s">
        <v>77</v>
      </c>
      <c r="N536" t="s">
        <v>78</v>
      </c>
      <c r="O536" t="s">
        <v>74</v>
      </c>
      <c r="P536" t="s">
        <v>74</v>
      </c>
      <c r="Q536" t="s">
        <v>74</v>
      </c>
      <c r="R536" t="s">
        <v>74</v>
      </c>
      <c r="S536" t="s">
        <v>74</v>
      </c>
      <c r="T536" t="s">
        <v>9333</v>
      </c>
      <c r="U536" t="s">
        <v>9334</v>
      </c>
      <c r="V536" t="s">
        <v>9335</v>
      </c>
      <c r="W536" t="s">
        <v>9336</v>
      </c>
      <c r="X536" t="s">
        <v>9337</v>
      </c>
      <c r="Y536" t="s">
        <v>9338</v>
      </c>
      <c r="Z536" t="s">
        <v>9339</v>
      </c>
      <c r="AA536" t="s">
        <v>9340</v>
      </c>
      <c r="AB536" t="s">
        <v>9341</v>
      </c>
      <c r="AC536" t="s">
        <v>9342</v>
      </c>
      <c r="AD536" t="s">
        <v>9342</v>
      </c>
      <c r="AE536" t="s">
        <v>9343</v>
      </c>
      <c r="AF536" t="s">
        <v>74</v>
      </c>
      <c r="AG536">
        <v>77</v>
      </c>
      <c r="AH536">
        <v>13</v>
      </c>
      <c r="AI536">
        <v>13</v>
      </c>
      <c r="AJ536">
        <v>13</v>
      </c>
      <c r="AK536">
        <v>57</v>
      </c>
      <c r="AL536" t="s">
        <v>766</v>
      </c>
      <c r="AM536" t="s">
        <v>330</v>
      </c>
      <c r="AN536" t="s">
        <v>1452</v>
      </c>
      <c r="AO536" t="s">
        <v>9344</v>
      </c>
      <c r="AP536" t="s">
        <v>9345</v>
      </c>
      <c r="AQ536" t="s">
        <v>74</v>
      </c>
      <c r="AR536" t="s">
        <v>9346</v>
      </c>
      <c r="AS536" t="s">
        <v>9347</v>
      </c>
      <c r="AT536" t="s">
        <v>392</v>
      </c>
      <c r="AU536">
        <v>2022</v>
      </c>
      <c r="AV536">
        <v>41</v>
      </c>
      <c r="AW536">
        <v>8</v>
      </c>
      <c r="AX536" t="s">
        <v>74</v>
      </c>
      <c r="AY536" t="s">
        <v>74</v>
      </c>
      <c r="AZ536" t="s">
        <v>74</v>
      </c>
      <c r="BA536" t="s">
        <v>74</v>
      </c>
      <c r="BB536">
        <v>5048</v>
      </c>
      <c r="BC536">
        <v>5057</v>
      </c>
      <c r="BD536" t="s">
        <v>74</v>
      </c>
      <c r="BE536" t="s">
        <v>9348</v>
      </c>
      <c r="BF536" t="str">
        <f>HYPERLINK("http://dx.doi.org/10.1007/s12144-020-01011-9","http://dx.doi.org/10.1007/s12144-020-01011-9")</f>
        <v>http://dx.doi.org/10.1007/s12144-020-01011-9</v>
      </c>
      <c r="BG536" t="s">
        <v>74</v>
      </c>
      <c r="BH536" t="s">
        <v>7030</v>
      </c>
      <c r="BI536">
        <v>10</v>
      </c>
      <c r="BJ536" t="s">
        <v>3203</v>
      </c>
      <c r="BK536" t="s">
        <v>94</v>
      </c>
      <c r="BL536" t="s">
        <v>460</v>
      </c>
      <c r="BM536" t="s">
        <v>9349</v>
      </c>
      <c r="BN536" t="s">
        <v>74</v>
      </c>
      <c r="BO536" t="s">
        <v>74</v>
      </c>
      <c r="BP536" t="s">
        <v>74</v>
      </c>
      <c r="BQ536" t="s">
        <v>74</v>
      </c>
      <c r="BR536" t="s">
        <v>97</v>
      </c>
      <c r="BS536" t="s">
        <v>9350</v>
      </c>
      <c r="BT536" t="str">
        <f>HYPERLINK("https%3A%2F%2Fwww.webofscience.com%2Fwos%2Fwoscc%2Ffull-record%2FWOS:000561694800001","View Full Record in Web of Science")</f>
        <v>View Full Record in Web of Science</v>
      </c>
    </row>
    <row r="537" spans="1:72" x14ac:dyDescent="0.25">
      <c r="A537" t="s">
        <v>72</v>
      </c>
      <c r="B537" t="s">
        <v>9351</v>
      </c>
      <c r="C537" t="s">
        <v>74</v>
      </c>
      <c r="D537" t="s">
        <v>74</v>
      </c>
      <c r="E537" t="s">
        <v>74</v>
      </c>
      <c r="F537" t="s">
        <v>9352</v>
      </c>
      <c r="G537" t="s">
        <v>74</v>
      </c>
      <c r="H537" t="s">
        <v>74</v>
      </c>
      <c r="I537" t="s">
        <v>9353</v>
      </c>
      <c r="J537" t="s">
        <v>5961</v>
      </c>
      <c r="K537" t="s">
        <v>74</v>
      </c>
      <c r="L537" t="s">
        <v>74</v>
      </c>
      <c r="M537" t="s">
        <v>77</v>
      </c>
      <c r="N537" t="s">
        <v>78</v>
      </c>
      <c r="O537" t="s">
        <v>74</v>
      </c>
      <c r="P537" t="s">
        <v>74</v>
      </c>
      <c r="Q537" t="s">
        <v>74</v>
      </c>
      <c r="R537" t="s">
        <v>74</v>
      </c>
      <c r="S537" t="s">
        <v>74</v>
      </c>
      <c r="T537" t="s">
        <v>9354</v>
      </c>
      <c r="U537" t="s">
        <v>9355</v>
      </c>
      <c r="V537" t="s">
        <v>9356</v>
      </c>
      <c r="W537" t="s">
        <v>9357</v>
      </c>
      <c r="X537" t="s">
        <v>9358</v>
      </c>
      <c r="Y537" t="s">
        <v>9359</v>
      </c>
      <c r="Z537" t="s">
        <v>9360</v>
      </c>
      <c r="AA537" t="s">
        <v>9361</v>
      </c>
      <c r="AB537" t="s">
        <v>9362</v>
      </c>
      <c r="AC537" t="s">
        <v>9363</v>
      </c>
      <c r="AD537" t="s">
        <v>9364</v>
      </c>
      <c r="AE537" t="s">
        <v>9365</v>
      </c>
      <c r="AF537" t="s">
        <v>74</v>
      </c>
      <c r="AG537">
        <v>144</v>
      </c>
      <c r="AH537">
        <v>13</v>
      </c>
      <c r="AI537">
        <v>13</v>
      </c>
      <c r="AJ537">
        <v>12</v>
      </c>
      <c r="AK537">
        <v>93</v>
      </c>
      <c r="AL537" t="s">
        <v>665</v>
      </c>
      <c r="AM537" t="s">
        <v>666</v>
      </c>
      <c r="AN537" t="s">
        <v>667</v>
      </c>
      <c r="AO537" t="s">
        <v>5974</v>
      </c>
      <c r="AP537" t="s">
        <v>5975</v>
      </c>
      <c r="AQ537" t="s">
        <v>74</v>
      </c>
      <c r="AR537" t="s">
        <v>5976</v>
      </c>
      <c r="AS537" t="s">
        <v>5977</v>
      </c>
      <c r="AT537" t="s">
        <v>9366</v>
      </c>
      <c r="AU537">
        <v>2020</v>
      </c>
      <c r="AV537">
        <v>13</v>
      </c>
      <c r="AW537">
        <v>5</v>
      </c>
      <c r="AX537" t="s">
        <v>74</v>
      </c>
      <c r="AY537" t="s">
        <v>74</v>
      </c>
      <c r="AZ537" t="s">
        <v>74</v>
      </c>
      <c r="BA537" t="s">
        <v>74</v>
      </c>
      <c r="BB537">
        <v>937</v>
      </c>
      <c r="BC537">
        <v>960</v>
      </c>
      <c r="BD537" t="s">
        <v>74</v>
      </c>
      <c r="BE537" t="s">
        <v>9367</v>
      </c>
      <c r="BF537" t="str">
        <f>HYPERLINK("http://dx.doi.org/10.1108/IJMPB-12-2019-0302","http://dx.doi.org/10.1108/IJMPB-12-2019-0302")</f>
        <v>http://dx.doi.org/10.1108/IJMPB-12-2019-0302</v>
      </c>
      <c r="BG537" t="s">
        <v>74</v>
      </c>
      <c r="BH537" t="s">
        <v>9368</v>
      </c>
      <c r="BI537">
        <v>24</v>
      </c>
      <c r="BJ537" t="s">
        <v>93</v>
      </c>
      <c r="BK537" t="s">
        <v>94</v>
      </c>
      <c r="BL537" t="s">
        <v>95</v>
      </c>
      <c r="BM537" t="s">
        <v>9369</v>
      </c>
      <c r="BN537" t="s">
        <v>74</v>
      </c>
      <c r="BO537" t="s">
        <v>74</v>
      </c>
      <c r="BP537" t="s">
        <v>74</v>
      </c>
      <c r="BQ537" t="s">
        <v>74</v>
      </c>
      <c r="BR537" t="s">
        <v>97</v>
      </c>
      <c r="BS537" t="s">
        <v>9370</v>
      </c>
      <c r="BT537" t="str">
        <f>HYPERLINK("https%3A%2F%2Fwww.webofscience.com%2Fwos%2Fwoscc%2Ffull-record%2FWOS:000530868900001","View Full Record in Web of Science")</f>
        <v>View Full Record in Web of Science</v>
      </c>
    </row>
    <row r="538" spans="1:72" x14ac:dyDescent="0.25">
      <c r="A538" t="s">
        <v>72</v>
      </c>
      <c r="B538" t="s">
        <v>9371</v>
      </c>
      <c r="C538" t="s">
        <v>74</v>
      </c>
      <c r="D538" t="s">
        <v>74</v>
      </c>
      <c r="E538" t="s">
        <v>74</v>
      </c>
      <c r="F538" t="s">
        <v>9372</v>
      </c>
      <c r="G538" t="s">
        <v>74</v>
      </c>
      <c r="H538" t="s">
        <v>74</v>
      </c>
      <c r="I538" t="s">
        <v>9373</v>
      </c>
      <c r="J538" t="s">
        <v>4603</v>
      </c>
      <c r="K538" t="s">
        <v>74</v>
      </c>
      <c r="L538" t="s">
        <v>74</v>
      </c>
      <c r="M538" t="s">
        <v>77</v>
      </c>
      <c r="N538" t="s">
        <v>78</v>
      </c>
      <c r="O538" t="s">
        <v>74</v>
      </c>
      <c r="P538" t="s">
        <v>74</v>
      </c>
      <c r="Q538" t="s">
        <v>74</v>
      </c>
      <c r="R538" t="s">
        <v>74</v>
      </c>
      <c r="S538" t="s">
        <v>74</v>
      </c>
      <c r="T538" t="s">
        <v>9374</v>
      </c>
      <c r="U538" t="s">
        <v>9375</v>
      </c>
      <c r="V538" t="s">
        <v>9376</v>
      </c>
      <c r="W538" t="s">
        <v>9377</v>
      </c>
      <c r="X538" t="s">
        <v>9378</v>
      </c>
      <c r="Y538" t="s">
        <v>9252</v>
      </c>
      <c r="Z538" t="s">
        <v>9379</v>
      </c>
      <c r="AA538" t="s">
        <v>9380</v>
      </c>
      <c r="AB538" t="s">
        <v>9381</v>
      </c>
      <c r="AC538" t="s">
        <v>74</v>
      </c>
      <c r="AD538" t="s">
        <v>74</v>
      </c>
      <c r="AE538" t="s">
        <v>74</v>
      </c>
      <c r="AF538" t="s">
        <v>74</v>
      </c>
      <c r="AG538">
        <v>87</v>
      </c>
      <c r="AH538">
        <v>13</v>
      </c>
      <c r="AI538">
        <v>13</v>
      </c>
      <c r="AJ538">
        <v>9</v>
      </c>
      <c r="AK538">
        <v>52</v>
      </c>
      <c r="AL538" t="s">
        <v>665</v>
      </c>
      <c r="AM538" t="s">
        <v>666</v>
      </c>
      <c r="AN538" t="s">
        <v>667</v>
      </c>
      <c r="AO538" t="s">
        <v>4613</v>
      </c>
      <c r="AP538" t="s">
        <v>4614</v>
      </c>
      <c r="AQ538" t="s">
        <v>74</v>
      </c>
      <c r="AR538" t="s">
        <v>4615</v>
      </c>
      <c r="AS538" t="s">
        <v>4616</v>
      </c>
      <c r="AT538" t="s">
        <v>9382</v>
      </c>
      <c r="AU538">
        <v>2021</v>
      </c>
      <c r="AV538">
        <v>43</v>
      </c>
      <c r="AW538">
        <v>2</v>
      </c>
      <c r="AX538" t="s">
        <v>74</v>
      </c>
      <c r="AY538" t="s">
        <v>74</v>
      </c>
      <c r="AZ538" t="s">
        <v>860</v>
      </c>
      <c r="BA538" t="s">
        <v>74</v>
      </c>
      <c r="BB538">
        <v>416</v>
      </c>
      <c r="BC538">
        <v>437</v>
      </c>
      <c r="BD538" t="s">
        <v>74</v>
      </c>
      <c r="BE538" t="s">
        <v>9383</v>
      </c>
      <c r="BF538" t="str">
        <f>HYPERLINK("http://dx.doi.org/10.1108/ER-07-2019-0279","http://dx.doi.org/10.1108/ER-07-2019-0279")</f>
        <v>http://dx.doi.org/10.1108/ER-07-2019-0279</v>
      </c>
      <c r="BG538" t="s">
        <v>74</v>
      </c>
      <c r="BH538" t="s">
        <v>3849</v>
      </c>
      <c r="BI538">
        <v>22</v>
      </c>
      <c r="BJ538" t="s">
        <v>673</v>
      </c>
      <c r="BK538" t="s">
        <v>94</v>
      </c>
      <c r="BL538" t="s">
        <v>95</v>
      </c>
      <c r="BM538" t="s">
        <v>9384</v>
      </c>
      <c r="BN538" t="s">
        <v>74</v>
      </c>
      <c r="BO538" t="s">
        <v>718</v>
      </c>
      <c r="BP538" t="s">
        <v>74</v>
      </c>
      <c r="BQ538" t="s">
        <v>74</v>
      </c>
      <c r="BR538" t="s">
        <v>97</v>
      </c>
      <c r="BS538" t="s">
        <v>9385</v>
      </c>
      <c r="BT538" t="str">
        <f>HYPERLINK("https%3A%2F%2Fwww.webofscience.com%2Fwos%2Fwoscc%2Ffull-record%2FWOS:000514633000001","View Full Record in Web of Science")</f>
        <v>View Full Record in Web of Science</v>
      </c>
    </row>
    <row r="539" spans="1:72" x14ac:dyDescent="0.25">
      <c r="A539" t="s">
        <v>72</v>
      </c>
      <c r="B539" t="s">
        <v>9386</v>
      </c>
      <c r="C539" t="s">
        <v>74</v>
      </c>
      <c r="D539" t="s">
        <v>74</v>
      </c>
      <c r="E539" t="s">
        <v>74</v>
      </c>
      <c r="F539" t="s">
        <v>9387</v>
      </c>
      <c r="G539" t="s">
        <v>74</v>
      </c>
      <c r="H539" t="s">
        <v>74</v>
      </c>
      <c r="I539" t="s">
        <v>9388</v>
      </c>
      <c r="J539" t="s">
        <v>9389</v>
      </c>
      <c r="K539" t="s">
        <v>74</v>
      </c>
      <c r="L539" t="s">
        <v>74</v>
      </c>
      <c r="M539" t="s">
        <v>77</v>
      </c>
      <c r="N539" t="s">
        <v>78</v>
      </c>
      <c r="O539" t="s">
        <v>74</v>
      </c>
      <c r="P539" t="s">
        <v>74</v>
      </c>
      <c r="Q539" t="s">
        <v>74</v>
      </c>
      <c r="R539" t="s">
        <v>74</v>
      </c>
      <c r="S539" t="s">
        <v>74</v>
      </c>
      <c r="T539" t="s">
        <v>9390</v>
      </c>
      <c r="U539" t="s">
        <v>9391</v>
      </c>
      <c r="V539" t="s">
        <v>9392</v>
      </c>
      <c r="W539" t="s">
        <v>9393</v>
      </c>
      <c r="X539" t="s">
        <v>9394</v>
      </c>
      <c r="Y539" t="s">
        <v>9395</v>
      </c>
      <c r="Z539" t="s">
        <v>9396</v>
      </c>
      <c r="AA539" t="s">
        <v>9397</v>
      </c>
      <c r="AB539" t="s">
        <v>9398</v>
      </c>
      <c r="AC539" t="s">
        <v>9399</v>
      </c>
      <c r="AD539" t="s">
        <v>9400</v>
      </c>
      <c r="AE539" t="s">
        <v>9401</v>
      </c>
      <c r="AF539" t="s">
        <v>74</v>
      </c>
      <c r="AG539">
        <v>114</v>
      </c>
      <c r="AH539">
        <v>13</v>
      </c>
      <c r="AI539">
        <v>13</v>
      </c>
      <c r="AJ539">
        <v>2</v>
      </c>
      <c r="AK539">
        <v>23</v>
      </c>
      <c r="AL539" t="s">
        <v>329</v>
      </c>
      <c r="AM539" t="s">
        <v>330</v>
      </c>
      <c r="AN539" t="s">
        <v>331</v>
      </c>
      <c r="AO539" t="s">
        <v>9402</v>
      </c>
      <c r="AP539" t="s">
        <v>9403</v>
      </c>
      <c r="AQ539" t="s">
        <v>74</v>
      </c>
      <c r="AR539" t="s">
        <v>9404</v>
      </c>
      <c r="AS539" t="s">
        <v>9405</v>
      </c>
      <c r="AT539" t="s">
        <v>405</v>
      </c>
      <c r="AU539">
        <v>2020</v>
      </c>
      <c r="AV539">
        <v>55</v>
      </c>
      <c r="AW539">
        <v>2</v>
      </c>
      <c r="AX539" t="s">
        <v>74</v>
      </c>
      <c r="AY539" t="s">
        <v>74</v>
      </c>
      <c r="AZ539" t="s">
        <v>74</v>
      </c>
      <c r="BA539" t="s">
        <v>74</v>
      </c>
      <c r="BB539" t="s">
        <v>74</v>
      </c>
      <c r="BC539" t="s">
        <v>74</v>
      </c>
      <c r="BD539">
        <v>101046</v>
      </c>
      <c r="BE539" t="s">
        <v>9406</v>
      </c>
      <c r="BF539" t="str">
        <f>HYPERLINK("http://dx.doi.org/10.1016/j.jwb.2019.101046","http://dx.doi.org/10.1016/j.jwb.2019.101046")</f>
        <v>http://dx.doi.org/10.1016/j.jwb.2019.101046</v>
      </c>
      <c r="BG539" t="s">
        <v>74</v>
      </c>
      <c r="BH539" t="s">
        <v>74</v>
      </c>
      <c r="BI539">
        <v>18</v>
      </c>
      <c r="BJ539" t="s">
        <v>337</v>
      </c>
      <c r="BK539" t="s">
        <v>94</v>
      </c>
      <c r="BL539" t="s">
        <v>95</v>
      </c>
      <c r="BM539" t="s">
        <v>9407</v>
      </c>
      <c r="BN539" t="s">
        <v>74</v>
      </c>
      <c r="BO539" t="s">
        <v>378</v>
      </c>
      <c r="BP539" t="s">
        <v>74</v>
      </c>
      <c r="BQ539" t="s">
        <v>74</v>
      </c>
      <c r="BR539" t="s">
        <v>97</v>
      </c>
      <c r="BS539" t="s">
        <v>9408</v>
      </c>
      <c r="BT539" t="str">
        <f>HYPERLINK("https%3A%2F%2Fwww.webofscience.com%2Fwos%2Fwoscc%2Ffull-record%2FWOS:000528197700011","View Full Record in Web of Science")</f>
        <v>View Full Record in Web of Science</v>
      </c>
    </row>
    <row r="540" spans="1:72" x14ac:dyDescent="0.25">
      <c r="A540" t="s">
        <v>72</v>
      </c>
      <c r="B540" t="s">
        <v>9409</v>
      </c>
      <c r="C540" t="s">
        <v>74</v>
      </c>
      <c r="D540" t="s">
        <v>74</v>
      </c>
      <c r="E540" t="s">
        <v>74</v>
      </c>
      <c r="F540" t="s">
        <v>9410</v>
      </c>
      <c r="G540" t="s">
        <v>74</v>
      </c>
      <c r="H540" t="s">
        <v>74</v>
      </c>
      <c r="I540" t="s">
        <v>9411</v>
      </c>
      <c r="J540" t="s">
        <v>343</v>
      </c>
      <c r="K540" t="s">
        <v>74</v>
      </c>
      <c r="L540" t="s">
        <v>74</v>
      </c>
      <c r="M540" t="s">
        <v>77</v>
      </c>
      <c r="N540" t="s">
        <v>78</v>
      </c>
      <c r="O540" t="s">
        <v>74</v>
      </c>
      <c r="P540" t="s">
        <v>74</v>
      </c>
      <c r="Q540" t="s">
        <v>74</v>
      </c>
      <c r="R540" t="s">
        <v>74</v>
      </c>
      <c r="S540" t="s">
        <v>74</v>
      </c>
      <c r="T540" t="s">
        <v>9412</v>
      </c>
      <c r="U540" t="s">
        <v>9413</v>
      </c>
      <c r="V540" t="s">
        <v>9414</v>
      </c>
      <c r="W540" t="s">
        <v>9415</v>
      </c>
      <c r="X540" t="s">
        <v>9416</v>
      </c>
      <c r="Y540" t="s">
        <v>9417</v>
      </c>
      <c r="Z540" t="s">
        <v>9418</v>
      </c>
      <c r="AA540" t="s">
        <v>9419</v>
      </c>
      <c r="AB540" t="s">
        <v>9420</v>
      </c>
      <c r="AC540" t="s">
        <v>74</v>
      </c>
      <c r="AD540" t="s">
        <v>74</v>
      </c>
      <c r="AE540" t="s">
        <v>74</v>
      </c>
      <c r="AF540" t="s">
        <v>74</v>
      </c>
      <c r="AG540">
        <v>106</v>
      </c>
      <c r="AH540">
        <v>13</v>
      </c>
      <c r="AI540">
        <v>13</v>
      </c>
      <c r="AJ540">
        <v>18</v>
      </c>
      <c r="AK540">
        <v>126</v>
      </c>
      <c r="AL540" t="s">
        <v>350</v>
      </c>
      <c r="AM540" t="s">
        <v>351</v>
      </c>
      <c r="AN540" t="s">
        <v>352</v>
      </c>
      <c r="AO540" t="s">
        <v>353</v>
      </c>
      <c r="AP540" t="s">
        <v>354</v>
      </c>
      <c r="AQ540" t="s">
        <v>74</v>
      </c>
      <c r="AR540" t="s">
        <v>355</v>
      </c>
      <c r="AS540" t="s">
        <v>356</v>
      </c>
      <c r="AT540" t="s">
        <v>584</v>
      </c>
      <c r="AU540">
        <v>2019</v>
      </c>
      <c r="AV540">
        <v>45</v>
      </c>
      <c r="AW540">
        <v>8</v>
      </c>
      <c r="AX540" t="s">
        <v>74</v>
      </c>
      <c r="AY540" t="s">
        <v>74</v>
      </c>
      <c r="AZ540" t="s">
        <v>74</v>
      </c>
      <c r="BA540" t="s">
        <v>74</v>
      </c>
      <c r="BB540">
        <v>3091</v>
      </c>
      <c r="BC540">
        <v>3113</v>
      </c>
      <c r="BD540" t="s">
        <v>74</v>
      </c>
      <c r="BE540" t="s">
        <v>9421</v>
      </c>
      <c r="BF540" t="str">
        <f>HYPERLINK("http://dx.doi.org/10.1177/0149206318779127","http://dx.doi.org/10.1177/0149206318779127")</f>
        <v>http://dx.doi.org/10.1177/0149206318779127</v>
      </c>
      <c r="BG540" t="s">
        <v>74</v>
      </c>
      <c r="BH540" t="s">
        <v>74</v>
      </c>
      <c r="BI540">
        <v>23</v>
      </c>
      <c r="BJ540" t="s">
        <v>226</v>
      </c>
      <c r="BK540" t="s">
        <v>94</v>
      </c>
      <c r="BL540" t="s">
        <v>227</v>
      </c>
      <c r="BM540" t="s">
        <v>9422</v>
      </c>
      <c r="BN540" t="s">
        <v>74</v>
      </c>
      <c r="BO540" t="s">
        <v>74</v>
      </c>
      <c r="BP540" t="s">
        <v>74</v>
      </c>
      <c r="BQ540" t="s">
        <v>74</v>
      </c>
      <c r="BR540" t="s">
        <v>97</v>
      </c>
      <c r="BS540" t="s">
        <v>9423</v>
      </c>
      <c r="BT540" t="str">
        <f>HYPERLINK("https%3A%2F%2Fwww.webofscience.com%2Fwos%2Fwoscc%2Ffull-record%2FWOS:000490756200002","View Full Record in Web of Science")</f>
        <v>View Full Record in Web of Science</v>
      </c>
    </row>
    <row r="541" spans="1:72" x14ac:dyDescent="0.25">
      <c r="A541" t="s">
        <v>72</v>
      </c>
      <c r="B541" t="s">
        <v>9424</v>
      </c>
      <c r="C541" t="s">
        <v>74</v>
      </c>
      <c r="D541" t="s">
        <v>74</v>
      </c>
      <c r="E541" t="s">
        <v>74</v>
      </c>
      <c r="F541" t="s">
        <v>9425</v>
      </c>
      <c r="G541" t="s">
        <v>74</v>
      </c>
      <c r="H541" t="s">
        <v>74</v>
      </c>
      <c r="I541" t="s">
        <v>9426</v>
      </c>
      <c r="J541" t="s">
        <v>616</v>
      </c>
      <c r="K541" t="s">
        <v>74</v>
      </c>
      <c r="L541" t="s">
        <v>74</v>
      </c>
      <c r="M541" t="s">
        <v>77</v>
      </c>
      <c r="N541" t="s">
        <v>78</v>
      </c>
      <c r="O541" t="s">
        <v>74</v>
      </c>
      <c r="P541" t="s">
        <v>74</v>
      </c>
      <c r="Q541" t="s">
        <v>74</v>
      </c>
      <c r="R541" t="s">
        <v>74</v>
      </c>
      <c r="S541" t="s">
        <v>74</v>
      </c>
      <c r="T541" t="s">
        <v>9427</v>
      </c>
      <c r="U541" t="s">
        <v>9428</v>
      </c>
      <c r="V541" t="s">
        <v>9429</v>
      </c>
      <c r="W541" t="s">
        <v>9430</v>
      </c>
      <c r="X541" t="s">
        <v>9431</v>
      </c>
      <c r="Y541" t="s">
        <v>9432</v>
      </c>
      <c r="Z541" t="s">
        <v>9433</v>
      </c>
      <c r="AA541" t="s">
        <v>74</v>
      </c>
      <c r="AB541" t="s">
        <v>74</v>
      </c>
      <c r="AC541" t="s">
        <v>9434</v>
      </c>
      <c r="AD541" t="s">
        <v>9435</v>
      </c>
      <c r="AE541" t="s">
        <v>9436</v>
      </c>
      <c r="AF541" t="s">
        <v>74</v>
      </c>
      <c r="AG541">
        <v>83</v>
      </c>
      <c r="AH541">
        <v>13</v>
      </c>
      <c r="AI541">
        <v>13</v>
      </c>
      <c r="AJ541">
        <v>8</v>
      </c>
      <c r="AK541">
        <v>38</v>
      </c>
      <c r="AL541" t="s">
        <v>602</v>
      </c>
      <c r="AM541" t="s">
        <v>160</v>
      </c>
      <c r="AN541" t="s">
        <v>603</v>
      </c>
      <c r="AO541" t="s">
        <v>625</v>
      </c>
      <c r="AP541" t="s">
        <v>626</v>
      </c>
      <c r="AQ541" t="s">
        <v>74</v>
      </c>
      <c r="AR541" t="s">
        <v>627</v>
      </c>
      <c r="AS541" t="s">
        <v>628</v>
      </c>
      <c r="AT541" t="s">
        <v>122</v>
      </c>
      <c r="AU541">
        <v>2019</v>
      </c>
      <c r="AV541">
        <v>78</v>
      </c>
      <c r="AW541" t="s">
        <v>74</v>
      </c>
      <c r="AX541" t="s">
        <v>74</v>
      </c>
      <c r="AY541" t="s">
        <v>74</v>
      </c>
      <c r="AZ541" t="s">
        <v>74</v>
      </c>
      <c r="BA541" t="s">
        <v>74</v>
      </c>
      <c r="BB541">
        <v>251</v>
      </c>
      <c r="BC541">
        <v>260</v>
      </c>
      <c r="BD541" t="s">
        <v>74</v>
      </c>
      <c r="BE541" t="s">
        <v>9437</v>
      </c>
      <c r="BF541" t="str">
        <f>HYPERLINK("http://dx.doi.org/10.1016/j.ijhm.2018.09.007","http://dx.doi.org/10.1016/j.ijhm.2018.09.007")</f>
        <v>http://dx.doi.org/10.1016/j.ijhm.2018.09.007</v>
      </c>
      <c r="BG541" t="s">
        <v>74</v>
      </c>
      <c r="BH541" t="s">
        <v>74</v>
      </c>
      <c r="BI541">
        <v>10</v>
      </c>
      <c r="BJ541" t="s">
        <v>630</v>
      </c>
      <c r="BK541" t="s">
        <v>94</v>
      </c>
      <c r="BL541" t="s">
        <v>631</v>
      </c>
      <c r="BM541" t="s">
        <v>9438</v>
      </c>
      <c r="BN541" t="s">
        <v>74</v>
      </c>
      <c r="BO541" t="s">
        <v>74</v>
      </c>
      <c r="BP541" t="s">
        <v>74</v>
      </c>
      <c r="BQ541" t="s">
        <v>74</v>
      </c>
      <c r="BR541" t="s">
        <v>97</v>
      </c>
      <c r="BS541" t="s">
        <v>9439</v>
      </c>
      <c r="BT541" t="str">
        <f>HYPERLINK("https%3A%2F%2Fwww.webofscience.com%2Fwos%2Fwoscc%2Ffull-record%2FWOS:000463687100025","View Full Record in Web of Science")</f>
        <v>View Full Record in Web of Science</v>
      </c>
    </row>
    <row r="542" spans="1:72" x14ac:dyDescent="0.25">
      <c r="A542" t="s">
        <v>72</v>
      </c>
      <c r="B542" t="s">
        <v>9440</v>
      </c>
      <c r="C542" t="s">
        <v>74</v>
      </c>
      <c r="D542" t="s">
        <v>74</v>
      </c>
      <c r="E542" t="s">
        <v>74</v>
      </c>
      <c r="F542" t="s">
        <v>9441</v>
      </c>
      <c r="G542" t="s">
        <v>74</v>
      </c>
      <c r="H542" t="s">
        <v>74</v>
      </c>
      <c r="I542" t="s">
        <v>9442</v>
      </c>
      <c r="J542" t="s">
        <v>6146</v>
      </c>
      <c r="K542" t="s">
        <v>74</v>
      </c>
      <c r="L542" t="s">
        <v>74</v>
      </c>
      <c r="M542" t="s">
        <v>77</v>
      </c>
      <c r="N542" t="s">
        <v>78</v>
      </c>
      <c r="O542" t="s">
        <v>74</v>
      </c>
      <c r="P542" t="s">
        <v>74</v>
      </c>
      <c r="Q542" t="s">
        <v>74</v>
      </c>
      <c r="R542" t="s">
        <v>74</v>
      </c>
      <c r="S542" t="s">
        <v>74</v>
      </c>
      <c r="T542" t="s">
        <v>9443</v>
      </c>
      <c r="U542" t="s">
        <v>9444</v>
      </c>
      <c r="V542" t="s">
        <v>9445</v>
      </c>
      <c r="W542" t="s">
        <v>9446</v>
      </c>
      <c r="X542" t="s">
        <v>9447</v>
      </c>
      <c r="Y542" t="s">
        <v>9448</v>
      </c>
      <c r="Z542" t="s">
        <v>9449</v>
      </c>
      <c r="AA542" t="s">
        <v>74</v>
      </c>
      <c r="AB542" t="s">
        <v>9450</v>
      </c>
      <c r="AC542" t="s">
        <v>9451</v>
      </c>
      <c r="AD542" t="s">
        <v>7259</v>
      </c>
      <c r="AE542" t="s">
        <v>9452</v>
      </c>
      <c r="AF542" t="s">
        <v>74</v>
      </c>
      <c r="AG542">
        <v>44</v>
      </c>
      <c r="AH542">
        <v>13</v>
      </c>
      <c r="AI542">
        <v>13</v>
      </c>
      <c r="AJ542">
        <v>1</v>
      </c>
      <c r="AK542">
        <v>49</v>
      </c>
      <c r="AL542" t="s">
        <v>350</v>
      </c>
      <c r="AM542" t="s">
        <v>351</v>
      </c>
      <c r="AN542" t="s">
        <v>352</v>
      </c>
      <c r="AO542" t="s">
        <v>6155</v>
      </c>
      <c r="AP542" t="s">
        <v>6156</v>
      </c>
      <c r="AQ542" t="s">
        <v>74</v>
      </c>
      <c r="AR542" t="s">
        <v>6157</v>
      </c>
      <c r="AS542" t="s">
        <v>6158</v>
      </c>
      <c r="AT542" t="s">
        <v>392</v>
      </c>
      <c r="AU542">
        <v>2018</v>
      </c>
      <c r="AV542">
        <v>59</v>
      </c>
      <c r="AW542">
        <v>3</v>
      </c>
      <c r="AX542" t="s">
        <v>74</v>
      </c>
      <c r="AY542" t="s">
        <v>74</v>
      </c>
      <c r="AZ542" t="s">
        <v>74</v>
      </c>
      <c r="BA542" t="s">
        <v>74</v>
      </c>
      <c r="BB542">
        <v>228</v>
      </c>
      <c r="BC542">
        <v>238</v>
      </c>
      <c r="BD542" t="s">
        <v>74</v>
      </c>
      <c r="BE542" t="s">
        <v>9453</v>
      </c>
      <c r="BF542" t="str">
        <f>HYPERLINK("http://dx.doi.org/10.1177/1938965517734940","http://dx.doi.org/10.1177/1938965517734940")</f>
        <v>http://dx.doi.org/10.1177/1938965517734940</v>
      </c>
      <c r="BG542" t="s">
        <v>74</v>
      </c>
      <c r="BH542" t="s">
        <v>74</v>
      </c>
      <c r="BI542">
        <v>11</v>
      </c>
      <c r="BJ542" t="s">
        <v>6161</v>
      </c>
      <c r="BK542" t="s">
        <v>94</v>
      </c>
      <c r="BL542" t="s">
        <v>6162</v>
      </c>
      <c r="BM542" t="s">
        <v>9454</v>
      </c>
      <c r="BN542" t="s">
        <v>74</v>
      </c>
      <c r="BO542" t="s">
        <v>74</v>
      </c>
      <c r="BP542" t="s">
        <v>74</v>
      </c>
      <c r="BQ542" t="s">
        <v>74</v>
      </c>
      <c r="BR542" t="s">
        <v>97</v>
      </c>
      <c r="BS542" t="s">
        <v>9455</v>
      </c>
      <c r="BT542" t="str">
        <f>HYPERLINK("https%3A%2F%2Fwww.webofscience.com%2Fwos%2Fwoscc%2Ffull-record%2FWOS:000438562100004","View Full Record in Web of Science")</f>
        <v>View Full Record in Web of Science</v>
      </c>
    </row>
    <row r="543" spans="1:72" x14ac:dyDescent="0.25">
      <c r="A543" t="s">
        <v>72</v>
      </c>
      <c r="B543" t="s">
        <v>9456</v>
      </c>
      <c r="C543" t="s">
        <v>74</v>
      </c>
      <c r="D543" t="s">
        <v>74</v>
      </c>
      <c r="E543" t="s">
        <v>74</v>
      </c>
      <c r="F543" t="s">
        <v>9457</v>
      </c>
      <c r="G543" t="s">
        <v>74</v>
      </c>
      <c r="H543" t="s">
        <v>74</v>
      </c>
      <c r="I543" t="s">
        <v>9458</v>
      </c>
      <c r="J543" t="s">
        <v>9459</v>
      </c>
      <c r="K543" t="s">
        <v>74</v>
      </c>
      <c r="L543" t="s">
        <v>74</v>
      </c>
      <c r="M543" t="s">
        <v>77</v>
      </c>
      <c r="N543" t="s">
        <v>78</v>
      </c>
      <c r="O543" t="s">
        <v>74</v>
      </c>
      <c r="P543" t="s">
        <v>74</v>
      </c>
      <c r="Q543" t="s">
        <v>74</v>
      </c>
      <c r="R543" t="s">
        <v>74</v>
      </c>
      <c r="S543" t="s">
        <v>74</v>
      </c>
      <c r="T543" t="s">
        <v>9460</v>
      </c>
      <c r="U543" t="s">
        <v>9461</v>
      </c>
      <c r="V543" t="s">
        <v>9462</v>
      </c>
      <c r="W543" t="s">
        <v>9463</v>
      </c>
      <c r="X543" t="s">
        <v>9464</v>
      </c>
      <c r="Y543" t="s">
        <v>9465</v>
      </c>
      <c r="Z543" t="s">
        <v>9466</v>
      </c>
      <c r="AA543" t="s">
        <v>74</v>
      </c>
      <c r="AB543" t="s">
        <v>74</v>
      </c>
      <c r="AC543" t="s">
        <v>74</v>
      </c>
      <c r="AD543" t="s">
        <v>74</v>
      </c>
      <c r="AE543" t="s">
        <v>74</v>
      </c>
      <c r="AF543" t="s">
        <v>74</v>
      </c>
      <c r="AG543">
        <v>73</v>
      </c>
      <c r="AH543">
        <v>13</v>
      </c>
      <c r="AI543">
        <v>13</v>
      </c>
      <c r="AJ543">
        <v>1</v>
      </c>
      <c r="AK543">
        <v>32</v>
      </c>
      <c r="AL543" t="s">
        <v>350</v>
      </c>
      <c r="AM543" t="s">
        <v>351</v>
      </c>
      <c r="AN543" t="s">
        <v>352</v>
      </c>
      <c r="AO543" t="s">
        <v>9467</v>
      </c>
      <c r="AP543" t="s">
        <v>9468</v>
      </c>
      <c r="AQ543" t="s">
        <v>74</v>
      </c>
      <c r="AR543" t="s">
        <v>9469</v>
      </c>
      <c r="AS543" t="s">
        <v>9470</v>
      </c>
      <c r="AT543" t="s">
        <v>165</v>
      </c>
      <c r="AU543">
        <v>2017</v>
      </c>
      <c r="AV543">
        <v>47</v>
      </c>
      <c r="AW543">
        <v>4</v>
      </c>
      <c r="AX543" t="s">
        <v>74</v>
      </c>
      <c r="AY543" t="s">
        <v>74</v>
      </c>
      <c r="AZ543" t="s">
        <v>74</v>
      </c>
      <c r="BA543" t="s">
        <v>74</v>
      </c>
      <c r="BB543">
        <v>419</v>
      </c>
      <c r="BC543">
        <v>430</v>
      </c>
      <c r="BD543" t="s">
        <v>74</v>
      </c>
      <c r="BE543" t="s">
        <v>9471</v>
      </c>
      <c r="BF543" t="str">
        <f>HYPERLINK("http://dx.doi.org/10.1177/0275074015611745","http://dx.doi.org/10.1177/0275074015611745")</f>
        <v>http://dx.doi.org/10.1177/0275074015611745</v>
      </c>
      <c r="BG543" t="s">
        <v>74</v>
      </c>
      <c r="BH543" t="s">
        <v>74</v>
      </c>
      <c r="BI543">
        <v>12</v>
      </c>
      <c r="BJ543" t="s">
        <v>1564</v>
      </c>
      <c r="BK543" t="s">
        <v>94</v>
      </c>
      <c r="BL543" t="s">
        <v>1564</v>
      </c>
      <c r="BM543" t="s">
        <v>9472</v>
      </c>
      <c r="BN543" t="s">
        <v>74</v>
      </c>
      <c r="BO543" t="s">
        <v>74</v>
      </c>
      <c r="BP543" t="s">
        <v>74</v>
      </c>
      <c r="BQ543" t="s">
        <v>74</v>
      </c>
      <c r="BR543" t="s">
        <v>97</v>
      </c>
      <c r="BS543" t="s">
        <v>9473</v>
      </c>
      <c r="BT543" t="str">
        <f>HYPERLINK("https%3A%2F%2Fwww.webofscience.com%2Fwos%2Fwoscc%2Ffull-record%2FWOS:000399687500002","View Full Record in Web of Science")</f>
        <v>View Full Record in Web of Science</v>
      </c>
    </row>
    <row r="544" spans="1:72" x14ac:dyDescent="0.25">
      <c r="A544" t="s">
        <v>72</v>
      </c>
      <c r="B544" t="s">
        <v>9474</v>
      </c>
      <c r="C544" t="s">
        <v>74</v>
      </c>
      <c r="D544" t="s">
        <v>74</v>
      </c>
      <c r="E544" t="s">
        <v>74</v>
      </c>
      <c r="F544" t="s">
        <v>9475</v>
      </c>
      <c r="G544" t="s">
        <v>74</v>
      </c>
      <c r="H544" t="s">
        <v>74</v>
      </c>
      <c r="I544" t="s">
        <v>9476</v>
      </c>
      <c r="J544" t="s">
        <v>2059</v>
      </c>
      <c r="K544" t="s">
        <v>74</v>
      </c>
      <c r="L544" t="s">
        <v>74</v>
      </c>
      <c r="M544" t="s">
        <v>77</v>
      </c>
      <c r="N544" t="s">
        <v>78</v>
      </c>
      <c r="O544" t="s">
        <v>74</v>
      </c>
      <c r="P544" t="s">
        <v>74</v>
      </c>
      <c r="Q544" t="s">
        <v>74</v>
      </c>
      <c r="R544" t="s">
        <v>74</v>
      </c>
      <c r="S544" t="s">
        <v>74</v>
      </c>
      <c r="T544" t="s">
        <v>9477</v>
      </c>
      <c r="U544" t="s">
        <v>9478</v>
      </c>
      <c r="V544" t="s">
        <v>9479</v>
      </c>
      <c r="W544" t="s">
        <v>9480</v>
      </c>
      <c r="X544" t="s">
        <v>9481</v>
      </c>
      <c r="Y544" t="s">
        <v>9482</v>
      </c>
      <c r="Z544" t="s">
        <v>9483</v>
      </c>
      <c r="AA544" t="s">
        <v>74</v>
      </c>
      <c r="AB544" t="s">
        <v>74</v>
      </c>
      <c r="AC544" t="s">
        <v>74</v>
      </c>
      <c r="AD544" t="s">
        <v>74</v>
      </c>
      <c r="AE544" t="s">
        <v>74</v>
      </c>
      <c r="AF544" t="s">
        <v>74</v>
      </c>
      <c r="AG544">
        <v>25</v>
      </c>
      <c r="AH544">
        <v>13</v>
      </c>
      <c r="AI544">
        <v>13</v>
      </c>
      <c r="AJ544">
        <v>3</v>
      </c>
      <c r="AK544">
        <v>48</v>
      </c>
      <c r="AL544" t="s">
        <v>2067</v>
      </c>
      <c r="AM544" t="s">
        <v>2068</v>
      </c>
      <c r="AN544" t="s">
        <v>2069</v>
      </c>
      <c r="AO544" t="s">
        <v>2070</v>
      </c>
      <c r="AP544" t="s">
        <v>2071</v>
      </c>
      <c r="AQ544" t="s">
        <v>74</v>
      </c>
      <c r="AR544" t="s">
        <v>2072</v>
      </c>
      <c r="AS544" t="s">
        <v>2073</v>
      </c>
      <c r="AT544" t="s">
        <v>74</v>
      </c>
      <c r="AU544">
        <v>2014</v>
      </c>
      <c r="AV544">
        <v>42</v>
      </c>
      <c r="AW544">
        <v>1</v>
      </c>
      <c r="AX544" t="s">
        <v>74</v>
      </c>
      <c r="AY544" t="s">
        <v>74</v>
      </c>
      <c r="AZ544" t="s">
        <v>74</v>
      </c>
      <c r="BA544" t="s">
        <v>74</v>
      </c>
      <c r="BB544">
        <v>79</v>
      </c>
      <c r="BC544">
        <v>88</v>
      </c>
      <c r="BD544" t="s">
        <v>74</v>
      </c>
      <c r="BE544" t="s">
        <v>9484</v>
      </c>
      <c r="BF544" t="str">
        <f>HYPERLINK("http://dx.doi.org/10.2224/sbp.2014.42.1.79","http://dx.doi.org/10.2224/sbp.2014.42.1.79")</f>
        <v>http://dx.doi.org/10.2224/sbp.2014.42.1.79</v>
      </c>
      <c r="BG544" t="s">
        <v>74</v>
      </c>
      <c r="BH544" t="s">
        <v>74</v>
      </c>
      <c r="BI544">
        <v>10</v>
      </c>
      <c r="BJ544" t="s">
        <v>459</v>
      </c>
      <c r="BK544" t="s">
        <v>94</v>
      </c>
      <c r="BL544" t="s">
        <v>460</v>
      </c>
      <c r="BM544" t="s">
        <v>9485</v>
      </c>
      <c r="BN544" t="s">
        <v>74</v>
      </c>
      <c r="BO544" t="s">
        <v>74</v>
      </c>
      <c r="BP544" t="s">
        <v>74</v>
      </c>
      <c r="BQ544" t="s">
        <v>74</v>
      </c>
      <c r="BR544" t="s">
        <v>97</v>
      </c>
      <c r="BS544" t="s">
        <v>9486</v>
      </c>
      <c r="BT544" t="str">
        <f>HYPERLINK("https%3A%2F%2Fwww.webofscience.com%2Fwos%2Fwoscc%2Ffull-record%2FWOS:000331527000010","View Full Record in Web of Science")</f>
        <v>View Full Record in Web of Science</v>
      </c>
    </row>
    <row r="545" spans="1:72" x14ac:dyDescent="0.25">
      <c r="A545" t="s">
        <v>72</v>
      </c>
      <c r="B545" t="s">
        <v>9487</v>
      </c>
      <c r="C545" t="s">
        <v>74</v>
      </c>
      <c r="D545" t="s">
        <v>74</v>
      </c>
      <c r="E545" t="s">
        <v>74</v>
      </c>
      <c r="F545" t="s">
        <v>9488</v>
      </c>
      <c r="G545" t="s">
        <v>74</v>
      </c>
      <c r="H545" t="s">
        <v>74</v>
      </c>
      <c r="I545" t="s">
        <v>9489</v>
      </c>
      <c r="J545" t="s">
        <v>4603</v>
      </c>
      <c r="K545" t="s">
        <v>74</v>
      </c>
      <c r="L545" t="s">
        <v>74</v>
      </c>
      <c r="M545" t="s">
        <v>77</v>
      </c>
      <c r="N545" t="s">
        <v>78</v>
      </c>
      <c r="O545" t="s">
        <v>74</v>
      </c>
      <c r="P545" t="s">
        <v>74</v>
      </c>
      <c r="Q545" t="s">
        <v>74</v>
      </c>
      <c r="R545" t="s">
        <v>74</v>
      </c>
      <c r="S545" t="s">
        <v>74</v>
      </c>
      <c r="T545" t="s">
        <v>9490</v>
      </c>
      <c r="U545" t="s">
        <v>9491</v>
      </c>
      <c r="V545" t="s">
        <v>9492</v>
      </c>
      <c r="W545" t="s">
        <v>9493</v>
      </c>
      <c r="X545" t="s">
        <v>9494</v>
      </c>
      <c r="Y545" t="s">
        <v>9495</v>
      </c>
      <c r="Z545" t="s">
        <v>9496</v>
      </c>
      <c r="AA545" t="s">
        <v>9497</v>
      </c>
      <c r="AB545" t="s">
        <v>9498</v>
      </c>
      <c r="AC545" t="s">
        <v>74</v>
      </c>
      <c r="AD545" t="s">
        <v>74</v>
      </c>
      <c r="AE545" t="s">
        <v>74</v>
      </c>
      <c r="AF545" t="s">
        <v>74</v>
      </c>
      <c r="AG545">
        <v>73</v>
      </c>
      <c r="AH545">
        <v>13</v>
      </c>
      <c r="AI545">
        <v>13</v>
      </c>
      <c r="AJ545">
        <v>1</v>
      </c>
      <c r="AK545">
        <v>25</v>
      </c>
      <c r="AL545" t="s">
        <v>665</v>
      </c>
      <c r="AM545" t="s">
        <v>666</v>
      </c>
      <c r="AN545" t="s">
        <v>667</v>
      </c>
      <c r="AO545" t="s">
        <v>4613</v>
      </c>
      <c r="AP545" t="s">
        <v>4614</v>
      </c>
      <c r="AQ545" t="s">
        <v>74</v>
      </c>
      <c r="AR545" t="s">
        <v>4615</v>
      </c>
      <c r="AS545" t="s">
        <v>4616</v>
      </c>
      <c r="AT545" t="s">
        <v>74</v>
      </c>
      <c r="AU545">
        <v>2014</v>
      </c>
      <c r="AV545">
        <v>36</v>
      </c>
      <c r="AW545">
        <v>6</v>
      </c>
      <c r="AX545" t="s">
        <v>74</v>
      </c>
      <c r="AY545" t="s">
        <v>74</v>
      </c>
      <c r="AZ545" t="s">
        <v>74</v>
      </c>
      <c r="BA545" t="s">
        <v>74</v>
      </c>
      <c r="BB545">
        <v>606</v>
      </c>
      <c r="BC545">
        <v>621</v>
      </c>
      <c r="BD545" t="s">
        <v>74</v>
      </c>
      <c r="BE545" t="s">
        <v>9499</v>
      </c>
      <c r="BF545" t="str">
        <f>HYPERLINK("http://dx.doi.org/10.1108/ER-07-2013-0081","http://dx.doi.org/10.1108/ER-07-2013-0081")</f>
        <v>http://dx.doi.org/10.1108/ER-07-2013-0081</v>
      </c>
      <c r="BG545" t="s">
        <v>74</v>
      </c>
      <c r="BH545" t="s">
        <v>74</v>
      </c>
      <c r="BI545">
        <v>16</v>
      </c>
      <c r="BJ545" t="s">
        <v>673</v>
      </c>
      <c r="BK545" t="s">
        <v>94</v>
      </c>
      <c r="BL545" t="s">
        <v>95</v>
      </c>
      <c r="BM545" t="s">
        <v>9500</v>
      </c>
      <c r="BN545" t="s">
        <v>74</v>
      </c>
      <c r="BO545" t="s">
        <v>74</v>
      </c>
      <c r="BP545" t="s">
        <v>74</v>
      </c>
      <c r="BQ545" t="s">
        <v>74</v>
      </c>
      <c r="BR545" t="s">
        <v>97</v>
      </c>
      <c r="BS545" t="s">
        <v>9501</v>
      </c>
      <c r="BT545" t="str">
        <f>HYPERLINK("https%3A%2F%2Fwww.webofscience.com%2Fwos%2Fwoscc%2Ffull-record%2FWOS:000343322800001","View Full Record in Web of Science")</f>
        <v>View Full Record in Web of Science</v>
      </c>
    </row>
    <row r="546" spans="1:72" x14ac:dyDescent="0.25">
      <c r="A546" t="s">
        <v>72</v>
      </c>
      <c r="B546" t="s">
        <v>9502</v>
      </c>
      <c r="C546" t="s">
        <v>74</v>
      </c>
      <c r="D546" t="s">
        <v>74</v>
      </c>
      <c r="E546" t="s">
        <v>74</v>
      </c>
      <c r="F546" t="s">
        <v>9503</v>
      </c>
      <c r="G546" t="s">
        <v>74</v>
      </c>
      <c r="H546" t="s">
        <v>74</v>
      </c>
      <c r="I546" t="s">
        <v>9504</v>
      </c>
      <c r="J546" t="s">
        <v>3660</v>
      </c>
      <c r="K546" t="s">
        <v>74</v>
      </c>
      <c r="L546" t="s">
        <v>74</v>
      </c>
      <c r="M546" t="s">
        <v>77</v>
      </c>
      <c r="N546" t="s">
        <v>78</v>
      </c>
      <c r="O546" t="s">
        <v>74</v>
      </c>
      <c r="P546" t="s">
        <v>74</v>
      </c>
      <c r="Q546" t="s">
        <v>74</v>
      </c>
      <c r="R546" t="s">
        <v>74</v>
      </c>
      <c r="S546" t="s">
        <v>74</v>
      </c>
      <c r="T546" t="s">
        <v>9505</v>
      </c>
      <c r="U546" t="s">
        <v>9506</v>
      </c>
      <c r="V546" t="s">
        <v>9507</v>
      </c>
      <c r="W546" t="s">
        <v>9508</v>
      </c>
      <c r="X546" t="s">
        <v>6151</v>
      </c>
      <c r="Y546" t="s">
        <v>9509</v>
      </c>
      <c r="Z546" t="s">
        <v>9510</v>
      </c>
      <c r="AA546" t="s">
        <v>74</v>
      </c>
      <c r="AB546" t="s">
        <v>74</v>
      </c>
      <c r="AC546" t="s">
        <v>74</v>
      </c>
      <c r="AD546" t="s">
        <v>74</v>
      </c>
      <c r="AE546" t="s">
        <v>74</v>
      </c>
      <c r="AF546" t="s">
        <v>74</v>
      </c>
      <c r="AG546">
        <v>106</v>
      </c>
      <c r="AH546">
        <v>13</v>
      </c>
      <c r="AI546">
        <v>13</v>
      </c>
      <c r="AJ546">
        <v>7</v>
      </c>
      <c r="AK546">
        <v>28</v>
      </c>
      <c r="AL546" t="s">
        <v>350</v>
      </c>
      <c r="AM546" t="s">
        <v>351</v>
      </c>
      <c r="AN546" t="s">
        <v>352</v>
      </c>
      <c r="AO546" t="s">
        <v>3673</v>
      </c>
      <c r="AP546" t="s">
        <v>3674</v>
      </c>
      <c r="AQ546" t="s">
        <v>74</v>
      </c>
      <c r="AR546" t="s">
        <v>3675</v>
      </c>
      <c r="AS546" t="s">
        <v>3676</v>
      </c>
      <c r="AT546" t="s">
        <v>405</v>
      </c>
      <c r="AU546">
        <v>2013</v>
      </c>
      <c r="AV546">
        <v>20</v>
      </c>
      <c r="AW546">
        <v>1</v>
      </c>
      <c r="AX546" t="s">
        <v>74</v>
      </c>
      <c r="AY546" t="s">
        <v>74</v>
      </c>
      <c r="AZ546" t="s">
        <v>860</v>
      </c>
      <c r="BA546" t="s">
        <v>74</v>
      </c>
      <c r="BB546">
        <v>69</v>
      </c>
      <c r="BC546">
        <v>83</v>
      </c>
      <c r="BD546" t="s">
        <v>74</v>
      </c>
      <c r="BE546" t="s">
        <v>9511</v>
      </c>
      <c r="BF546" t="str">
        <f>HYPERLINK("http://dx.doi.org/10.1177/1548051812465894","http://dx.doi.org/10.1177/1548051812465894")</f>
        <v>http://dx.doi.org/10.1177/1548051812465894</v>
      </c>
      <c r="BG546" t="s">
        <v>74</v>
      </c>
      <c r="BH546" t="s">
        <v>74</v>
      </c>
      <c r="BI546">
        <v>15</v>
      </c>
      <c r="BJ546" t="s">
        <v>442</v>
      </c>
      <c r="BK546" t="s">
        <v>94</v>
      </c>
      <c r="BL546" t="s">
        <v>95</v>
      </c>
      <c r="BM546" t="s">
        <v>9512</v>
      </c>
      <c r="BN546" t="s">
        <v>74</v>
      </c>
      <c r="BO546" t="s">
        <v>74</v>
      </c>
      <c r="BP546" t="s">
        <v>74</v>
      </c>
      <c r="BQ546" t="s">
        <v>74</v>
      </c>
      <c r="BR546" t="s">
        <v>97</v>
      </c>
      <c r="BS546" t="s">
        <v>9513</v>
      </c>
      <c r="BT546" t="str">
        <f>HYPERLINK("https%3A%2F%2Fwww.webofscience.com%2Fwos%2Fwoscc%2Ffull-record%2FWOS:000209244800007","View Full Record in Web of Science")</f>
        <v>View Full Record in Web of Science</v>
      </c>
    </row>
    <row r="547" spans="1:72" x14ac:dyDescent="0.25">
      <c r="A547" t="s">
        <v>72</v>
      </c>
      <c r="B547" t="s">
        <v>9514</v>
      </c>
      <c r="C547" t="s">
        <v>74</v>
      </c>
      <c r="D547" t="s">
        <v>74</v>
      </c>
      <c r="E547" t="s">
        <v>74</v>
      </c>
      <c r="F547" t="s">
        <v>9515</v>
      </c>
      <c r="G547" t="s">
        <v>74</v>
      </c>
      <c r="H547" t="s">
        <v>74</v>
      </c>
      <c r="I547" t="s">
        <v>9516</v>
      </c>
      <c r="J547" t="s">
        <v>1916</v>
      </c>
      <c r="K547" t="s">
        <v>74</v>
      </c>
      <c r="L547" t="s">
        <v>74</v>
      </c>
      <c r="M547" t="s">
        <v>77</v>
      </c>
      <c r="N547" t="s">
        <v>78</v>
      </c>
      <c r="O547" t="s">
        <v>74</v>
      </c>
      <c r="P547" t="s">
        <v>74</v>
      </c>
      <c r="Q547" t="s">
        <v>74</v>
      </c>
      <c r="R547" t="s">
        <v>74</v>
      </c>
      <c r="S547" t="s">
        <v>74</v>
      </c>
      <c r="T547" t="s">
        <v>9517</v>
      </c>
      <c r="U547" t="s">
        <v>9518</v>
      </c>
      <c r="V547" t="s">
        <v>9519</v>
      </c>
      <c r="W547" t="s">
        <v>9520</v>
      </c>
      <c r="X547" t="s">
        <v>9521</v>
      </c>
      <c r="Y547" t="s">
        <v>9522</v>
      </c>
      <c r="Z547" t="s">
        <v>9523</v>
      </c>
      <c r="AA547" t="s">
        <v>9524</v>
      </c>
      <c r="AB547" t="s">
        <v>9525</v>
      </c>
      <c r="AC547" t="s">
        <v>74</v>
      </c>
      <c r="AD547" t="s">
        <v>74</v>
      </c>
      <c r="AE547" t="s">
        <v>74</v>
      </c>
      <c r="AF547" t="s">
        <v>74</v>
      </c>
      <c r="AG547">
        <v>46</v>
      </c>
      <c r="AH547">
        <v>13</v>
      </c>
      <c r="AI547">
        <v>14</v>
      </c>
      <c r="AJ547">
        <v>2</v>
      </c>
      <c r="AK547">
        <v>57</v>
      </c>
      <c r="AL547" t="s">
        <v>665</v>
      </c>
      <c r="AM547" t="s">
        <v>666</v>
      </c>
      <c r="AN547" t="s">
        <v>667</v>
      </c>
      <c r="AO547" t="s">
        <v>1926</v>
      </c>
      <c r="AP547" t="s">
        <v>1927</v>
      </c>
      <c r="AQ547" t="s">
        <v>74</v>
      </c>
      <c r="AR547" t="s">
        <v>1928</v>
      </c>
      <c r="AS547" t="s">
        <v>1929</v>
      </c>
      <c r="AT547" t="s">
        <v>74</v>
      </c>
      <c r="AU547">
        <v>2013</v>
      </c>
      <c r="AV547">
        <v>51</v>
      </c>
      <c r="AW547">
        <v>5</v>
      </c>
      <c r="AX547" t="s">
        <v>74</v>
      </c>
      <c r="AY547" t="s">
        <v>74</v>
      </c>
      <c r="AZ547" t="s">
        <v>74</v>
      </c>
      <c r="BA547" t="s">
        <v>74</v>
      </c>
      <c r="BB547">
        <v>986</v>
      </c>
      <c r="BC547">
        <v>998</v>
      </c>
      <c r="BD547" t="s">
        <v>74</v>
      </c>
      <c r="BE547" t="s">
        <v>9526</v>
      </c>
      <c r="BF547" t="str">
        <f>HYPERLINK("http://dx.doi.org/10.1108/MD-08-2012-0538","http://dx.doi.org/10.1108/MD-08-2012-0538")</f>
        <v>http://dx.doi.org/10.1108/MD-08-2012-0538</v>
      </c>
      <c r="BG547" t="s">
        <v>74</v>
      </c>
      <c r="BH547" t="s">
        <v>74</v>
      </c>
      <c r="BI547">
        <v>13</v>
      </c>
      <c r="BJ547" t="s">
        <v>93</v>
      </c>
      <c r="BK547" t="s">
        <v>94</v>
      </c>
      <c r="BL547" t="s">
        <v>95</v>
      </c>
      <c r="BM547" t="s">
        <v>9527</v>
      </c>
      <c r="BN547" t="s">
        <v>74</v>
      </c>
      <c r="BO547" t="s">
        <v>74</v>
      </c>
      <c r="BP547" t="s">
        <v>74</v>
      </c>
      <c r="BQ547" t="s">
        <v>74</v>
      </c>
      <c r="BR547" t="s">
        <v>97</v>
      </c>
      <c r="BS547" t="s">
        <v>9528</v>
      </c>
      <c r="BT547" t="str">
        <f>HYPERLINK("https%3A%2F%2Fwww.webofscience.com%2Fwos%2Fwoscc%2Ffull-record%2FWOS:000320091600005","View Full Record in Web of Science")</f>
        <v>View Full Record in Web of Science</v>
      </c>
    </row>
    <row r="548" spans="1:72" x14ac:dyDescent="0.25">
      <c r="A548" t="s">
        <v>72</v>
      </c>
      <c r="B548" t="s">
        <v>9529</v>
      </c>
      <c r="C548" t="s">
        <v>74</v>
      </c>
      <c r="D548" t="s">
        <v>74</v>
      </c>
      <c r="E548" t="s">
        <v>74</v>
      </c>
      <c r="F548" t="s">
        <v>9530</v>
      </c>
      <c r="G548" t="s">
        <v>74</v>
      </c>
      <c r="H548" t="s">
        <v>74</v>
      </c>
      <c r="I548" t="s">
        <v>9531</v>
      </c>
      <c r="J548" t="s">
        <v>1600</v>
      </c>
      <c r="K548" t="s">
        <v>74</v>
      </c>
      <c r="L548" t="s">
        <v>74</v>
      </c>
      <c r="M548" t="s">
        <v>77</v>
      </c>
      <c r="N548" t="s">
        <v>78</v>
      </c>
      <c r="O548" t="s">
        <v>74</v>
      </c>
      <c r="P548" t="s">
        <v>74</v>
      </c>
      <c r="Q548" t="s">
        <v>74</v>
      </c>
      <c r="R548" t="s">
        <v>74</v>
      </c>
      <c r="S548" t="s">
        <v>74</v>
      </c>
      <c r="T548" t="s">
        <v>9532</v>
      </c>
      <c r="U548" t="s">
        <v>9533</v>
      </c>
      <c r="V548" t="s">
        <v>9534</v>
      </c>
      <c r="W548" t="s">
        <v>9535</v>
      </c>
      <c r="X548" t="s">
        <v>9536</v>
      </c>
      <c r="Y548" t="s">
        <v>9537</v>
      </c>
      <c r="Z548" t="s">
        <v>9538</v>
      </c>
      <c r="AA548" t="s">
        <v>74</v>
      </c>
      <c r="AB548" t="s">
        <v>74</v>
      </c>
      <c r="AC548" t="s">
        <v>74</v>
      </c>
      <c r="AD548" t="s">
        <v>74</v>
      </c>
      <c r="AE548" t="s">
        <v>74</v>
      </c>
      <c r="AF548" t="s">
        <v>74</v>
      </c>
      <c r="AG548">
        <v>103</v>
      </c>
      <c r="AH548">
        <v>13</v>
      </c>
      <c r="AI548">
        <v>14</v>
      </c>
      <c r="AJ548">
        <v>4</v>
      </c>
      <c r="AK548">
        <v>43</v>
      </c>
      <c r="AL548" t="s">
        <v>1099</v>
      </c>
      <c r="AM548" t="s">
        <v>305</v>
      </c>
      <c r="AN548" t="s">
        <v>1100</v>
      </c>
      <c r="AO548" t="s">
        <v>1610</v>
      </c>
      <c r="AP548" t="s">
        <v>1611</v>
      </c>
      <c r="AQ548" t="s">
        <v>74</v>
      </c>
      <c r="AR548" t="s">
        <v>1612</v>
      </c>
      <c r="AS548" t="s">
        <v>1613</v>
      </c>
      <c r="AT548" t="s">
        <v>74</v>
      </c>
      <c r="AU548">
        <v>2012</v>
      </c>
      <c r="AV548">
        <v>23</v>
      </c>
      <c r="AW548">
        <v>13</v>
      </c>
      <c r="AX548" t="s">
        <v>74</v>
      </c>
      <c r="AY548" t="s">
        <v>74</v>
      </c>
      <c r="AZ548" t="s">
        <v>74</v>
      </c>
      <c r="BA548" t="s">
        <v>74</v>
      </c>
      <c r="BB548">
        <v>2763</v>
      </c>
      <c r="BC548">
        <v>2784</v>
      </c>
      <c r="BD548" t="s">
        <v>74</v>
      </c>
      <c r="BE548" t="s">
        <v>9539</v>
      </c>
      <c r="BF548" t="str">
        <f>HYPERLINK("http://dx.doi.org/10.1080/09585192.2011.637059","http://dx.doi.org/10.1080/09585192.2011.637059")</f>
        <v>http://dx.doi.org/10.1080/09585192.2011.637059</v>
      </c>
      <c r="BG548" t="s">
        <v>74</v>
      </c>
      <c r="BH548" t="s">
        <v>74</v>
      </c>
      <c r="BI548">
        <v>22</v>
      </c>
      <c r="BJ548" t="s">
        <v>442</v>
      </c>
      <c r="BK548" t="s">
        <v>94</v>
      </c>
      <c r="BL548" t="s">
        <v>95</v>
      </c>
      <c r="BM548" t="s">
        <v>9540</v>
      </c>
      <c r="BN548" t="s">
        <v>74</v>
      </c>
      <c r="BO548" t="s">
        <v>74</v>
      </c>
      <c r="BP548" t="s">
        <v>74</v>
      </c>
      <c r="BQ548" t="s">
        <v>74</v>
      </c>
      <c r="BR548" t="s">
        <v>97</v>
      </c>
      <c r="BS548" t="s">
        <v>9541</v>
      </c>
      <c r="BT548" t="str">
        <f>HYPERLINK("https%3A%2F%2Fwww.webofscience.com%2Fwos%2Fwoscc%2Ffull-record%2FWOS:000303562900008","View Full Record in Web of Science")</f>
        <v>View Full Record in Web of Science</v>
      </c>
    </row>
    <row r="549" spans="1:72" x14ac:dyDescent="0.25">
      <c r="A549" t="s">
        <v>72</v>
      </c>
      <c r="B549" t="s">
        <v>9542</v>
      </c>
      <c r="C549" t="s">
        <v>74</v>
      </c>
      <c r="D549" t="s">
        <v>74</v>
      </c>
      <c r="E549" t="s">
        <v>74</v>
      </c>
      <c r="F549" t="s">
        <v>9543</v>
      </c>
      <c r="G549" t="s">
        <v>74</v>
      </c>
      <c r="H549" t="s">
        <v>74</v>
      </c>
      <c r="I549" t="s">
        <v>9544</v>
      </c>
      <c r="J549" t="s">
        <v>9545</v>
      </c>
      <c r="K549" t="s">
        <v>74</v>
      </c>
      <c r="L549" t="s">
        <v>74</v>
      </c>
      <c r="M549" t="s">
        <v>77</v>
      </c>
      <c r="N549" t="s">
        <v>78</v>
      </c>
      <c r="O549" t="s">
        <v>74</v>
      </c>
      <c r="P549" t="s">
        <v>74</v>
      </c>
      <c r="Q549" t="s">
        <v>74</v>
      </c>
      <c r="R549" t="s">
        <v>74</v>
      </c>
      <c r="S549" t="s">
        <v>74</v>
      </c>
      <c r="T549" t="s">
        <v>74</v>
      </c>
      <c r="U549" t="s">
        <v>9546</v>
      </c>
      <c r="V549" t="s">
        <v>9547</v>
      </c>
      <c r="W549" t="s">
        <v>9548</v>
      </c>
      <c r="X549" t="s">
        <v>9549</v>
      </c>
      <c r="Y549" t="s">
        <v>9550</v>
      </c>
      <c r="Z549" t="s">
        <v>9551</v>
      </c>
      <c r="AA549" t="s">
        <v>74</v>
      </c>
      <c r="AB549" t="s">
        <v>74</v>
      </c>
      <c r="AC549" t="s">
        <v>9552</v>
      </c>
      <c r="AD549" t="s">
        <v>9553</v>
      </c>
      <c r="AE549" t="s">
        <v>74</v>
      </c>
      <c r="AF549" t="s">
        <v>74</v>
      </c>
      <c r="AG549">
        <v>33</v>
      </c>
      <c r="AH549">
        <v>13</v>
      </c>
      <c r="AI549">
        <v>14</v>
      </c>
      <c r="AJ549">
        <v>0</v>
      </c>
      <c r="AK549">
        <v>16</v>
      </c>
      <c r="AL549" t="s">
        <v>329</v>
      </c>
      <c r="AM549" t="s">
        <v>330</v>
      </c>
      <c r="AN549" t="s">
        <v>730</v>
      </c>
      <c r="AO549" t="s">
        <v>9554</v>
      </c>
      <c r="AP549" t="s">
        <v>9555</v>
      </c>
      <c r="AQ549" t="s">
        <v>74</v>
      </c>
      <c r="AR549" t="s">
        <v>9556</v>
      </c>
      <c r="AS549" t="s">
        <v>9557</v>
      </c>
      <c r="AT549" t="s">
        <v>165</v>
      </c>
      <c r="AU549">
        <v>2009</v>
      </c>
      <c r="AV549">
        <v>16</v>
      </c>
      <c r="AW549">
        <v>2</v>
      </c>
      <c r="AX549" t="s">
        <v>74</v>
      </c>
      <c r="AY549" t="s">
        <v>74</v>
      </c>
      <c r="AZ549" t="s">
        <v>74</v>
      </c>
      <c r="BA549" t="s">
        <v>74</v>
      </c>
      <c r="BB549">
        <v>205</v>
      </c>
      <c r="BC549">
        <v>213</v>
      </c>
      <c r="BD549" t="s">
        <v>74</v>
      </c>
      <c r="BE549" t="s">
        <v>9558</v>
      </c>
      <c r="BF549" t="str">
        <f>HYPERLINK("http://dx.doi.org/10.1016/j.cbpra.2008.08.003","http://dx.doi.org/10.1016/j.cbpra.2008.08.003")</f>
        <v>http://dx.doi.org/10.1016/j.cbpra.2008.08.003</v>
      </c>
      <c r="BG549" t="s">
        <v>74</v>
      </c>
      <c r="BH549" t="s">
        <v>74</v>
      </c>
      <c r="BI549">
        <v>9</v>
      </c>
      <c r="BJ549" t="s">
        <v>9559</v>
      </c>
      <c r="BK549" t="s">
        <v>94</v>
      </c>
      <c r="BL549" t="s">
        <v>460</v>
      </c>
      <c r="BM549" t="s">
        <v>9560</v>
      </c>
      <c r="BN549">
        <v>20628479</v>
      </c>
      <c r="BO549" t="s">
        <v>5036</v>
      </c>
      <c r="BP549" t="s">
        <v>74</v>
      </c>
      <c r="BQ549" t="s">
        <v>74</v>
      </c>
      <c r="BR549" t="s">
        <v>97</v>
      </c>
      <c r="BS549" t="s">
        <v>9561</v>
      </c>
      <c r="BT549" t="str">
        <f>HYPERLINK("https%3A%2F%2Fwww.webofscience.com%2Fwos%2Fwoscc%2Ffull-record%2FWOS:000266147000010","View Full Record in Web of Science")</f>
        <v>View Full Record in Web of Science</v>
      </c>
    </row>
    <row r="550" spans="1:72" x14ac:dyDescent="0.25">
      <c r="A550" t="s">
        <v>72</v>
      </c>
      <c r="B550" t="s">
        <v>9562</v>
      </c>
      <c r="C550" t="s">
        <v>74</v>
      </c>
      <c r="D550" t="s">
        <v>74</v>
      </c>
      <c r="E550" t="s">
        <v>74</v>
      </c>
      <c r="F550" t="s">
        <v>9563</v>
      </c>
      <c r="G550" t="s">
        <v>74</v>
      </c>
      <c r="H550" t="s">
        <v>74</v>
      </c>
      <c r="I550" t="s">
        <v>9564</v>
      </c>
      <c r="J550" t="s">
        <v>3528</v>
      </c>
      <c r="K550" t="s">
        <v>74</v>
      </c>
      <c r="L550" t="s">
        <v>74</v>
      </c>
      <c r="M550" t="s">
        <v>77</v>
      </c>
      <c r="N550" t="s">
        <v>78</v>
      </c>
      <c r="O550" t="s">
        <v>74</v>
      </c>
      <c r="P550" t="s">
        <v>74</v>
      </c>
      <c r="Q550" t="s">
        <v>74</v>
      </c>
      <c r="R550" t="s">
        <v>74</v>
      </c>
      <c r="S550" t="s">
        <v>74</v>
      </c>
      <c r="T550" t="s">
        <v>9565</v>
      </c>
      <c r="U550" t="s">
        <v>9566</v>
      </c>
      <c r="V550" t="s">
        <v>9567</v>
      </c>
      <c r="W550" t="s">
        <v>9568</v>
      </c>
      <c r="X550" t="s">
        <v>9569</v>
      </c>
      <c r="Y550" t="s">
        <v>9570</v>
      </c>
      <c r="Z550" t="s">
        <v>9571</v>
      </c>
      <c r="AA550" t="s">
        <v>74</v>
      </c>
      <c r="AB550" t="s">
        <v>74</v>
      </c>
      <c r="AC550" t="s">
        <v>74</v>
      </c>
      <c r="AD550" t="s">
        <v>74</v>
      </c>
      <c r="AE550" t="s">
        <v>74</v>
      </c>
      <c r="AF550" t="s">
        <v>74</v>
      </c>
      <c r="AG550">
        <v>49</v>
      </c>
      <c r="AH550">
        <v>13</v>
      </c>
      <c r="AI550">
        <v>13</v>
      </c>
      <c r="AJ550">
        <v>0</v>
      </c>
      <c r="AK550">
        <v>12</v>
      </c>
      <c r="AL550" t="s">
        <v>1099</v>
      </c>
      <c r="AM550" t="s">
        <v>305</v>
      </c>
      <c r="AN550" t="s">
        <v>1100</v>
      </c>
      <c r="AO550" t="s">
        <v>3537</v>
      </c>
      <c r="AP550" t="s">
        <v>3538</v>
      </c>
      <c r="AQ550" t="s">
        <v>74</v>
      </c>
      <c r="AR550" t="s">
        <v>3539</v>
      </c>
      <c r="AS550" t="s">
        <v>3540</v>
      </c>
      <c r="AT550" t="s">
        <v>74</v>
      </c>
      <c r="AU550">
        <v>2009</v>
      </c>
      <c r="AV550">
        <v>29</v>
      </c>
      <c r="AW550">
        <v>4</v>
      </c>
      <c r="AX550" t="s">
        <v>74</v>
      </c>
      <c r="AY550" t="s">
        <v>74</v>
      </c>
      <c r="AZ550" t="s">
        <v>74</v>
      </c>
      <c r="BA550" t="s">
        <v>74</v>
      </c>
      <c r="BB550">
        <v>557</v>
      </c>
      <c r="BC550">
        <v>568</v>
      </c>
      <c r="BD550" t="s">
        <v>74</v>
      </c>
      <c r="BE550" t="s">
        <v>9572</v>
      </c>
      <c r="BF550" t="str">
        <f>HYPERLINK("http://dx.doi.org/10.1080/02642060802295679","http://dx.doi.org/10.1080/02642060802295679")</f>
        <v>http://dx.doi.org/10.1080/02642060802295679</v>
      </c>
      <c r="BG550" t="s">
        <v>74</v>
      </c>
      <c r="BH550" t="s">
        <v>74</v>
      </c>
      <c r="BI550">
        <v>12</v>
      </c>
      <c r="BJ550" t="s">
        <v>442</v>
      </c>
      <c r="BK550" t="s">
        <v>94</v>
      </c>
      <c r="BL550" t="s">
        <v>95</v>
      </c>
      <c r="BM550" t="s">
        <v>9573</v>
      </c>
      <c r="BN550" t="s">
        <v>74</v>
      </c>
      <c r="BO550" t="s">
        <v>74</v>
      </c>
      <c r="BP550" t="s">
        <v>74</v>
      </c>
      <c r="BQ550" t="s">
        <v>74</v>
      </c>
      <c r="BR550" t="s">
        <v>97</v>
      </c>
      <c r="BS550" t="s">
        <v>9574</v>
      </c>
      <c r="BT550" t="str">
        <f>HYPERLINK("https%3A%2F%2Fwww.webofscience.com%2Fwos%2Fwoscc%2Ffull-record%2FWOS:000266774800010","View Full Record in Web of Science")</f>
        <v>View Full Record in Web of Science</v>
      </c>
    </row>
    <row r="551" spans="1:72" x14ac:dyDescent="0.25">
      <c r="A551" t="s">
        <v>72</v>
      </c>
      <c r="B551" t="s">
        <v>9575</v>
      </c>
      <c r="C551" t="s">
        <v>74</v>
      </c>
      <c r="D551" t="s">
        <v>74</v>
      </c>
      <c r="E551" t="s">
        <v>74</v>
      </c>
      <c r="F551" t="s">
        <v>9576</v>
      </c>
      <c r="G551" t="s">
        <v>74</v>
      </c>
      <c r="H551" t="s">
        <v>74</v>
      </c>
      <c r="I551" t="s">
        <v>9577</v>
      </c>
      <c r="J551" t="s">
        <v>9578</v>
      </c>
      <c r="K551" t="s">
        <v>74</v>
      </c>
      <c r="L551" t="s">
        <v>74</v>
      </c>
      <c r="M551" t="s">
        <v>77</v>
      </c>
      <c r="N551" t="s">
        <v>78</v>
      </c>
      <c r="O551" t="s">
        <v>74</v>
      </c>
      <c r="P551" t="s">
        <v>74</v>
      </c>
      <c r="Q551" t="s">
        <v>74</v>
      </c>
      <c r="R551" t="s">
        <v>74</v>
      </c>
      <c r="S551" t="s">
        <v>74</v>
      </c>
      <c r="T551" t="s">
        <v>9579</v>
      </c>
      <c r="U551" t="s">
        <v>74</v>
      </c>
      <c r="V551" t="s">
        <v>9580</v>
      </c>
      <c r="W551" t="s">
        <v>9581</v>
      </c>
      <c r="X551" t="s">
        <v>9582</v>
      </c>
      <c r="Y551" t="s">
        <v>9583</v>
      </c>
      <c r="Z551" t="s">
        <v>9584</v>
      </c>
      <c r="AA551" t="s">
        <v>9585</v>
      </c>
      <c r="AB551" t="s">
        <v>9586</v>
      </c>
      <c r="AC551" t="s">
        <v>74</v>
      </c>
      <c r="AD551" t="s">
        <v>74</v>
      </c>
      <c r="AE551" t="s">
        <v>74</v>
      </c>
      <c r="AF551" t="s">
        <v>74</v>
      </c>
      <c r="AG551">
        <v>5</v>
      </c>
      <c r="AH551">
        <v>13</v>
      </c>
      <c r="AI551">
        <v>13</v>
      </c>
      <c r="AJ551">
        <v>0</v>
      </c>
      <c r="AK551">
        <v>3</v>
      </c>
      <c r="AL551" t="s">
        <v>9587</v>
      </c>
      <c r="AM551" t="s">
        <v>9588</v>
      </c>
      <c r="AN551" t="s">
        <v>9589</v>
      </c>
      <c r="AO551" t="s">
        <v>9590</v>
      </c>
      <c r="AP551" t="s">
        <v>74</v>
      </c>
      <c r="AQ551" t="s">
        <v>74</v>
      </c>
      <c r="AR551" t="s">
        <v>9591</v>
      </c>
      <c r="AS551" t="s">
        <v>9592</v>
      </c>
      <c r="AT551" t="s">
        <v>74</v>
      </c>
      <c r="AU551">
        <v>2007</v>
      </c>
      <c r="AV551">
        <v>8</v>
      </c>
      <c r="AW551">
        <v>3</v>
      </c>
      <c r="AX551" t="s">
        <v>74</v>
      </c>
      <c r="AY551" t="s">
        <v>74</v>
      </c>
      <c r="AZ551" t="s">
        <v>74</v>
      </c>
      <c r="BA551" t="s">
        <v>74</v>
      </c>
      <c r="BB551">
        <v>195</v>
      </c>
      <c r="BC551">
        <v>202</v>
      </c>
      <c r="BD551" t="s">
        <v>74</v>
      </c>
      <c r="BE551" t="s">
        <v>9593</v>
      </c>
      <c r="BF551" t="str">
        <f>HYPERLINK("http://dx.doi.org/10.3846/16111699.2007.9636169","http://dx.doi.org/10.3846/16111699.2007.9636169")</f>
        <v>http://dx.doi.org/10.3846/16111699.2007.9636169</v>
      </c>
      <c r="BG551" t="s">
        <v>74</v>
      </c>
      <c r="BH551" t="s">
        <v>74</v>
      </c>
      <c r="BI551">
        <v>8</v>
      </c>
      <c r="BJ551" t="s">
        <v>6604</v>
      </c>
      <c r="BK551" t="s">
        <v>94</v>
      </c>
      <c r="BL551" t="s">
        <v>95</v>
      </c>
      <c r="BM551" t="s">
        <v>9594</v>
      </c>
      <c r="BN551" t="s">
        <v>74</v>
      </c>
      <c r="BO551" t="s">
        <v>408</v>
      </c>
      <c r="BP551" t="s">
        <v>74</v>
      </c>
      <c r="BQ551" t="s">
        <v>74</v>
      </c>
      <c r="BR551" t="s">
        <v>97</v>
      </c>
      <c r="BS551" t="s">
        <v>9595</v>
      </c>
      <c r="BT551" t="str">
        <f>HYPERLINK("https%3A%2F%2Fwww.webofscience.com%2Fwos%2Fwoscc%2Ffull-record%2FWOS:000257537200005","View Full Record in Web of Science")</f>
        <v>View Full Record in Web of Science</v>
      </c>
    </row>
    <row r="552" spans="1:72" x14ac:dyDescent="0.25">
      <c r="A552" t="s">
        <v>72</v>
      </c>
      <c r="B552" t="s">
        <v>9596</v>
      </c>
      <c r="C552" t="s">
        <v>74</v>
      </c>
      <c r="D552" t="s">
        <v>74</v>
      </c>
      <c r="E552" t="s">
        <v>74</v>
      </c>
      <c r="F552" t="s">
        <v>9596</v>
      </c>
      <c r="G552" t="s">
        <v>74</v>
      </c>
      <c r="H552" t="s">
        <v>74</v>
      </c>
      <c r="I552" t="s">
        <v>9597</v>
      </c>
      <c r="J552" t="s">
        <v>9598</v>
      </c>
      <c r="K552" t="s">
        <v>74</v>
      </c>
      <c r="L552" t="s">
        <v>74</v>
      </c>
      <c r="M552" t="s">
        <v>77</v>
      </c>
      <c r="N552" t="s">
        <v>78</v>
      </c>
      <c r="O552" t="s">
        <v>74</v>
      </c>
      <c r="P552" t="s">
        <v>74</v>
      </c>
      <c r="Q552" t="s">
        <v>74</v>
      </c>
      <c r="R552" t="s">
        <v>74</v>
      </c>
      <c r="S552" t="s">
        <v>74</v>
      </c>
      <c r="T552" t="s">
        <v>9599</v>
      </c>
      <c r="U552" t="s">
        <v>9600</v>
      </c>
      <c r="V552" t="s">
        <v>9601</v>
      </c>
      <c r="W552" t="s">
        <v>9602</v>
      </c>
      <c r="X552" t="s">
        <v>9603</v>
      </c>
      <c r="Y552" t="s">
        <v>9604</v>
      </c>
      <c r="Z552" t="s">
        <v>74</v>
      </c>
      <c r="AA552" t="s">
        <v>74</v>
      </c>
      <c r="AB552" t="s">
        <v>74</v>
      </c>
      <c r="AC552" t="s">
        <v>74</v>
      </c>
      <c r="AD552" t="s">
        <v>74</v>
      </c>
      <c r="AE552" t="s">
        <v>74</v>
      </c>
      <c r="AF552" t="s">
        <v>74</v>
      </c>
      <c r="AG552">
        <v>38</v>
      </c>
      <c r="AH552">
        <v>13</v>
      </c>
      <c r="AI552">
        <v>13</v>
      </c>
      <c r="AJ552">
        <v>0</v>
      </c>
      <c r="AK552">
        <v>2</v>
      </c>
      <c r="AL552" t="s">
        <v>9605</v>
      </c>
      <c r="AM552" t="s">
        <v>330</v>
      </c>
      <c r="AN552" t="s">
        <v>9606</v>
      </c>
      <c r="AO552" t="s">
        <v>9607</v>
      </c>
      <c r="AP552" t="s">
        <v>74</v>
      </c>
      <c r="AQ552" t="s">
        <v>74</v>
      </c>
      <c r="AR552" t="s">
        <v>9608</v>
      </c>
      <c r="AS552" t="s">
        <v>9609</v>
      </c>
      <c r="AT552" t="s">
        <v>9610</v>
      </c>
      <c r="AU552">
        <v>2001</v>
      </c>
      <c r="AV552">
        <v>28</v>
      </c>
      <c r="AW552">
        <v>1</v>
      </c>
      <c r="AX552" t="s">
        <v>74</v>
      </c>
      <c r="AY552" t="s">
        <v>74</v>
      </c>
      <c r="AZ552" t="s">
        <v>74</v>
      </c>
      <c r="BA552" t="s">
        <v>74</v>
      </c>
      <c r="BB552">
        <v>59</v>
      </c>
      <c r="BC552">
        <v>75</v>
      </c>
      <c r="BD552" t="s">
        <v>74</v>
      </c>
      <c r="BE552" t="s">
        <v>74</v>
      </c>
      <c r="BF552" t="s">
        <v>74</v>
      </c>
      <c r="BG552" t="s">
        <v>74</v>
      </c>
      <c r="BH552" t="s">
        <v>74</v>
      </c>
      <c r="BI552">
        <v>17</v>
      </c>
      <c r="BJ552" t="s">
        <v>692</v>
      </c>
      <c r="BK552" t="s">
        <v>94</v>
      </c>
      <c r="BL552" t="s">
        <v>460</v>
      </c>
      <c r="BM552" t="s">
        <v>9611</v>
      </c>
      <c r="BN552" t="s">
        <v>74</v>
      </c>
      <c r="BO552" t="s">
        <v>74</v>
      </c>
      <c r="BP552" t="s">
        <v>74</v>
      </c>
      <c r="BQ552" t="s">
        <v>74</v>
      </c>
      <c r="BR552" t="s">
        <v>97</v>
      </c>
      <c r="BS552" t="s">
        <v>9612</v>
      </c>
      <c r="BT552" t="str">
        <f>HYPERLINK("https%3A%2F%2Fwww.webofscience.com%2Fwos%2Fwoscc%2Ffull-record%2FWOS:000171530800005","View Full Record in Web of Science")</f>
        <v>View Full Record in Web of Science</v>
      </c>
    </row>
    <row r="553" spans="1:72" x14ac:dyDescent="0.25">
      <c r="A553" t="s">
        <v>72</v>
      </c>
      <c r="B553" t="s">
        <v>9613</v>
      </c>
      <c r="C553" t="s">
        <v>74</v>
      </c>
      <c r="D553" t="s">
        <v>74</v>
      </c>
      <c r="E553" t="s">
        <v>74</v>
      </c>
      <c r="F553" t="s">
        <v>9614</v>
      </c>
      <c r="G553" t="s">
        <v>74</v>
      </c>
      <c r="H553" t="s">
        <v>74</v>
      </c>
      <c r="I553" t="s">
        <v>9615</v>
      </c>
      <c r="J553" t="s">
        <v>4564</v>
      </c>
      <c r="K553" t="s">
        <v>74</v>
      </c>
      <c r="L553" t="s">
        <v>74</v>
      </c>
      <c r="M553" t="s">
        <v>77</v>
      </c>
      <c r="N553" t="s">
        <v>78</v>
      </c>
      <c r="O553" t="s">
        <v>74</v>
      </c>
      <c r="P553" t="s">
        <v>74</v>
      </c>
      <c r="Q553" t="s">
        <v>74</v>
      </c>
      <c r="R553" t="s">
        <v>74</v>
      </c>
      <c r="S553" t="s">
        <v>74</v>
      </c>
      <c r="T553" t="s">
        <v>9616</v>
      </c>
      <c r="U553" t="s">
        <v>9617</v>
      </c>
      <c r="V553" t="s">
        <v>9618</v>
      </c>
      <c r="W553" t="s">
        <v>9619</v>
      </c>
      <c r="X553" t="s">
        <v>9620</v>
      </c>
      <c r="Y553" t="s">
        <v>9621</v>
      </c>
      <c r="Z553" t="s">
        <v>9622</v>
      </c>
      <c r="AA553" t="s">
        <v>74</v>
      </c>
      <c r="AB553" t="s">
        <v>9623</v>
      </c>
      <c r="AC553" t="s">
        <v>9624</v>
      </c>
      <c r="AD553" t="s">
        <v>9625</v>
      </c>
      <c r="AE553" t="s">
        <v>9626</v>
      </c>
      <c r="AF553" t="s">
        <v>74</v>
      </c>
      <c r="AG553">
        <v>114</v>
      </c>
      <c r="AH553">
        <v>12</v>
      </c>
      <c r="AI553">
        <v>12</v>
      </c>
      <c r="AJ553">
        <v>19</v>
      </c>
      <c r="AK553">
        <v>90</v>
      </c>
      <c r="AL553" t="s">
        <v>1099</v>
      </c>
      <c r="AM553" t="s">
        <v>305</v>
      </c>
      <c r="AN553" t="s">
        <v>1100</v>
      </c>
      <c r="AO553" t="s">
        <v>4574</v>
      </c>
      <c r="AP553" t="s">
        <v>4575</v>
      </c>
      <c r="AQ553" t="s">
        <v>74</v>
      </c>
      <c r="AR553" t="s">
        <v>4576</v>
      </c>
      <c r="AS553" t="s">
        <v>4577</v>
      </c>
      <c r="AT553" t="s">
        <v>1717</v>
      </c>
      <c r="AU553">
        <v>2022</v>
      </c>
      <c r="AV553">
        <v>31</v>
      </c>
      <c r="AW553">
        <v>1</v>
      </c>
      <c r="AX553" t="s">
        <v>74</v>
      </c>
      <c r="AY553" t="s">
        <v>74</v>
      </c>
      <c r="AZ553" t="s">
        <v>74</v>
      </c>
      <c r="BA553" t="s">
        <v>74</v>
      </c>
      <c r="BB553">
        <v>97</v>
      </c>
      <c r="BC553">
        <v>124</v>
      </c>
      <c r="BD553" t="s">
        <v>74</v>
      </c>
      <c r="BE553" t="s">
        <v>9627</v>
      </c>
      <c r="BF553" t="str">
        <f>HYPERLINK("http://dx.doi.org/10.1080/19368623.2021.1934933","http://dx.doi.org/10.1080/19368623.2021.1934933")</f>
        <v>http://dx.doi.org/10.1080/19368623.2021.1934933</v>
      </c>
      <c r="BG553" t="s">
        <v>74</v>
      </c>
      <c r="BH553" t="s">
        <v>8573</v>
      </c>
      <c r="BI553">
        <v>28</v>
      </c>
      <c r="BJ553" t="s">
        <v>4581</v>
      </c>
      <c r="BK553" t="s">
        <v>94</v>
      </c>
      <c r="BL553" t="s">
        <v>2359</v>
      </c>
      <c r="BM553" t="s">
        <v>9628</v>
      </c>
      <c r="BN553" t="s">
        <v>74</v>
      </c>
      <c r="BO553" t="s">
        <v>74</v>
      </c>
      <c r="BP553" t="s">
        <v>74</v>
      </c>
      <c r="BQ553" t="s">
        <v>74</v>
      </c>
      <c r="BR553" t="s">
        <v>97</v>
      </c>
      <c r="BS553" t="s">
        <v>9629</v>
      </c>
      <c r="BT553" t="str">
        <f>HYPERLINK("https%3A%2F%2Fwww.webofscience.com%2Fwos%2Fwoscc%2Ffull-record%2FWOS:000671682400001","View Full Record in Web of Science")</f>
        <v>View Full Record in Web of Science</v>
      </c>
    </row>
    <row r="554" spans="1:72" x14ac:dyDescent="0.25">
      <c r="A554" t="s">
        <v>72</v>
      </c>
      <c r="B554" t="s">
        <v>9630</v>
      </c>
      <c r="C554" t="s">
        <v>74</v>
      </c>
      <c r="D554" t="s">
        <v>74</v>
      </c>
      <c r="E554" t="s">
        <v>74</v>
      </c>
      <c r="F554" t="s">
        <v>9631</v>
      </c>
      <c r="G554" t="s">
        <v>74</v>
      </c>
      <c r="H554" t="s">
        <v>74</v>
      </c>
      <c r="I554" t="s">
        <v>9632</v>
      </c>
      <c r="J554" t="s">
        <v>2463</v>
      </c>
      <c r="K554" t="s">
        <v>74</v>
      </c>
      <c r="L554" t="s">
        <v>74</v>
      </c>
      <c r="M554" t="s">
        <v>77</v>
      </c>
      <c r="N554" t="s">
        <v>78</v>
      </c>
      <c r="O554" t="s">
        <v>74</v>
      </c>
      <c r="P554" t="s">
        <v>74</v>
      </c>
      <c r="Q554" t="s">
        <v>74</v>
      </c>
      <c r="R554" t="s">
        <v>74</v>
      </c>
      <c r="S554" t="s">
        <v>74</v>
      </c>
      <c r="T554" t="s">
        <v>9633</v>
      </c>
      <c r="U554" t="s">
        <v>9634</v>
      </c>
      <c r="V554" t="s">
        <v>9635</v>
      </c>
      <c r="W554" t="s">
        <v>9636</v>
      </c>
      <c r="X554" t="s">
        <v>9637</v>
      </c>
      <c r="Y554" t="s">
        <v>9638</v>
      </c>
      <c r="Z554" t="s">
        <v>9639</v>
      </c>
      <c r="AA554" t="s">
        <v>9640</v>
      </c>
      <c r="AB554" t="s">
        <v>9641</v>
      </c>
      <c r="AC554" t="s">
        <v>9642</v>
      </c>
      <c r="AD554" t="s">
        <v>74</v>
      </c>
      <c r="AE554" t="s">
        <v>9643</v>
      </c>
      <c r="AF554" t="s">
        <v>74</v>
      </c>
      <c r="AG554">
        <v>109</v>
      </c>
      <c r="AH554">
        <v>12</v>
      </c>
      <c r="AI554">
        <v>12</v>
      </c>
      <c r="AJ554">
        <v>6</v>
      </c>
      <c r="AK554">
        <v>28</v>
      </c>
      <c r="AL554" t="s">
        <v>2473</v>
      </c>
      <c r="AM554" t="s">
        <v>2102</v>
      </c>
      <c r="AN554" t="s">
        <v>2474</v>
      </c>
      <c r="AO554" t="s">
        <v>74</v>
      </c>
      <c r="AP554" t="s">
        <v>2475</v>
      </c>
      <c r="AQ554" t="s">
        <v>74</v>
      </c>
      <c r="AR554" t="s">
        <v>2476</v>
      </c>
      <c r="AS554" t="s">
        <v>2477</v>
      </c>
      <c r="AT554" t="s">
        <v>91</v>
      </c>
      <c r="AU554">
        <v>2021</v>
      </c>
      <c r="AV554">
        <v>13</v>
      </c>
      <c r="AW554">
        <v>11</v>
      </c>
      <c r="AX554" t="s">
        <v>74</v>
      </c>
      <c r="AY554" t="s">
        <v>74</v>
      </c>
      <c r="AZ554" t="s">
        <v>74</v>
      </c>
      <c r="BA554" t="s">
        <v>74</v>
      </c>
      <c r="BB554" t="s">
        <v>74</v>
      </c>
      <c r="BC554" t="s">
        <v>74</v>
      </c>
      <c r="BD554">
        <v>6104</v>
      </c>
      <c r="BE554" t="s">
        <v>9644</v>
      </c>
      <c r="BF554" t="str">
        <f>HYPERLINK("http://dx.doi.org/10.3390/su13116104","http://dx.doi.org/10.3390/su13116104")</f>
        <v>http://dx.doi.org/10.3390/su13116104</v>
      </c>
      <c r="BG554" t="s">
        <v>74</v>
      </c>
      <c r="BH554" t="s">
        <v>74</v>
      </c>
      <c r="BI554">
        <v>16</v>
      </c>
      <c r="BJ554" t="s">
        <v>2479</v>
      </c>
      <c r="BK554" t="s">
        <v>147</v>
      </c>
      <c r="BL554" t="s">
        <v>2480</v>
      </c>
      <c r="BM554" t="s">
        <v>9645</v>
      </c>
      <c r="BN554" t="s">
        <v>74</v>
      </c>
      <c r="BO554" t="s">
        <v>2482</v>
      </c>
      <c r="BP554" t="s">
        <v>74</v>
      </c>
      <c r="BQ554" t="s">
        <v>74</v>
      </c>
      <c r="BR554" t="s">
        <v>97</v>
      </c>
      <c r="BS554" t="s">
        <v>9646</v>
      </c>
      <c r="BT554" t="str">
        <f>HYPERLINK("https%3A%2F%2Fwww.webofscience.com%2Fwos%2Fwoscc%2Ffull-record%2FWOS:000660724500001","View Full Record in Web of Science")</f>
        <v>View Full Record in Web of Science</v>
      </c>
    </row>
    <row r="555" spans="1:72" x14ac:dyDescent="0.25">
      <c r="A555" t="s">
        <v>72</v>
      </c>
      <c r="B555" t="s">
        <v>9647</v>
      </c>
      <c r="C555" t="s">
        <v>74</v>
      </c>
      <c r="D555" t="s">
        <v>74</v>
      </c>
      <c r="E555" t="s">
        <v>74</v>
      </c>
      <c r="F555" t="s">
        <v>9648</v>
      </c>
      <c r="G555" t="s">
        <v>74</v>
      </c>
      <c r="H555" t="s">
        <v>74</v>
      </c>
      <c r="I555" t="s">
        <v>9649</v>
      </c>
      <c r="J555" t="s">
        <v>5318</v>
      </c>
      <c r="K555" t="s">
        <v>74</v>
      </c>
      <c r="L555" t="s">
        <v>74</v>
      </c>
      <c r="M555" t="s">
        <v>77</v>
      </c>
      <c r="N555" t="s">
        <v>78</v>
      </c>
      <c r="O555" t="s">
        <v>74</v>
      </c>
      <c r="P555" t="s">
        <v>74</v>
      </c>
      <c r="Q555" t="s">
        <v>74</v>
      </c>
      <c r="R555" t="s">
        <v>74</v>
      </c>
      <c r="S555" t="s">
        <v>74</v>
      </c>
      <c r="T555" t="s">
        <v>9650</v>
      </c>
      <c r="U555" t="s">
        <v>9651</v>
      </c>
      <c r="V555" t="s">
        <v>9652</v>
      </c>
      <c r="W555" t="s">
        <v>9653</v>
      </c>
      <c r="X555" t="s">
        <v>9654</v>
      </c>
      <c r="Y555" t="s">
        <v>9655</v>
      </c>
      <c r="Z555" t="s">
        <v>9656</v>
      </c>
      <c r="AA555" t="s">
        <v>74</v>
      </c>
      <c r="AB555" t="s">
        <v>9657</v>
      </c>
      <c r="AC555" t="s">
        <v>9658</v>
      </c>
      <c r="AD555" t="s">
        <v>9659</v>
      </c>
      <c r="AE555" t="s">
        <v>9660</v>
      </c>
      <c r="AF555" t="s">
        <v>74</v>
      </c>
      <c r="AG555">
        <v>83</v>
      </c>
      <c r="AH555">
        <v>12</v>
      </c>
      <c r="AI555">
        <v>12</v>
      </c>
      <c r="AJ555">
        <v>2</v>
      </c>
      <c r="AK555">
        <v>11</v>
      </c>
      <c r="AL555" t="s">
        <v>602</v>
      </c>
      <c r="AM555" t="s">
        <v>160</v>
      </c>
      <c r="AN555" t="s">
        <v>603</v>
      </c>
      <c r="AO555" t="s">
        <v>5331</v>
      </c>
      <c r="AP555" t="s">
        <v>5332</v>
      </c>
      <c r="AQ555" t="s">
        <v>74</v>
      </c>
      <c r="AR555" t="s">
        <v>5333</v>
      </c>
      <c r="AS555" t="s">
        <v>5334</v>
      </c>
      <c r="AT555" t="s">
        <v>91</v>
      </c>
      <c r="AU555">
        <v>2021</v>
      </c>
      <c r="AV555">
        <v>120</v>
      </c>
      <c r="AW555" t="s">
        <v>74</v>
      </c>
      <c r="AX555" t="s">
        <v>74</v>
      </c>
      <c r="AY555" t="s">
        <v>74</v>
      </c>
      <c r="AZ555" t="s">
        <v>74</v>
      </c>
      <c r="BA555" t="s">
        <v>74</v>
      </c>
      <c r="BB555">
        <v>89</v>
      </c>
      <c r="BC555">
        <v>98</v>
      </c>
      <c r="BD555" t="s">
        <v>74</v>
      </c>
      <c r="BE555" t="s">
        <v>9661</v>
      </c>
      <c r="BF555" t="str">
        <f>HYPERLINK("http://dx.doi.org/10.1016/j.envsci.2021.02.003","http://dx.doi.org/10.1016/j.envsci.2021.02.003")</f>
        <v>http://dx.doi.org/10.1016/j.envsci.2021.02.003</v>
      </c>
      <c r="BG555" t="s">
        <v>74</v>
      </c>
      <c r="BH555" t="s">
        <v>5544</v>
      </c>
      <c r="BI555">
        <v>10</v>
      </c>
      <c r="BJ555" t="s">
        <v>5336</v>
      </c>
      <c r="BK555" t="s">
        <v>147</v>
      </c>
      <c r="BL555" t="s">
        <v>5337</v>
      </c>
      <c r="BM555" t="s">
        <v>9662</v>
      </c>
      <c r="BN555" t="s">
        <v>74</v>
      </c>
      <c r="BO555" t="s">
        <v>111</v>
      </c>
      <c r="BP555" t="s">
        <v>74</v>
      </c>
      <c r="BQ555" t="s">
        <v>74</v>
      </c>
      <c r="BR555" t="s">
        <v>97</v>
      </c>
      <c r="BS555" t="s">
        <v>9663</v>
      </c>
      <c r="BT555" t="str">
        <f>HYPERLINK("https%3A%2F%2Fwww.webofscience.com%2Fwos%2Fwoscc%2Ffull-record%2FWOS:000652746800010","View Full Record in Web of Science")</f>
        <v>View Full Record in Web of Science</v>
      </c>
    </row>
    <row r="556" spans="1:72" x14ac:dyDescent="0.25">
      <c r="A556" t="s">
        <v>72</v>
      </c>
      <c r="B556" t="s">
        <v>9664</v>
      </c>
      <c r="C556" t="s">
        <v>74</v>
      </c>
      <c r="D556" t="s">
        <v>74</v>
      </c>
      <c r="E556" t="s">
        <v>74</v>
      </c>
      <c r="F556" t="s">
        <v>9665</v>
      </c>
      <c r="G556" t="s">
        <v>74</v>
      </c>
      <c r="H556" t="s">
        <v>74</v>
      </c>
      <c r="I556" t="s">
        <v>9666</v>
      </c>
      <c r="J556" t="s">
        <v>2463</v>
      </c>
      <c r="K556" t="s">
        <v>74</v>
      </c>
      <c r="L556" t="s">
        <v>74</v>
      </c>
      <c r="M556" t="s">
        <v>77</v>
      </c>
      <c r="N556" t="s">
        <v>78</v>
      </c>
      <c r="O556" t="s">
        <v>74</v>
      </c>
      <c r="P556" t="s">
        <v>74</v>
      </c>
      <c r="Q556" t="s">
        <v>74</v>
      </c>
      <c r="R556" t="s">
        <v>74</v>
      </c>
      <c r="S556" t="s">
        <v>74</v>
      </c>
      <c r="T556" t="s">
        <v>9667</v>
      </c>
      <c r="U556" t="s">
        <v>9668</v>
      </c>
      <c r="V556" t="s">
        <v>9669</v>
      </c>
      <c r="W556" t="s">
        <v>9670</v>
      </c>
      <c r="X556" t="s">
        <v>9671</v>
      </c>
      <c r="Y556" t="s">
        <v>9672</v>
      </c>
      <c r="Z556" t="s">
        <v>9673</v>
      </c>
      <c r="AA556" t="s">
        <v>9674</v>
      </c>
      <c r="AB556" t="s">
        <v>9675</v>
      </c>
      <c r="AC556" t="s">
        <v>9676</v>
      </c>
      <c r="AD556" t="s">
        <v>9677</v>
      </c>
      <c r="AE556" t="s">
        <v>9678</v>
      </c>
      <c r="AF556" t="s">
        <v>74</v>
      </c>
      <c r="AG556">
        <v>165</v>
      </c>
      <c r="AH556">
        <v>12</v>
      </c>
      <c r="AI556">
        <v>12</v>
      </c>
      <c r="AJ556">
        <v>15</v>
      </c>
      <c r="AK556">
        <v>53</v>
      </c>
      <c r="AL556" t="s">
        <v>2473</v>
      </c>
      <c r="AM556" t="s">
        <v>2102</v>
      </c>
      <c r="AN556" t="s">
        <v>2474</v>
      </c>
      <c r="AO556" t="s">
        <v>74</v>
      </c>
      <c r="AP556" t="s">
        <v>2475</v>
      </c>
      <c r="AQ556" t="s">
        <v>74</v>
      </c>
      <c r="AR556" t="s">
        <v>2476</v>
      </c>
      <c r="AS556" t="s">
        <v>2477</v>
      </c>
      <c r="AT556" t="s">
        <v>405</v>
      </c>
      <c r="AU556">
        <v>2021</v>
      </c>
      <c r="AV556">
        <v>13</v>
      </c>
      <c r="AW556">
        <v>4</v>
      </c>
      <c r="AX556" t="s">
        <v>74</v>
      </c>
      <c r="AY556" t="s">
        <v>74</v>
      </c>
      <c r="AZ556" t="s">
        <v>74</v>
      </c>
      <c r="BA556" t="s">
        <v>74</v>
      </c>
      <c r="BB556" t="s">
        <v>74</v>
      </c>
      <c r="BC556" t="s">
        <v>74</v>
      </c>
      <c r="BD556">
        <v>2079</v>
      </c>
      <c r="BE556" t="s">
        <v>9679</v>
      </c>
      <c r="BF556" t="str">
        <f>HYPERLINK("http://dx.doi.org/10.3390/su13042079","http://dx.doi.org/10.3390/su13042079")</f>
        <v>http://dx.doi.org/10.3390/su13042079</v>
      </c>
      <c r="BG556" t="s">
        <v>74</v>
      </c>
      <c r="BH556" t="s">
        <v>74</v>
      </c>
      <c r="BI556">
        <v>25</v>
      </c>
      <c r="BJ556" t="s">
        <v>2479</v>
      </c>
      <c r="BK556" t="s">
        <v>147</v>
      </c>
      <c r="BL556" t="s">
        <v>2480</v>
      </c>
      <c r="BM556" t="s">
        <v>9680</v>
      </c>
      <c r="BN556" t="s">
        <v>74</v>
      </c>
      <c r="BO556" t="s">
        <v>4398</v>
      </c>
      <c r="BP556" t="s">
        <v>74</v>
      </c>
      <c r="BQ556" t="s">
        <v>74</v>
      </c>
      <c r="BR556" t="s">
        <v>97</v>
      </c>
      <c r="BS556" t="s">
        <v>9681</v>
      </c>
      <c r="BT556" t="str">
        <f>HYPERLINK("https%3A%2F%2Fwww.webofscience.com%2Fwos%2Fwoscc%2Ffull-record%2FWOS:000624761600001","View Full Record in Web of Science")</f>
        <v>View Full Record in Web of Science</v>
      </c>
    </row>
    <row r="557" spans="1:72" x14ac:dyDescent="0.25">
      <c r="A557" t="s">
        <v>72</v>
      </c>
      <c r="B557" t="s">
        <v>9682</v>
      </c>
      <c r="C557" t="s">
        <v>74</v>
      </c>
      <c r="D557" t="s">
        <v>74</v>
      </c>
      <c r="E557" t="s">
        <v>74</v>
      </c>
      <c r="F557" t="s">
        <v>9683</v>
      </c>
      <c r="G557" t="s">
        <v>74</v>
      </c>
      <c r="H557" t="s">
        <v>74</v>
      </c>
      <c r="I557" t="s">
        <v>9684</v>
      </c>
      <c r="J557" t="s">
        <v>8851</v>
      </c>
      <c r="K557" t="s">
        <v>74</v>
      </c>
      <c r="L557" t="s">
        <v>74</v>
      </c>
      <c r="M557" t="s">
        <v>77</v>
      </c>
      <c r="N557" t="s">
        <v>78</v>
      </c>
      <c r="O557" t="s">
        <v>74</v>
      </c>
      <c r="P557" t="s">
        <v>74</v>
      </c>
      <c r="Q557" t="s">
        <v>74</v>
      </c>
      <c r="R557" t="s">
        <v>74</v>
      </c>
      <c r="S557" t="s">
        <v>74</v>
      </c>
      <c r="T557" t="s">
        <v>9685</v>
      </c>
      <c r="U557" t="s">
        <v>74</v>
      </c>
      <c r="V557" t="s">
        <v>9686</v>
      </c>
      <c r="W557" t="s">
        <v>9687</v>
      </c>
      <c r="X557" t="s">
        <v>9688</v>
      </c>
      <c r="Y557" t="s">
        <v>9689</v>
      </c>
      <c r="Z557" t="s">
        <v>9690</v>
      </c>
      <c r="AA557" t="s">
        <v>9691</v>
      </c>
      <c r="AB557" t="s">
        <v>9692</v>
      </c>
      <c r="AC557" t="s">
        <v>74</v>
      </c>
      <c r="AD557" t="s">
        <v>74</v>
      </c>
      <c r="AE557" t="s">
        <v>74</v>
      </c>
      <c r="AF557" t="s">
        <v>74</v>
      </c>
      <c r="AG557">
        <v>100</v>
      </c>
      <c r="AH557">
        <v>12</v>
      </c>
      <c r="AI557">
        <v>12</v>
      </c>
      <c r="AJ557">
        <v>1</v>
      </c>
      <c r="AK557">
        <v>23</v>
      </c>
      <c r="AL557" t="s">
        <v>350</v>
      </c>
      <c r="AM557" t="s">
        <v>351</v>
      </c>
      <c r="AN557" t="s">
        <v>352</v>
      </c>
      <c r="AO557" t="s">
        <v>8864</v>
      </c>
      <c r="AP557" t="s">
        <v>74</v>
      </c>
      <c r="AQ557" t="s">
        <v>74</v>
      </c>
      <c r="AR557" t="s">
        <v>8851</v>
      </c>
      <c r="AS557" t="s">
        <v>8865</v>
      </c>
      <c r="AT557" t="s">
        <v>892</v>
      </c>
      <c r="AU557">
        <v>2021</v>
      </c>
      <c r="AV557">
        <v>11</v>
      </c>
      <c r="AW557">
        <v>1</v>
      </c>
      <c r="AX557" t="s">
        <v>74</v>
      </c>
      <c r="AY557" t="s">
        <v>74</v>
      </c>
      <c r="AZ557" t="s">
        <v>74</v>
      </c>
      <c r="BA557" t="s">
        <v>74</v>
      </c>
      <c r="BB557" t="s">
        <v>74</v>
      </c>
      <c r="BC557" t="s">
        <v>74</v>
      </c>
      <c r="BD557">
        <v>2158244021989629</v>
      </c>
      <c r="BE557" t="s">
        <v>9693</v>
      </c>
      <c r="BF557" t="str">
        <f>HYPERLINK("http://dx.doi.org/10.1177/2158244021989629","http://dx.doi.org/10.1177/2158244021989629")</f>
        <v>http://dx.doi.org/10.1177/2158244021989629</v>
      </c>
      <c r="BG557" t="s">
        <v>74</v>
      </c>
      <c r="BH557" t="s">
        <v>74</v>
      </c>
      <c r="BI557">
        <v>15</v>
      </c>
      <c r="BJ557" t="s">
        <v>8867</v>
      </c>
      <c r="BK557" t="s">
        <v>94</v>
      </c>
      <c r="BL557" t="s">
        <v>631</v>
      </c>
      <c r="BM557" t="s">
        <v>9694</v>
      </c>
      <c r="BN557" t="s">
        <v>74</v>
      </c>
      <c r="BO557" t="s">
        <v>2482</v>
      </c>
      <c r="BP557" t="s">
        <v>74</v>
      </c>
      <c r="BQ557" t="s">
        <v>74</v>
      </c>
      <c r="BR557" t="s">
        <v>97</v>
      </c>
      <c r="BS557" t="s">
        <v>9695</v>
      </c>
      <c r="BT557" t="str">
        <f>HYPERLINK("https%3A%2F%2Fwww.webofscience.com%2Fwos%2Fwoscc%2Ffull-record%2FWOS:000617168200001","View Full Record in Web of Science")</f>
        <v>View Full Record in Web of Science</v>
      </c>
    </row>
    <row r="558" spans="1:72" x14ac:dyDescent="0.25">
      <c r="A558" t="s">
        <v>72</v>
      </c>
      <c r="B558" t="s">
        <v>9696</v>
      </c>
      <c r="C558" t="s">
        <v>74</v>
      </c>
      <c r="D558" t="s">
        <v>74</v>
      </c>
      <c r="E558" t="s">
        <v>74</v>
      </c>
      <c r="F558" t="s">
        <v>9697</v>
      </c>
      <c r="G558" t="s">
        <v>74</v>
      </c>
      <c r="H558" t="s">
        <v>74</v>
      </c>
      <c r="I558" t="s">
        <v>9698</v>
      </c>
      <c r="J558" t="s">
        <v>2502</v>
      </c>
      <c r="K558" t="s">
        <v>74</v>
      </c>
      <c r="L558" t="s">
        <v>74</v>
      </c>
      <c r="M558" t="s">
        <v>77</v>
      </c>
      <c r="N558" t="s">
        <v>78</v>
      </c>
      <c r="O558" t="s">
        <v>74</v>
      </c>
      <c r="P558" t="s">
        <v>74</v>
      </c>
      <c r="Q558" t="s">
        <v>74</v>
      </c>
      <c r="R558" t="s">
        <v>74</v>
      </c>
      <c r="S558" t="s">
        <v>74</v>
      </c>
      <c r="T558" t="s">
        <v>9699</v>
      </c>
      <c r="U558" t="s">
        <v>9700</v>
      </c>
      <c r="V558" t="s">
        <v>9701</v>
      </c>
      <c r="W558" t="s">
        <v>9702</v>
      </c>
      <c r="X558" t="s">
        <v>9703</v>
      </c>
      <c r="Y558" t="s">
        <v>9704</v>
      </c>
      <c r="Z558" t="s">
        <v>9705</v>
      </c>
      <c r="AA558" t="s">
        <v>74</v>
      </c>
      <c r="AB558" t="s">
        <v>74</v>
      </c>
      <c r="AC558" t="s">
        <v>9706</v>
      </c>
      <c r="AD558" t="s">
        <v>9707</v>
      </c>
      <c r="AE558" t="s">
        <v>9708</v>
      </c>
      <c r="AF558" t="s">
        <v>74</v>
      </c>
      <c r="AG558">
        <v>74</v>
      </c>
      <c r="AH558">
        <v>12</v>
      </c>
      <c r="AI558">
        <v>12</v>
      </c>
      <c r="AJ558">
        <v>16</v>
      </c>
      <c r="AK558">
        <v>92</v>
      </c>
      <c r="AL558" t="s">
        <v>665</v>
      </c>
      <c r="AM558" t="s">
        <v>666</v>
      </c>
      <c r="AN558" t="s">
        <v>667</v>
      </c>
      <c r="AO558" t="s">
        <v>2510</v>
      </c>
      <c r="AP558" t="s">
        <v>2511</v>
      </c>
      <c r="AQ558" t="s">
        <v>74</v>
      </c>
      <c r="AR558" t="s">
        <v>2512</v>
      </c>
      <c r="AS558" t="s">
        <v>2513</v>
      </c>
      <c r="AT558" t="s">
        <v>9709</v>
      </c>
      <c r="AU558">
        <v>2022</v>
      </c>
      <c r="AV558">
        <v>51</v>
      </c>
      <c r="AW558">
        <v>1</v>
      </c>
      <c r="AX558" t="s">
        <v>74</v>
      </c>
      <c r="AY558" t="s">
        <v>74</v>
      </c>
      <c r="AZ558" t="s">
        <v>74</v>
      </c>
      <c r="BA558" t="s">
        <v>74</v>
      </c>
      <c r="BB558">
        <v>299</v>
      </c>
      <c r="BC558">
        <v>316</v>
      </c>
      <c r="BD558" t="s">
        <v>74</v>
      </c>
      <c r="BE558" t="s">
        <v>9710</v>
      </c>
      <c r="BF558" t="str">
        <f>HYPERLINK("http://dx.doi.org/10.1108/PR-02-2020-0078","http://dx.doi.org/10.1108/PR-02-2020-0078")</f>
        <v>http://dx.doi.org/10.1108/PR-02-2020-0078</v>
      </c>
      <c r="BG558" t="s">
        <v>74</v>
      </c>
      <c r="BH558" t="s">
        <v>8229</v>
      </c>
      <c r="BI558">
        <v>18</v>
      </c>
      <c r="BJ558" t="s">
        <v>2515</v>
      </c>
      <c r="BK558" t="s">
        <v>94</v>
      </c>
      <c r="BL558" t="s">
        <v>227</v>
      </c>
      <c r="BM558" t="s">
        <v>9711</v>
      </c>
      <c r="BN558" t="s">
        <v>74</v>
      </c>
      <c r="BO558" t="s">
        <v>74</v>
      </c>
      <c r="BP558" t="s">
        <v>74</v>
      </c>
      <c r="BQ558" t="s">
        <v>74</v>
      </c>
      <c r="BR558" t="s">
        <v>97</v>
      </c>
      <c r="BS558" t="s">
        <v>9712</v>
      </c>
      <c r="BT558" t="str">
        <f>HYPERLINK("https%3A%2F%2Fwww.webofscience.com%2Fwos%2Fwoscc%2Ffull-record%2FWOS:000599915400001","View Full Record in Web of Science")</f>
        <v>View Full Record in Web of Science</v>
      </c>
    </row>
    <row r="559" spans="1:72" x14ac:dyDescent="0.25">
      <c r="A559" t="s">
        <v>72</v>
      </c>
      <c r="B559" t="s">
        <v>9713</v>
      </c>
      <c r="C559" t="s">
        <v>74</v>
      </c>
      <c r="D559" t="s">
        <v>74</v>
      </c>
      <c r="E559" t="s">
        <v>74</v>
      </c>
      <c r="F559" t="s">
        <v>9714</v>
      </c>
      <c r="G559" t="s">
        <v>74</v>
      </c>
      <c r="H559" t="s">
        <v>74</v>
      </c>
      <c r="I559" t="s">
        <v>9715</v>
      </c>
      <c r="J559" t="s">
        <v>3184</v>
      </c>
      <c r="K559" t="s">
        <v>74</v>
      </c>
      <c r="L559" t="s">
        <v>74</v>
      </c>
      <c r="M559" t="s">
        <v>77</v>
      </c>
      <c r="N559" t="s">
        <v>78</v>
      </c>
      <c r="O559" t="s">
        <v>74</v>
      </c>
      <c r="P559" t="s">
        <v>74</v>
      </c>
      <c r="Q559" t="s">
        <v>74</v>
      </c>
      <c r="R559" t="s">
        <v>74</v>
      </c>
      <c r="S559" t="s">
        <v>74</v>
      </c>
      <c r="T559" t="s">
        <v>9716</v>
      </c>
      <c r="U559" t="s">
        <v>9717</v>
      </c>
      <c r="V559" t="s">
        <v>9718</v>
      </c>
      <c r="W559" t="s">
        <v>9719</v>
      </c>
      <c r="X559" t="s">
        <v>9720</v>
      </c>
      <c r="Y559" t="s">
        <v>9721</v>
      </c>
      <c r="Z559" t="s">
        <v>9722</v>
      </c>
      <c r="AA559" t="s">
        <v>74</v>
      </c>
      <c r="AB559" t="s">
        <v>74</v>
      </c>
      <c r="AC559" t="s">
        <v>9723</v>
      </c>
      <c r="AD559" t="s">
        <v>9724</v>
      </c>
      <c r="AE559" t="s">
        <v>9725</v>
      </c>
      <c r="AF559" t="s">
        <v>74</v>
      </c>
      <c r="AG559">
        <v>67</v>
      </c>
      <c r="AH559">
        <v>12</v>
      </c>
      <c r="AI559">
        <v>12</v>
      </c>
      <c r="AJ559">
        <v>9</v>
      </c>
      <c r="AK559">
        <v>62</v>
      </c>
      <c r="AL559" t="s">
        <v>3195</v>
      </c>
      <c r="AM559" t="s">
        <v>3196</v>
      </c>
      <c r="AN559" t="s">
        <v>3197</v>
      </c>
      <c r="AO559" t="s">
        <v>3198</v>
      </c>
      <c r="AP559" t="s">
        <v>74</v>
      </c>
      <c r="AQ559" t="s">
        <v>74</v>
      </c>
      <c r="AR559" t="s">
        <v>3199</v>
      </c>
      <c r="AS559" t="s">
        <v>3200</v>
      </c>
      <c r="AT559" t="s">
        <v>9726</v>
      </c>
      <c r="AU559">
        <v>2020</v>
      </c>
      <c r="AV559">
        <v>11</v>
      </c>
      <c r="AW559" t="s">
        <v>74</v>
      </c>
      <c r="AX559" t="s">
        <v>74</v>
      </c>
      <c r="AY559" t="s">
        <v>74</v>
      </c>
      <c r="AZ559" t="s">
        <v>74</v>
      </c>
      <c r="BA559" t="s">
        <v>74</v>
      </c>
      <c r="BB559" t="s">
        <v>74</v>
      </c>
      <c r="BC559" t="s">
        <v>74</v>
      </c>
      <c r="BD559">
        <v>592999</v>
      </c>
      <c r="BE559" t="s">
        <v>9727</v>
      </c>
      <c r="BF559" t="str">
        <f>HYPERLINK("http://dx.doi.org/10.3389/fpsyg.2020.592999","http://dx.doi.org/10.3389/fpsyg.2020.592999")</f>
        <v>http://dx.doi.org/10.3389/fpsyg.2020.592999</v>
      </c>
      <c r="BG559" t="s">
        <v>74</v>
      </c>
      <c r="BH559" t="s">
        <v>74</v>
      </c>
      <c r="BI559">
        <v>11</v>
      </c>
      <c r="BJ559" t="s">
        <v>3203</v>
      </c>
      <c r="BK559" t="s">
        <v>94</v>
      </c>
      <c r="BL559" t="s">
        <v>460</v>
      </c>
      <c r="BM559" t="s">
        <v>9728</v>
      </c>
      <c r="BN559">
        <v>33381068</v>
      </c>
      <c r="BO559" t="s">
        <v>3205</v>
      </c>
      <c r="BP559" t="s">
        <v>74</v>
      </c>
      <c r="BQ559" t="s">
        <v>74</v>
      </c>
      <c r="BR559" t="s">
        <v>97</v>
      </c>
      <c r="BS559" t="s">
        <v>9729</v>
      </c>
      <c r="BT559" t="str">
        <f>HYPERLINK("https%3A%2F%2Fwww.webofscience.com%2Fwos%2Fwoscc%2Ffull-record%2FWOS:000602581800001","View Full Record in Web of Science")</f>
        <v>View Full Record in Web of Science</v>
      </c>
    </row>
    <row r="560" spans="1:72" x14ac:dyDescent="0.25">
      <c r="A560" t="s">
        <v>72</v>
      </c>
      <c r="B560" t="s">
        <v>9730</v>
      </c>
      <c r="C560" t="s">
        <v>74</v>
      </c>
      <c r="D560" t="s">
        <v>74</v>
      </c>
      <c r="E560" t="s">
        <v>74</v>
      </c>
      <c r="F560" t="s">
        <v>9731</v>
      </c>
      <c r="G560" t="s">
        <v>74</v>
      </c>
      <c r="H560" t="s">
        <v>74</v>
      </c>
      <c r="I560" t="s">
        <v>9732</v>
      </c>
      <c r="J560" t="s">
        <v>4134</v>
      </c>
      <c r="K560" t="s">
        <v>74</v>
      </c>
      <c r="L560" t="s">
        <v>74</v>
      </c>
      <c r="M560" t="s">
        <v>77</v>
      </c>
      <c r="N560" t="s">
        <v>78</v>
      </c>
      <c r="O560" t="s">
        <v>74</v>
      </c>
      <c r="P560" t="s">
        <v>74</v>
      </c>
      <c r="Q560" t="s">
        <v>74</v>
      </c>
      <c r="R560" t="s">
        <v>74</v>
      </c>
      <c r="S560" t="s">
        <v>74</v>
      </c>
      <c r="T560" t="s">
        <v>9733</v>
      </c>
      <c r="U560" t="s">
        <v>9734</v>
      </c>
      <c r="V560" t="s">
        <v>9735</v>
      </c>
      <c r="W560" t="s">
        <v>9736</v>
      </c>
      <c r="X560" t="s">
        <v>9737</v>
      </c>
      <c r="Y560" t="s">
        <v>9738</v>
      </c>
      <c r="Z560" t="s">
        <v>9739</v>
      </c>
      <c r="AA560" t="s">
        <v>9740</v>
      </c>
      <c r="AB560" t="s">
        <v>9741</v>
      </c>
      <c r="AC560" t="s">
        <v>74</v>
      </c>
      <c r="AD560" t="s">
        <v>74</v>
      </c>
      <c r="AE560" t="s">
        <v>74</v>
      </c>
      <c r="AF560" t="s">
        <v>74</v>
      </c>
      <c r="AG560">
        <v>81</v>
      </c>
      <c r="AH560">
        <v>12</v>
      </c>
      <c r="AI560">
        <v>12</v>
      </c>
      <c r="AJ560">
        <v>3</v>
      </c>
      <c r="AK560">
        <v>60</v>
      </c>
      <c r="AL560" t="s">
        <v>665</v>
      </c>
      <c r="AM560" t="s">
        <v>666</v>
      </c>
      <c r="AN560" t="s">
        <v>667</v>
      </c>
      <c r="AO560" t="s">
        <v>4144</v>
      </c>
      <c r="AP560" t="s">
        <v>4145</v>
      </c>
      <c r="AQ560" t="s">
        <v>74</v>
      </c>
      <c r="AR560" t="s">
        <v>4146</v>
      </c>
      <c r="AS560" t="s">
        <v>4147</v>
      </c>
      <c r="AT560" t="s">
        <v>9742</v>
      </c>
      <c r="AU560">
        <v>2020</v>
      </c>
      <c r="AV560">
        <v>23</v>
      </c>
      <c r="AW560">
        <v>5</v>
      </c>
      <c r="AX560" t="s">
        <v>74</v>
      </c>
      <c r="AY560" t="s">
        <v>74</v>
      </c>
      <c r="AZ560" t="s">
        <v>74</v>
      </c>
      <c r="BA560" t="s">
        <v>74</v>
      </c>
      <c r="BB560">
        <v>877</v>
      </c>
      <c r="BC560">
        <v>894</v>
      </c>
      <c r="BD560" t="s">
        <v>74</v>
      </c>
      <c r="BE560" t="s">
        <v>9743</v>
      </c>
      <c r="BF560" t="str">
        <f>HYPERLINK("http://dx.doi.org/10.1108/EJIM-06-2019-0168","http://dx.doi.org/10.1108/EJIM-06-2019-0168")</f>
        <v>http://dx.doi.org/10.1108/EJIM-06-2019-0168</v>
      </c>
      <c r="BG560" t="s">
        <v>74</v>
      </c>
      <c r="BH560" t="s">
        <v>74</v>
      </c>
      <c r="BI560">
        <v>18</v>
      </c>
      <c r="BJ560" t="s">
        <v>93</v>
      </c>
      <c r="BK560" t="s">
        <v>94</v>
      </c>
      <c r="BL560" t="s">
        <v>95</v>
      </c>
      <c r="BM560" t="s">
        <v>9744</v>
      </c>
      <c r="BN560" t="s">
        <v>74</v>
      </c>
      <c r="BO560" t="s">
        <v>74</v>
      </c>
      <c r="BP560" t="s">
        <v>74</v>
      </c>
      <c r="BQ560" t="s">
        <v>74</v>
      </c>
      <c r="BR560" t="s">
        <v>97</v>
      </c>
      <c r="BS560" t="s">
        <v>9745</v>
      </c>
      <c r="BT560" t="str">
        <f>HYPERLINK("https%3A%2F%2Fwww.webofscience.com%2Fwos%2Fwoscc%2Ffull-record%2FWOS:000570206100007","View Full Record in Web of Science")</f>
        <v>View Full Record in Web of Science</v>
      </c>
    </row>
    <row r="561" spans="1:72" x14ac:dyDescent="0.25">
      <c r="A561" t="s">
        <v>72</v>
      </c>
      <c r="B561" t="s">
        <v>9746</v>
      </c>
      <c r="C561" t="s">
        <v>74</v>
      </c>
      <c r="D561" t="s">
        <v>74</v>
      </c>
      <c r="E561" t="s">
        <v>74</v>
      </c>
      <c r="F561" t="s">
        <v>9747</v>
      </c>
      <c r="G561" t="s">
        <v>74</v>
      </c>
      <c r="H561" t="s">
        <v>74</v>
      </c>
      <c r="I561" t="s">
        <v>9748</v>
      </c>
      <c r="J561" t="s">
        <v>2463</v>
      </c>
      <c r="K561" t="s">
        <v>74</v>
      </c>
      <c r="L561" t="s">
        <v>74</v>
      </c>
      <c r="M561" t="s">
        <v>77</v>
      </c>
      <c r="N561" t="s">
        <v>78</v>
      </c>
      <c r="O561" t="s">
        <v>74</v>
      </c>
      <c r="P561" t="s">
        <v>74</v>
      </c>
      <c r="Q561" t="s">
        <v>74</v>
      </c>
      <c r="R561" t="s">
        <v>74</v>
      </c>
      <c r="S561" t="s">
        <v>74</v>
      </c>
      <c r="T561" t="s">
        <v>9749</v>
      </c>
      <c r="U561" t="s">
        <v>9750</v>
      </c>
      <c r="V561" t="s">
        <v>9751</v>
      </c>
      <c r="W561" t="s">
        <v>9752</v>
      </c>
      <c r="X561" t="s">
        <v>9753</v>
      </c>
      <c r="Y561" t="s">
        <v>9754</v>
      </c>
      <c r="Z561" t="s">
        <v>9755</v>
      </c>
      <c r="AA561" t="s">
        <v>9756</v>
      </c>
      <c r="AB561" t="s">
        <v>9757</v>
      </c>
      <c r="AC561" t="s">
        <v>9758</v>
      </c>
      <c r="AD561" t="s">
        <v>9759</v>
      </c>
      <c r="AE561" t="s">
        <v>9760</v>
      </c>
      <c r="AF561" t="s">
        <v>74</v>
      </c>
      <c r="AG561">
        <v>46</v>
      </c>
      <c r="AH561">
        <v>12</v>
      </c>
      <c r="AI561">
        <v>12</v>
      </c>
      <c r="AJ561">
        <v>11</v>
      </c>
      <c r="AK561">
        <v>65</v>
      </c>
      <c r="AL561" t="s">
        <v>2473</v>
      </c>
      <c r="AM561" t="s">
        <v>2102</v>
      </c>
      <c r="AN561" t="s">
        <v>2474</v>
      </c>
      <c r="AO561" t="s">
        <v>74</v>
      </c>
      <c r="AP561" t="s">
        <v>2475</v>
      </c>
      <c r="AQ561" t="s">
        <v>74</v>
      </c>
      <c r="AR561" t="s">
        <v>2476</v>
      </c>
      <c r="AS561" t="s">
        <v>2477</v>
      </c>
      <c r="AT561" t="s">
        <v>256</v>
      </c>
      <c r="AU561">
        <v>2020</v>
      </c>
      <c r="AV561">
        <v>12</v>
      </c>
      <c r="AW561">
        <v>20</v>
      </c>
      <c r="AX561" t="s">
        <v>74</v>
      </c>
      <c r="AY561" t="s">
        <v>74</v>
      </c>
      <c r="AZ561" t="s">
        <v>74</v>
      </c>
      <c r="BA561" t="s">
        <v>74</v>
      </c>
      <c r="BB561" t="s">
        <v>74</v>
      </c>
      <c r="BC561" t="s">
        <v>74</v>
      </c>
      <c r="BD561">
        <v>8604</v>
      </c>
      <c r="BE561" t="s">
        <v>9761</v>
      </c>
      <c r="BF561" t="str">
        <f>HYPERLINK("http://dx.doi.org/10.3390/su12208604","http://dx.doi.org/10.3390/su12208604")</f>
        <v>http://dx.doi.org/10.3390/su12208604</v>
      </c>
      <c r="BG561" t="s">
        <v>74</v>
      </c>
      <c r="BH561" t="s">
        <v>74</v>
      </c>
      <c r="BI561">
        <v>15</v>
      </c>
      <c r="BJ561" t="s">
        <v>2479</v>
      </c>
      <c r="BK561" t="s">
        <v>147</v>
      </c>
      <c r="BL561" t="s">
        <v>2480</v>
      </c>
      <c r="BM561" t="s">
        <v>9762</v>
      </c>
      <c r="BN561" t="s">
        <v>74</v>
      </c>
      <c r="BO561" t="s">
        <v>4398</v>
      </c>
      <c r="BP561" t="s">
        <v>74</v>
      </c>
      <c r="BQ561" t="s">
        <v>74</v>
      </c>
      <c r="BR561" t="s">
        <v>97</v>
      </c>
      <c r="BS561" t="s">
        <v>9763</v>
      </c>
      <c r="BT561" t="str">
        <f>HYPERLINK("https%3A%2F%2Fwww.webofscience.com%2Fwos%2Fwoscc%2Ffull-record%2FWOS:000583113400001","View Full Record in Web of Science")</f>
        <v>View Full Record in Web of Science</v>
      </c>
    </row>
    <row r="562" spans="1:72" x14ac:dyDescent="0.25">
      <c r="A562" t="s">
        <v>72</v>
      </c>
      <c r="B562" t="s">
        <v>9764</v>
      </c>
      <c r="C562" t="s">
        <v>74</v>
      </c>
      <c r="D562" t="s">
        <v>74</v>
      </c>
      <c r="E562" t="s">
        <v>74</v>
      </c>
      <c r="F562" t="s">
        <v>9765</v>
      </c>
      <c r="G562" t="s">
        <v>74</v>
      </c>
      <c r="H562" t="s">
        <v>74</v>
      </c>
      <c r="I562" t="s">
        <v>9766</v>
      </c>
      <c r="J562" t="s">
        <v>2297</v>
      </c>
      <c r="K562" t="s">
        <v>74</v>
      </c>
      <c r="L562" t="s">
        <v>74</v>
      </c>
      <c r="M562" t="s">
        <v>77</v>
      </c>
      <c r="N562" t="s">
        <v>78</v>
      </c>
      <c r="O562" t="s">
        <v>74</v>
      </c>
      <c r="P562" t="s">
        <v>74</v>
      </c>
      <c r="Q562" t="s">
        <v>74</v>
      </c>
      <c r="R562" t="s">
        <v>74</v>
      </c>
      <c r="S562" t="s">
        <v>74</v>
      </c>
      <c r="T562" t="s">
        <v>9767</v>
      </c>
      <c r="U562" t="s">
        <v>9768</v>
      </c>
      <c r="V562" t="s">
        <v>9769</v>
      </c>
      <c r="W562" t="s">
        <v>9770</v>
      </c>
      <c r="X562" t="s">
        <v>9771</v>
      </c>
      <c r="Y562" t="s">
        <v>9772</v>
      </c>
      <c r="Z562" t="s">
        <v>9773</v>
      </c>
      <c r="AA562" t="s">
        <v>74</v>
      </c>
      <c r="AB562" t="s">
        <v>74</v>
      </c>
      <c r="AC562" t="s">
        <v>9774</v>
      </c>
      <c r="AD562" t="s">
        <v>9775</v>
      </c>
      <c r="AE562" t="s">
        <v>9776</v>
      </c>
      <c r="AF562" t="s">
        <v>74</v>
      </c>
      <c r="AG562">
        <v>50</v>
      </c>
      <c r="AH562">
        <v>12</v>
      </c>
      <c r="AI562">
        <v>12</v>
      </c>
      <c r="AJ562">
        <v>4</v>
      </c>
      <c r="AK562">
        <v>71</v>
      </c>
      <c r="AL562" t="s">
        <v>2304</v>
      </c>
      <c r="AM562" t="s">
        <v>160</v>
      </c>
      <c r="AN562" t="s">
        <v>2305</v>
      </c>
      <c r="AO562" t="s">
        <v>2306</v>
      </c>
      <c r="AP562" t="s">
        <v>74</v>
      </c>
      <c r="AQ562" t="s">
        <v>74</v>
      </c>
      <c r="AR562" t="s">
        <v>2307</v>
      </c>
      <c r="AS562" t="s">
        <v>2308</v>
      </c>
      <c r="AT562" t="s">
        <v>1614</v>
      </c>
      <c r="AU562">
        <v>2020</v>
      </c>
      <c r="AV562">
        <v>163</v>
      </c>
      <c r="AW562" t="s">
        <v>74</v>
      </c>
      <c r="AX562" t="s">
        <v>74</v>
      </c>
      <c r="AY562" t="s">
        <v>74</v>
      </c>
      <c r="AZ562" t="s">
        <v>74</v>
      </c>
      <c r="BA562" t="s">
        <v>74</v>
      </c>
      <c r="BB562" t="s">
        <v>74</v>
      </c>
      <c r="BC562" t="s">
        <v>74</v>
      </c>
      <c r="BD562">
        <v>110078</v>
      </c>
      <c r="BE562" t="s">
        <v>9777</v>
      </c>
      <c r="BF562" t="str">
        <f>HYPERLINK("http://dx.doi.org/10.1016/j.paid.2020.110078","http://dx.doi.org/10.1016/j.paid.2020.110078")</f>
        <v>http://dx.doi.org/10.1016/j.paid.2020.110078</v>
      </c>
      <c r="BG562" t="s">
        <v>74</v>
      </c>
      <c r="BH562" t="s">
        <v>74</v>
      </c>
      <c r="BI562">
        <v>7</v>
      </c>
      <c r="BJ562" t="s">
        <v>459</v>
      </c>
      <c r="BK562" t="s">
        <v>94</v>
      </c>
      <c r="BL562" t="s">
        <v>460</v>
      </c>
      <c r="BM562" t="s">
        <v>9778</v>
      </c>
      <c r="BN562" t="s">
        <v>74</v>
      </c>
      <c r="BO562" t="s">
        <v>74</v>
      </c>
      <c r="BP562" t="s">
        <v>74</v>
      </c>
      <c r="BQ562" t="s">
        <v>74</v>
      </c>
      <c r="BR562" t="s">
        <v>97</v>
      </c>
      <c r="BS562" t="s">
        <v>9779</v>
      </c>
      <c r="BT562" t="str">
        <f>HYPERLINK("https%3A%2F%2Fwww.webofscience.com%2Fwos%2Fwoscc%2Ffull-record%2FWOS:000537549100002","View Full Record in Web of Science")</f>
        <v>View Full Record in Web of Science</v>
      </c>
    </row>
    <row r="563" spans="1:72" x14ac:dyDescent="0.25">
      <c r="A563" t="s">
        <v>72</v>
      </c>
      <c r="B563" t="s">
        <v>9780</v>
      </c>
      <c r="C563" t="s">
        <v>74</v>
      </c>
      <c r="D563" t="s">
        <v>74</v>
      </c>
      <c r="E563" t="s">
        <v>74</v>
      </c>
      <c r="F563" t="s">
        <v>9781</v>
      </c>
      <c r="G563" t="s">
        <v>74</v>
      </c>
      <c r="H563" t="s">
        <v>74</v>
      </c>
      <c r="I563" t="s">
        <v>9782</v>
      </c>
      <c r="J563" t="s">
        <v>6372</v>
      </c>
      <c r="K563" t="s">
        <v>74</v>
      </c>
      <c r="L563" t="s">
        <v>74</v>
      </c>
      <c r="M563" t="s">
        <v>77</v>
      </c>
      <c r="N563" t="s">
        <v>78</v>
      </c>
      <c r="O563" t="s">
        <v>74</v>
      </c>
      <c r="P563" t="s">
        <v>74</v>
      </c>
      <c r="Q563" t="s">
        <v>74</v>
      </c>
      <c r="R563" t="s">
        <v>74</v>
      </c>
      <c r="S563" t="s">
        <v>74</v>
      </c>
      <c r="T563" t="s">
        <v>9783</v>
      </c>
      <c r="U563" t="s">
        <v>9784</v>
      </c>
      <c r="V563" t="s">
        <v>9785</v>
      </c>
      <c r="W563" t="s">
        <v>9786</v>
      </c>
      <c r="X563" t="s">
        <v>9787</v>
      </c>
      <c r="Y563" t="s">
        <v>9788</v>
      </c>
      <c r="Z563" t="s">
        <v>9789</v>
      </c>
      <c r="AA563" t="s">
        <v>9790</v>
      </c>
      <c r="AB563" t="s">
        <v>9791</v>
      </c>
      <c r="AC563" t="s">
        <v>9792</v>
      </c>
      <c r="AD563" t="s">
        <v>9793</v>
      </c>
      <c r="AE563" t="s">
        <v>9794</v>
      </c>
      <c r="AF563" t="s">
        <v>74</v>
      </c>
      <c r="AG563">
        <v>75</v>
      </c>
      <c r="AH563">
        <v>12</v>
      </c>
      <c r="AI563">
        <v>12</v>
      </c>
      <c r="AJ563">
        <v>19</v>
      </c>
      <c r="AK563">
        <v>81</v>
      </c>
      <c r="AL563" t="s">
        <v>2473</v>
      </c>
      <c r="AM563" t="s">
        <v>2102</v>
      </c>
      <c r="AN563" t="s">
        <v>2474</v>
      </c>
      <c r="AO563" t="s">
        <v>74</v>
      </c>
      <c r="AP563" t="s">
        <v>6384</v>
      </c>
      <c r="AQ563" t="s">
        <v>74</v>
      </c>
      <c r="AR563" t="s">
        <v>6385</v>
      </c>
      <c r="AS563" t="s">
        <v>6386</v>
      </c>
      <c r="AT563" t="s">
        <v>792</v>
      </c>
      <c r="AU563">
        <v>2020</v>
      </c>
      <c r="AV563">
        <v>17</v>
      </c>
      <c r="AW563">
        <v>13</v>
      </c>
      <c r="AX563" t="s">
        <v>74</v>
      </c>
      <c r="AY563" t="s">
        <v>74</v>
      </c>
      <c r="AZ563" t="s">
        <v>74</v>
      </c>
      <c r="BA563" t="s">
        <v>74</v>
      </c>
      <c r="BB563" t="s">
        <v>74</v>
      </c>
      <c r="BC563" t="s">
        <v>74</v>
      </c>
      <c r="BD563">
        <v>4753</v>
      </c>
      <c r="BE563" t="s">
        <v>9795</v>
      </c>
      <c r="BF563" t="str">
        <f>HYPERLINK("http://dx.doi.org/10.3390/ijerph17134753","http://dx.doi.org/10.3390/ijerph17134753")</f>
        <v>http://dx.doi.org/10.3390/ijerph17134753</v>
      </c>
      <c r="BG563" t="s">
        <v>74</v>
      </c>
      <c r="BH563" t="s">
        <v>74</v>
      </c>
      <c r="BI563">
        <v>14</v>
      </c>
      <c r="BJ563" t="s">
        <v>6388</v>
      </c>
      <c r="BK563" t="s">
        <v>147</v>
      </c>
      <c r="BL563" t="s">
        <v>6389</v>
      </c>
      <c r="BM563" t="s">
        <v>9796</v>
      </c>
      <c r="BN563">
        <v>32630620</v>
      </c>
      <c r="BO563" t="s">
        <v>4398</v>
      </c>
      <c r="BP563" t="s">
        <v>74</v>
      </c>
      <c r="BQ563" t="s">
        <v>74</v>
      </c>
      <c r="BR563" t="s">
        <v>97</v>
      </c>
      <c r="BS563" t="s">
        <v>9797</v>
      </c>
      <c r="BT563" t="str">
        <f>HYPERLINK("https%3A%2F%2Fwww.webofscience.com%2Fwos%2Fwoscc%2Ffull-record%2FWOS:000550368300001","View Full Record in Web of Science")</f>
        <v>View Full Record in Web of Science</v>
      </c>
    </row>
    <row r="564" spans="1:72" x14ac:dyDescent="0.25">
      <c r="A564" t="s">
        <v>72</v>
      </c>
      <c r="B564" t="s">
        <v>9798</v>
      </c>
      <c r="C564" t="s">
        <v>74</v>
      </c>
      <c r="D564" t="s">
        <v>74</v>
      </c>
      <c r="E564" t="s">
        <v>74</v>
      </c>
      <c r="F564" t="s">
        <v>9799</v>
      </c>
      <c r="G564" t="s">
        <v>74</v>
      </c>
      <c r="H564" t="s">
        <v>74</v>
      </c>
      <c r="I564" t="s">
        <v>9800</v>
      </c>
      <c r="J564" t="s">
        <v>3424</v>
      </c>
      <c r="K564" t="s">
        <v>74</v>
      </c>
      <c r="L564" t="s">
        <v>74</v>
      </c>
      <c r="M564" t="s">
        <v>77</v>
      </c>
      <c r="N564" t="s">
        <v>78</v>
      </c>
      <c r="O564" t="s">
        <v>74</v>
      </c>
      <c r="P564" t="s">
        <v>74</v>
      </c>
      <c r="Q564" t="s">
        <v>74</v>
      </c>
      <c r="R564" t="s">
        <v>74</v>
      </c>
      <c r="S564" t="s">
        <v>74</v>
      </c>
      <c r="T564" t="s">
        <v>9801</v>
      </c>
      <c r="U564" t="s">
        <v>9802</v>
      </c>
      <c r="V564" t="s">
        <v>9803</v>
      </c>
      <c r="W564" t="s">
        <v>9804</v>
      </c>
      <c r="X564" t="s">
        <v>9805</v>
      </c>
      <c r="Y564" t="s">
        <v>9806</v>
      </c>
      <c r="Z564" t="s">
        <v>9807</v>
      </c>
      <c r="AA564" t="s">
        <v>74</v>
      </c>
      <c r="AB564" t="s">
        <v>74</v>
      </c>
      <c r="AC564" t="s">
        <v>9808</v>
      </c>
      <c r="AD564" t="s">
        <v>5593</v>
      </c>
      <c r="AE564" t="s">
        <v>9809</v>
      </c>
      <c r="AF564" t="s">
        <v>74</v>
      </c>
      <c r="AG564">
        <v>75</v>
      </c>
      <c r="AH564">
        <v>12</v>
      </c>
      <c r="AI564">
        <v>12</v>
      </c>
      <c r="AJ564">
        <v>14</v>
      </c>
      <c r="AK564">
        <v>74</v>
      </c>
      <c r="AL564" t="s">
        <v>218</v>
      </c>
      <c r="AM564" t="s">
        <v>219</v>
      </c>
      <c r="AN564" t="s">
        <v>220</v>
      </c>
      <c r="AO564" t="s">
        <v>3431</v>
      </c>
      <c r="AP564" t="s">
        <v>3432</v>
      </c>
      <c r="AQ564" t="s">
        <v>74</v>
      </c>
      <c r="AR564" t="s">
        <v>3433</v>
      </c>
      <c r="AS564" t="s">
        <v>3434</v>
      </c>
      <c r="AT564" t="s">
        <v>122</v>
      </c>
      <c r="AU564">
        <v>2020</v>
      </c>
      <c r="AV564">
        <v>58</v>
      </c>
      <c r="AW564">
        <v>2</v>
      </c>
      <c r="AX564" t="s">
        <v>74</v>
      </c>
      <c r="AY564" t="s">
        <v>74</v>
      </c>
      <c r="AZ564" t="s">
        <v>74</v>
      </c>
      <c r="BA564" t="s">
        <v>74</v>
      </c>
      <c r="BB564">
        <v>197</v>
      </c>
      <c r="BC564">
        <v>219</v>
      </c>
      <c r="BD564" t="s">
        <v>74</v>
      </c>
      <c r="BE564" t="s">
        <v>9810</v>
      </c>
      <c r="BF564" t="str">
        <f>HYPERLINK("http://dx.doi.org/10.1111/1744-7941.12217","http://dx.doi.org/10.1111/1744-7941.12217")</f>
        <v>http://dx.doi.org/10.1111/1744-7941.12217</v>
      </c>
      <c r="BG564" t="s">
        <v>74</v>
      </c>
      <c r="BH564" t="s">
        <v>74</v>
      </c>
      <c r="BI564">
        <v>23</v>
      </c>
      <c r="BJ564" t="s">
        <v>673</v>
      </c>
      <c r="BK564" t="s">
        <v>94</v>
      </c>
      <c r="BL564" t="s">
        <v>95</v>
      </c>
      <c r="BM564" t="s">
        <v>9811</v>
      </c>
      <c r="BN564" t="s">
        <v>74</v>
      </c>
      <c r="BO564" t="s">
        <v>74</v>
      </c>
      <c r="BP564" t="s">
        <v>74</v>
      </c>
      <c r="BQ564" t="s">
        <v>74</v>
      </c>
      <c r="BR564" t="s">
        <v>97</v>
      </c>
      <c r="BS564" t="s">
        <v>9812</v>
      </c>
      <c r="BT564" t="str">
        <f>HYPERLINK("https%3A%2F%2Fwww.webofscience.com%2Fwos%2Fwoscc%2Ffull-record%2FWOS:000522538800002","View Full Record in Web of Science")</f>
        <v>View Full Record in Web of Science</v>
      </c>
    </row>
    <row r="565" spans="1:72" x14ac:dyDescent="0.25">
      <c r="A565" t="s">
        <v>72</v>
      </c>
      <c r="B565" t="s">
        <v>9813</v>
      </c>
      <c r="C565" t="s">
        <v>74</v>
      </c>
      <c r="D565" t="s">
        <v>74</v>
      </c>
      <c r="E565" t="s">
        <v>74</v>
      </c>
      <c r="F565" t="s">
        <v>9814</v>
      </c>
      <c r="G565" t="s">
        <v>74</v>
      </c>
      <c r="H565" t="s">
        <v>74</v>
      </c>
      <c r="I565" t="s">
        <v>9815</v>
      </c>
      <c r="J565" t="s">
        <v>4207</v>
      </c>
      <c r="K565" t="s">
        <v>74</v>
      </c>
      <c r="L565" t="s">
        <v>74</v>
      </c>
      <c r="M565" t="s">
        <v>77</v>
      </c>
      <c r="N565" t="s">
        <v>78</v>
      </c>
      <c r="O565" t="s">
        <v>74</v>
      </c>
      <c r="P565" t="s">
        <v>74</v>
      </c>
      <c r="Q565" t="s">
        <v>74</v>
      </c>
      <c r="R565" t="s">
        <v>74</v>
      </c>
      <c r="S565" t="s">
        <v>74</v>
      </c>
      <c r="T565" t="s">
        <v>9816</v>
      </c>
      <c r="U565" t="s">
        <v>9817</v>
      </c>
      <c r="V565" t="s">
        <v>9818</v>
      </c>
      <c r="W565" t="s">
        <v>9819</v>
      </c>
      <c r="X565" t="s">
        <v>1262</v>
      </c>
      <c r="Y565" t="s">
        <v>9820</v>
      </c>
      <c r="Z565" t="s">
        <v>7716</v>
      </c>
      <c r="AA565" t="s">
        <v>74</v>
      </c>
      <c r="AB565" t="s">
        <v>7717</v>
      </c>
      <c r="AC565" t="s">
        <v>9821</v>
      </c>
      <c r="AD565" t="s">
        <v>9822</v>
      </c>
      <c r="AE565" t="s">
        <v>9823</v>
      </c>
      <c r="AF565" t="s">
        <v>74</v>
      </c>
      <c r="AG565">
        <v>109</v>
      </c>
      <c r="AH565">
        <v>12</v>
      </c>
      <c r="AI565">
        <v>12</v>
      </c>
      <c r="AJ565">
        <v>5</v>
      </c>
      <c r="AK565">
        <v>29</v>
      </c>
      <c r="AL565" t="s">
        <v>350</v>
      </c>
      <c r="AM565" t="s">
        <v>351</v>
      </c>
      <c r="AN565" t="s">
        <v>352</v>
      </c>
      <c r="AO565" t="s">
        <v>4217</v>
      </c>
      <c r="AP565" t="s">
        <v>4218</v>
      </c>
      <c r="AQ565" t="s">
        <v>74</v>
      </c>
      <c r="AR565" t="s">
        <v>4219</v>
      </c>
      <c r="AS565" t="s">
        <v>4220</v>
      </c>
      <c r="AT565" t="s">
        <v>91</v>
      </c>
      <c r="AU565">
        <v>2020</v>
      </c>
      <c r="AV565">
        <v>56</v>
      </c>
      <c r="AW565">
        <v>2</v>
      </c>
      <c r="AX565" t="s">
        <v>74</v>
      </c>
      <c r="AY565" t="s">
        <v>74</v>
      </c>
      <c r="AZ565" t="s">
        <v>74</v>
      </c>
      <c r="BA565" t="s">
        <v>74</v>
      </c>
      <c r="BB565">
        <v>166</v>
      </c>
      <c r="BC565">
        <v>194</v>
      </c>
      <c r="BD565">
        <v>21886320910558</v>
      </c>
      <c r="BE565" t="s">
        <v>9824</v>
      </c>
      <c r="BF565" t="str">
        <f>HYPERLINK("http://dx.doi.org/10.1177/0021886320910558","http://dx.doi.org/10.1177/0021886320910558")</f>
        <v>http://dx.doi.org/10.1177/0021886320910558</v>
      </c>
      <c r="BG565" t="s">
        <v>74</v>
      </c>
      <c r="BH565" t="s">
        <v>6160</v>
      </c>
      <c r="BI565">
        <v>29</v>
      </c>
      <c r="BJ565" t="s">
        <v>4222</v>
      </c>
      <c r="BK565" t="s">
        <v>94</v>
      </c>
      <c r="BL565" t="s">
        <v>4223</v>
      </c>
      <c r="BM565" t="s">
        <v>9825</v>
      </c>
      <c r="BN565" t="s">
        <v>74</v>
      </c>
      <c r="BO565" t="s">
        <v>74</v>
      </c>
      <c r="BP565" t="s">
        <v>74</v>
      </c>
      <c r="BQ565" t="s">
        <v>74</v>
      </c>
      <c r="BR565" t="s">
        <v>97</v>
      </c>
      <c r="BS565" t="s">
        <v>9826</v>
      </c>
      <c r="BT565" t="str">
        <f>HYPERLINK("https%3A%2F%2Fwww.webofscience.com%2Fwos%2Fwoscc%2Ffull-record%2FWOS:000523779400001","View Full Record in Web of Science")</f>
        <v>View Full Record in Web of Science</v>
      </c>
    </row>
    <row r="566" spans="1:72" x14ac:dyDescent="0.25">
      <c r="A566" t="s">
        <v>72</v>
      </c>
      <c r="B566" t="s">
        <v>9827</v>
      </c>
      <c r="C566" t="s">
        <v>74</v>
      </c>
      <c r="D566" t="s">
        <v>74</v>
      </c>
      <c r="E566" t="s">
        <v>74</v>
      </c>
      <c r="F566" t="s">
        <v>9828</v>
      </c>
      <c r="G566" t="s">
        <v>74</v>
      </c>
      <c r="H566" t="s">
        <v>74</v>
      </c>
      <c r="I566" t="s">
        <v>9829</v>
      </c>
      <c r="J566" t="s">
        <v>9830</v>
      </c>
      <c r="K566" t="s">
        <v>74</v>
      </c>
      <c r="L566" t="s">
        <v>74</v>
      </c>
      <c r="M566" t="s">
        <v>77</v>
      </c>
      <c r="N566" t="s">
        <v>78</v>
      </c>
      <c r="O566" t="s">
        <v>74</v>
      </c>
      <c r="P566" t="s">
        <v>74</v>
      </c>
      <c r="Q566" t="s">
        <v>74</v>
      </c>
      <c r="R566" t="s">
        <v>74</v>
      </c>
      <c r="S566" t="s">
        <v>74</v>
      </c>
      <c r="T566" t="s">
        <v>9831</v>
      </c>
      <c r="U566" t="s">
        <v>9832</v>
      </c>
      <c r="V566" t="s">
        <v>9833</v>
      </c>
      <c r="W566" t="s">
        <v>9834</v>
      </c>
      <c r="X566" t="s">
        <v>9835</v>
      </c>
      <c r="Y566" t="s">
        <v>9836</v>
      </c>
      <c r="Z566" t="s">
        <v>9837</v>
      </c>
      <c r="AA566" t="s">
        <v>9838</v>
      </c>
      <c r="AB566" t="s">
        <v>9839</v>
      </c>
      <c r="AC566" t="s">
        <v>74</v>
      </c>
      <c r="AD566" t="s">
        <v>74</v>
      </c>
      <c r="AE566" t="s">
        <v>74</v>
      </c>
      <c r="AF566" t="s">
        <v>74</v>
      </c>
      <c r="AG566">
        <v>80</v>
      </c>
      <c r="AH566">
        <v>12</v>
      </c>
      <c r="AI566">
        <v>12</v>
      </c>
      <c r="AJ566">
        <v>3</v>
      </c>
      <c r="AK566">
        <v>46</v>
      </c>
      <c r="AL566" t="s">
        <v>1099</v>
      </c>
      <c r="AM566" t="s">
        <v>305</v>
      </c>
      <c r="AN566" t="s">
        <v>1100</v>
      </c>
      <c r="AO566" t="s">
        <v>9840</v>
      </c>
      <c r="AP566" t="s">
        <v>9841</v>
      </c>
      <c r="AQ566" t="s">
        <v>74</v>
      </c>
      <c r="AR566" t="s">
        <v>9842</v>
      </c>
      <c r="AS566" t="s">
        <v>9843</v>
      </c>
      <c r="AT566" t="s">
        <v>9844</v>
      </c>
      <c r="AU566">
        <v>2019</v>
      </c>
      <c r="AV566">
        <v>24</v>
      </c>
      <c r="AW566">
        <v>7</v>
      </c>
      <c r="AX566" t="s">
        <v>74</v>
      </c>
      <c r="AY566" t="s">
        <v>74</v>
      </c>
      <c r="AZ566" t="s">
        <v>74</v>
      </c>
      <c r="BA566" t="s">
        <v>74</v>
      </c>
      <c r="BB566">
        <v>895</v>
      </c>
      <c r="BC566">
        <v>909</v>
      </c>
      <c r="BD566" t="s">
        <v>74</v>
      </c>
      <c r="BE566" t="s">
        <v>9845</v>
      </c>
      <c r="BF566" t="str">
        <f>HYPERLINK("http://dx.doi.org/10.1080/13562517.2018.1516636","http://dx.doi.org/10.1080/13562517.2018.1516636")</f>
        <v>http://dx.doi.org/10.1080/13562517.2018.1516636</v>
      </c>
      <c r="BG566" t="s">
        <v>74</v>
      </c>
      <c r="BH566" t="s">
        <v>74</v>
      </c>
      <c r="BI566">
        <v>15</v>
      </c>
      <c r="BJ566" t="s">
        <v>815</v>
      </c>
      <c r="BK566" t="s">
        <v>94</v>
      </c>
      <c r="BL566" t="s">
        <v>815</v>
      </c>
      <c r="BM566" t="s">
        <v>9846</v>
      </c>
      <c r="BN566" t="s">
        <v>74</v>
      </c>
      <c r="BO566" t="s">
        <v>7537</v>
      </c>
      <c r="BP566" t="s">
        <v>74</v>
      </c>
      <c r="BQ566" t="s">
        <v>74</v>
      </c>
      <c r="BR566" t="s">
        <v>97</v>
      </c>
      <c r="BS566" t="s">
        <v>9847</v>
      </c>
      <c r="BT566" t="str">
        <f>HYPERLINK("https%3A%2F%2Fwww.webofscience.com%2Fwos%2Fwoscc%2Ffull-record%2FWOS:000486255600005","View Full Record in Web of Science")</f>
        <v>View Full Record in Web of Science</v>
      </c>
    </row>
    <row r="567" spans="1:72" x14ac:dyDescent="0.25">
      <c r="A567" t="s">
        <v>72</v>
      </c>
      <c r="B567" t="s">
        <v>9848</v>
      </c>
      <c r="C567" t="s">
        <v>74</v>
      </c>
      <c r="D567" t="s">
        <v>74</v>
      </c>
      <c r="E567" t="s">
        <v>74</v>
      </c>
      <c r="F567" t="s">
        <v>9849</v>
      </c>
      <c r="G567" t="s">
        <v>74</v>
      </c>
      <c r="H567" t="s">
        <v>74</v>
      </c>
      <c r="I567" t="s">
        <v>9850</v>
      </c>
      <c r="J567" t="s">
        <v>9851</v>
      </c>
      <c r="K567" t="s">
        <v>74</v>
      </c>
      <c r="L567" t="s">
        <v>74</v>
      </c>
      <c r="M567" t="s">
        <v>77</v>
      </c>
      <c r="N567" t="s">
        <v>78</v>
      </c>
      <c r="O567" t="s">
        <v>74</v>
      </c>
      <c r="P567" t="s">
        <v>74</v>
      </c>
      <c r="Q567" t="s">
        <v>74</v>
      </c>
      <c r="R567" t="s">
        <v>74</v>
      </c>
      <c r="S567" t="s">
        <v>74</v>
      </c>
      <c r="T567" t="s">
        <v>9852</v>
      </c>
      <c r="U567" t="s">
        <v>9853</v>
      </c>
      <c r="V567" t="s">
        <v>9854</v>
      </c>
      <c r="W567" t="s">
        <v>9855</v>
      </c>
      <c r="X567" t="s">
        <v>9856</v>
      </c>
      <c r="Y567" t="s">
        <v>9857</v>
      </c>
      <c r="Z567" t="s">
        <v>9858</v>
      </c>
      <c r="AA567" t="s">
        <v>74</v>
      </c>
      <c r="AB567" t="s">
        <v>9859</v>
      </c>
      <c r="AC567" t="s">
        <v>9860</v>
      </c>
      <c r="AD567" t="s">
        <v>9860</v>
      </c>
      <c r="AE567" t="s">
        <v>9861</v>
      </c>
      <c r="AF567" t="s">
        <v>74</v>
      </c>
      <c r="AG567">
        <v>90</v>
      </c>
      <c r="AH567">
        <v>12</v>
      </c>
      <c r="AI567">
        <v>12</v>
      </c>
      <c r="AJ567">
        <v>4</v>
      </c>
      <c r="AK567">
        <v>24</v>
      </c>
      <c r="AL567" t="s">
        <v>2473</v>
      </c>
      <c r="AM567" t="s">
        <v>2102</v>
      </c>
      <c r="AN567" t="s">
        <v>2474</v>
      </c>
      <c r="AO567" t="s">
        <v>9862</v>
      </c>
      <c r="AP567" t="s">
        <v>74</v>
      </c>
      <c r="AQ567" t="s">
        <v>74</v>
      </c>
      <c r="AR567" t="s">
        <v>9863</v>
      </c>
      <c r="AS567" t="s">
        <v>9864</v>
      </c>
      <c r="AT567" t="s">
        <v>165</v>
      </c>
      <c r="AU567">
        <v>2019</v>
      </c>
      <c r="AV567">
        <v>9</v>
      </c>
      <c r="AW567">
        <v>5</v>
      </c>
      <c r="AX567" t="s">
        <v>74</v>
      </c>
      <c r="AY567" t="s">
        <v>74</v>
      </c>
      <c r="AZ567" t="s">
        <v>74</v>
      </c>
      <c r="BA567" t="s">
        <v>74</v>
      </c>
      <c r="BB567" t="s">
        <v>74</v>
      </c>
      <c r="BC567" t="s">
        <v>74</v>
      </c>
      <c r="BD567">
        <v>265</v>
      </c>
      <c r="BE567" t="s">
        <v>9865</v>
      </c>
      <c r="BF567" t="str">
        <f>HYPERLINK("http://dx.doi.org/10.3390/ani9050265","http://dx.doi.org/10.3390/ani9050265")</f>
        <v>http://dx.doi.org/10.3390/ani9050265</v>
      </c>
      <c r="BG567" t="s">
        <v>74</v>
      </c>
      <c r="BH567" t="s">
        <v>74</v>
      </c>
      <c r="BI567">
        <v>16</v>
      </c>
      <c r="BJ567" t="s">
        <v>9866</v>
      </c>
      <c r="BK567" t="s">
        <v>147</v>
      </c>
      <c r="BL567" t="s">
        <v>9867</v>
      </c>
      <c r="BM567" t="s">
        <v>9868</v>
      </c>
      <c r="BN567">
        <v>31121937</v>
      </c>
      <c r="BO567" t="s">
        <v>3205</v>
      </c>
      <c r="BP567" t="s">
        <v>74</v>
      </c>
      <c r="BQ567" t="s">
        <v>74</v>
      </c>
      <c r="BR567" t="s">
        <v>97</v>
      </c>
      <c r="BS567" t="s">
        <v>9869</v>
      </c>
      <c r="BT567" t="str">
        <f>HYPERLINK("https%3A%2F%2Fwww.webofscience.com%2Fwos%2Fwoscc%2Ffull-record%2FWOS:000470963400069","View Full Record in Web of Science")</f>
        <v>View Full Record in Web of Science</v>
      </c>
    </row>
    <row r="568" spans="1:72" x14ac:dyDescent="0.25">
      <c r="A568" t="s">
        <v>72</v>
      </c>
      <c r="B568" t="s">
        <v>9870</v>
      </c>
      <c r="C568" t="s">
        <v>74</v>
      </c>
      <c r="D568" t="s">
        <v>74</v>
      </c>
      <c r="E568" t="s">
        <v>74</v>
      </c>
      <c r="F568" t="s">
        <v>9871</v>
      </c>
      <c r="G568" t="s">
        <v>74</v>
      </c>
      <c r="H568" t="s">
        <v>74</v>
      </c>
      <c r="I568" t="s">
        <v>9872</v>
      </c>
      <c r="J568" t="s">
        <v>9873</v>
      </c>
      <c r="K568" t="s">
        <v>74</v>
      </c>
      <c r="L568" t="s">
        <v>74</v>
      </c>
      <c r="M568" t="s">
        <v>77</v>
      </c>
      <c r="N568" t="s">
        <v>78</v>
      </c>
      <c r="O568" t="s">
        <v>74</v>
      </c>
      <c r="P568" t="s">
        <v>74</v>
      </c>
      <c r="Q568" t="s">
        <v>74</v>
      </c>
      <c r="R568" t="s">
        <v>74</v>
      </c>
      <c r="S568" t="s">
        <v>74</v>
      </c>
      <c r="T568" t="s">
        <v>9874</v>
      </c>
      <c r="U568" t="s">
        <v>9875</v>
      </c>
      <c r="V568" t="s">
        <v>9876</v>
      </c>
      <c r="W568" t="s">
        <v>9877</v>
      </c>
      <c r="X568" t="s">
        <v>9878</v>
      </c>
      <c r="Y568" t="s">
        <v>9879</v>
      </c>
      <c r="Z568" t="s">
        <v>9880</v>
      </c>
      <c r="AA568" t="s">
        <v>9881</v>
      </c>
      <c r="AB568" t="s">
        <v>74</v>
      </c>
      <c r="AC568" t="s">
        <v>9882</v>
      </c>
      <c r="AD568" t="s">
        <v>575</v>
      </c>
      <c r="AE568" t="s">
        <v>9883</v>
      </c>
      <c r="AF568" t="s">
        <v>74</v>
      </c>
      <c r="AG568">
        <v>25</v>
      </c>
      <c r="AH568">
        <v>12</v>
      </c>
      <c r="AI568">
        <v>12</v>
      </c>
      <c r="AJ568">
        <v>3</v>
      </c>
      <c r="AK568">
        <v>15</v>
      </c>
      <c r="AL568" t="s">
        <v>9884</v>
      </c>
      <c r="AM568" t="s">
        <v>9885</v>
      </c>
      <c r="AN568" t="s">
        <v>9886</v>
      </c>
      <c r="AO568" t="s">
        <v>9887</v>
      </c>
      <c r="AP568" t="s">
        <v>74</v>
      </c>
      <c r="AQ568" t="s">
        <v>74</v>
      </c>
      <c r="AR568" t="s">
        <v>9888</v>
      </c>
      <c r="AS568" t="s">
        <v>9889</v>
      </c>
      <c r="AT568" t="s">
        <v>74</v>
      </c>
      <c r="AU568">
        <v>2019</v>
      </c>
      <c r="AV568">
        <v>20</v>
      </c>
      <c r="AW568" t="s">
        <v>74</v>
      </c>
      <c r="AX568" t="s">
        <v>74</v>
      </c>
      <c r="AY568" t="s">
        <v>74</v>
      </c>
      <c r="AZ568" t="s">
        <v>9890</v>
      </c>
      <c r="BA568" t="s">
        <v>74</v>
      </c>
      <c r="BB568" t="s">
        <v>9891</v>
      </c>
      <c r="BC568" t="s">
        <v>9892</v>
      </c>
      <c r="BD568" t="s">
        <v>74</v>
      </c>
      <c r="BE568" t="s">
        <v>74</v>
      </c>
      <c r="BF568" t="s">
        <v>74</v>
      </c>
      <c r="BG568" t="s">
        <v>74</v>
      </c>
      <c r="BH568" t="s">
        <v>74</v>
      </c>
      <c r="BI568">
        <v>8</v>
      </c>
      <c r="BJ568" t="s">
        <v>5336</v>
      </c>
      <c r="BK568" t="s">
        <v>283</v>
      </c>
      <c r="BL568" t="s">
        <v>5337</v>
      </c>
      <c r="BM568" t="s">
        <v>9893</v>
      </c>
      <c r="BN568" t="s">
        <v>74</v>
      </c>
      <c r="BO568" t="s">
        <v>74</v>
      </c>
      <c r="BP568" t="s">
        <v>74</v>
      </c>
      <c r="BQ568" t="s">
        <v>74</v>
      </c>
      <c r="BR568" t="s">
        <v>97</v>
      </c>
      <c r="BS568" t="s">
        <v>9894</v>
      </c>
      <c r="BT568" t="str">
        <f>HYPERLINK("https%3A%2F%2Fwww.webofscience.com%2Fwos%2Fwoscc%2Ffull-record%2FWOS:000531884900013","View Full Record in Web of Science")</f>
        <v>View Full Record in Web of Science</v>
      </c>
    </row>
    <row r="569" spans="1:72" x14ac:dyDescent="0.25">
      <c r="A569" t="s">
        <v>72</v>
      </c>
      <c r="B569" t="s">
        <v>1583</v>
      </c>
      <c r="C569" t="s">
        <v>74</v>
      </c>
      <c r="D569" t="s">
        <v>74</v>
      </c>
      <c r="E569" t="s">
        <v>74</v>
      </c>
      <c r="F569" t="s">
        <v>1584</v>
      </c>
      <c r="G569" t="s">
        <v>74</v>
      </c>
      <c r="H569" t="s">
        <v>74</v>
      </c>
      <c r="I569" t="s">
        <v>9895</v>
      </c>
      <c r="J569" t="s">
        <v>9896</v>
      </c>
      <c r="K569" t="s">
        <v>74</v>
      </c>
      <c r="L569" t="s">
        <v>74</v>
      </c>
      <c r="M569" t="s">
        <v>77</v>
      </c>
      <c r="N569" t="s">
        <v>78</v>
      </c>
      <c r="O569" t="s">
        <v>74</v>
      </c>
      <c r="P569" t="s">
        <v>74</v>
      </c>
      <c r="Q569" t="s">
        <v>74</v>
      </c>
      <c r="R569" t="s">
        <v>74</v>
      </c>
      <c r="S569" t="s">
        <v>74</v>
      </c>
      <c r="T569" t="s">
        <v>9897</v>
      </c>
      <c r="U569" t="s">
        <v>9898</v>
      </c>
      <c r="V569" t="s">
        <v>9899</v>
      </c>
      <c r="W569" t="s">
        <v>9900</v>
      </c>
      <c r="X569" t="s">
        <v>9901</v>
      </c>
      <c r="Y569" t="s">
        <v>9902</v>
      </c>
      <c r="Z569" t="s">
        <v>9903</v>
      </c>
      <c r="AA569" t="s">
        <v>74</v>
      </c>
      <c r="AB569" t="s">
        <v>1593</v>
      </c>
      <c r="AC569" t="s">
        <v>74</v>
      </c>
      <c r="AD569" t="s">
        <v>74</v>
      </c>
      <c r="AE569" t="s">
        <v>74</v>
      </c>
      <c r="AF569" t="s">
        <v>74</v>
      </c>
      <c r="AG569">
        <v>66</v>
      </c>
      <c r="AH569">
        <v>12</v>
      </c>
      <c r="AI569">
        <v>13</v>
      </c>
      <c r="AJ569">
        <v>3</v>
      </c>
      <c r="AK569">
        <v>19</v>
      </c>
      <c r="AL569" t="s">
        <v>218</v>
      </c>
      <c r="AM569" t="s">
        <v>219</v>
      </c>
      <c r="AN569" t="s">
        <v>220</v>
      </c>
      <c r="AO569" t="s">
        <v>9904</v>
      </c>
      <c r="AP569" t="s">
        <v>9905</v>
      </c>
      <c r="AQ569" t="s">
        <v>74</v>
      </c>
      <c r="AR569" t="s">
        <v>9906</v>
      </c>
      <c r="AS569" t="s">
        <v>9907</v>
      </c>
      <c r="AT569" t="s">
        <v>584</v>
      </c>
      <c r="AU569">
        <v>2018</v>
      </c>
      <c r="AV569">
        <v>97</v>
      </c>
      <c r="AW569">
        <v>4</v>
      </c>
      <c r="AX569" t="s">
        <v>74</v>
      </c>
      <c r="AY569" t="s">
        <v>74</v>
      </c>
      <c r="AZ569" t="s">
        <v>74</v>
      </c>
      <c r="BA569" t="s">
        <v>74</v>
      </c>
      <c r="BB569">
        <v>931</v>
      </c>
      <c r="BC569">
        <v>956</v>
      </c>
      <c r="BD569" t="s">
        <v>74</v>
      </c>
      <c r="BE569" t="s">
        <v>9908</v>
      </c>
      <c r="BF569" t="str">
        <f>HYPERLINK("http://dx.doi.org/10.1111/pirs.12315","http://dx.doi.org/10.1111/pirs.12315")</f>
        <v>http://dx.doi.org/10.1111/pirs.12315</v>
      </c>
      <c r="BG569" t="s">
        <v>74</v>
      </c>
      <c r="BH569" t="s">
        <v>74</v>
      </c>
      <c r="BI569">
        <v>26</v>
      </c>
      <c r="BJ569" t="s">
        <v>2544</v>
      </c>
      <c r="BK569" t="s">
        <v>94</v>
      </c>
      <c r="BL569" t="s">
        <v>2545</v>
      </c>
      <c r="BM569" t="s">
        <v>9909</v>
      </c>
      <c r="BN569" t="s">
        <v>74</v>
      </c>
      <c r="BO569" t="s">
        <v>111</v>
      </c>
      <c r="BP569" t="s">
        <v>74</v>
      </c>
      <c r="BQ569" t="s">
        <v>74</v>
      </c>
      <c r="BR569" t="s">
        <v>97</v>
      </c>
      <c r="BS569" t="s">
        <v>9910</v>
      </c>
      <c r="BT569" t="str">
        <f>HYPERLINK("https%3A%2F%2Fwww.webofscience.com%2Fwos%2Fwoscc%2Ffull-record%2FWOS:000449522700005","View Full Record in Web of Science")</f>
        <v>View Full Record in Web of Science</v>
      </c>
    </row>
    <row r="570" spans="1:72" x14ac:dyDescent="0.25">
      <c r="A570" t="s">
        <v>72</v>
      </c>
      <c r="B570" t="s">
        <v>9911</v>
      </c>
      <c r="C570" t="s">
        <v>74</v>
      </c>
      <c r="D570" t="s">
        <v>74</v>
      </c>
      <c r="E570" t="s">
        <v>74</v>
      </c>
      <c r="F570" t="s">
        <v>9912</v>
      </c>
      <c r="G570" t="s">
        <v>74</v>
      </c>
      <c r="H570" t="s">
        <v>74</v>
      </c>
      <c r="I570" t="s">
        <v>9913</v>
      </c>
      <c r="J570" t="s">
        <v>9914</v>
      </c>
      <c r="K570" t="s">
        <v>74</v>
      </c>
      <c r="L570" t="s">
        <v>74</v>
      </c>
      <c r="M570" t="s">
        <v>77</v>
      </c>
      <c r="N570" t="s">
        <v>78</v>
      </c>
      <c r="O570" t="s">
        <v>74</v>
      </c>
      <c r="P570" t="s">
        <v>74</v>
      </c>
      <c r="Q570" t="s">
        <v>74</v>
      </c>
      <c r="R570" t="s">
        <v>74</v>
      </c>
      <c r="S570" t="s">
        <v>74</v>
      </c>
      <c r="T570" t="s">
        <v>9915</v>
      </c>
      <c r="U570" t="s">
        <v>9916</v>
      </c>
      <c r="V570" t="s">
        <v>9917</v>
      </c>
      <c r="W570" t="s">
        <v>9918</v>
      </c>
      <c r="X570" t="s">
        <v>9919</v>
      </c>
      <c r="Y570" t="s">
        <v>9920</v>
      </c>
      <c r="Z570" t="s">
        <v>2086</v>
      </c>
      <c r="AA570" t="s">
        <v>9921</v>
      </c>
      <c r="AB570" t="s">
        <v>9922</v>
      </c>
      <c r="AC570" t="s">
        <v>74</v>
      </c>
      <c r="AD570" t="s">
        <v>74</v>
      </c>
      <c r="AE570" t="s">
        <v>74</v>
      </c>
      <c r="AF570" t="s">
        <v>74</v>
      </c>
      <c r="AG570">
        <v>72</v>
      </c>
      <c r="AH570">
        <v>12</v>
      </c>
      <c r="AI570">
        <v>15</v>
      </c>
      <c r="AJ570">
        <v>1</v>
      </c>
      <c r="AK570">
        <v>41</v>
      </c>
      <c r="AL570" t="s">
        <v>9923</v>
      </c>
      <c r="AM570" t="s">
        <v>9924</v>
      </c>
      <c r="AN570" t="s">
        <v>9925</v>
      </c>
      <c r="AO570" t="s">
        <v>9926</v>
      </c>
      <c r="AP570" t="s">
        <v>9927</v>
      </c>
      <c r="AQ570" t="s">
        <v>74</v>
      </c>
      <c r="AR570" t="s">
        <v>9928</v>
      </c>
      <c r="AS570" t="s">
        <v>9929</v>
      </c>
      <c r="AT570" t="s">
        <v>392</v>
      </c>
      <c r="AU570">
        <v>2018</v>
      </c>
      <c r="AV570">
        <v>20</v>
      </c>
      <c r="AW570">
        <v>49</v>
      </c>
      <c r="AX570" t="s">
        <v>74</v>
      </c>
      <c r="AY570" t="s">
        <v>74</v>
      </c>
      <c r="AZ570" t="s">
        <v>74</v>
      </c>
      <c r="BA570" t="s">
        <v>74</v>
      </c>
      <c r="BB570">
        <v>771</v>
      </c>
      <c r="BC570">
        <v>787</v>
      </c>
      <c r="BD570" t="s">
        <v>74</v>
      </c>
      <c r="BE570" t="s">
        <v>9930</v>
      </c>
      <c r="BF570" t="str">
        <f>HYPERLINK("http://dx.doi.org/10.24818/EA/2018/49/771","http://dx.doi.org/10.24818/EA/2018/49/771")</f>
        <v>http://dx.doi.org/10.24818/EA/2018/49/771</v>
      </c>
      <c r="BG570" t="s">
        <v>74</v>
      </c>
      <c r="BH570" t="s">
        <v>74</v>
      </c>
      <c r="BI570">
        <v>17</v>
      </c>
      <c r="BJ570" t="s">
        <v>1199</v>
      </c>
      <c r="BK570" t="s">
        <v>94</v>
      </c>
      <c r="BL570" t="s">
        <v>95</v>
      </c>
      <c r="BM570" t="s">
        <v>9931</v>
      </c>
      <c r="BN570" t="s">
        <v>74</v>
      </c>
      <c r="BO570" t="s">
        <v>9030</v>
      </c>
      <c r="BP570" t="s">
        <v>74</v>
      </c>
      <c r="BQ570" t="s">
        <v>74</v>
      </c>
      <c r="BR570" t="s">
        <v>97</v>
      </c>
      <c r="BS570" t="s">
        <v>9932</v>
      </c>
      <c r="BT570" t="str">
        <f>HYPERLINK("https%3A%2F%2Fwww.webofscience.com%2Fwos%2Fwoscc%2Ffull-record%2FWOS:000440364100016","View Full Record in Web of Science")</f>
        <v>View Full Record in Web of Science</v>
      </c>
    </row>
    <row r="571" spans="1:72" x14ac:dyDescent="0.25">
      <c r="A571" t="s">
        <v>72</v>
      </c>
      <c r="B571" t="s">
        <v>9933</v>
      </c>
      <c r="C571" t="s">
        <v>74</v>
      </c>
      <c r="D571" t="s">
        <v>74</v>
      </c>
      <c r="E571" t="s">
        <v>74</v>
      </c>
      <c r="F571" t="s">
        <v>9934</v>
      </c>
      <c r="G571" t="s">
        <v>74</v>
      </c>
      <c r="H571" t="s">
        <v>74</v>
      </c>
      <c r="I571" t="s">
        <v>9935</v>
      </c>
      <c r="J571" t="s">
        <v>9115</v>
      </c>
      <c r="K571" t="s">
        <v>74</v>
      </c>
      <c r="L571" t="s">
        <v>74</v>
      </c>
      <c r="M571" t="s">
        <v>77</v>
      </c>
      <c r="N571" t="s">
        <v>78</v>
      </c>
      <c r="O571" t="s">
        <v>74</v>
      </c>
      <c r="P571" t="s">
        <v>74</v>
      </c>
      <c r="Q571" t="s">
        <v>74</v>
      </c>
      <c r="R571" t="s">
        <v>74</v>
      </c>
      <c r="S571" t="s">
        <v>74</v>
      </c>
      <c r="T571" t="s">
        <v>9936</v>
      </c>
      <c r="U571" t="s">
        <v>9937</v>
      </c>
      <c r="V571" t="s">
        <v>9938</v>
      </c>
      <c r="W571" t="s">
        <v>9939</v>
      </c>
      <c r="X571" t="s">
        <v>9940</v>
      </c>
      <c r="Y571" t="s">
        <v>9941</v>
      </c>
      <c r="Z571" t="s">
        <v>9942</v>
      </c>
      <c r="AA571" t="s">
        <v>5493</v>
      </c>
      <c r="AB571" t="s">
        <v>74</v>
      </c>
      <c r="AC571" t="s">
        <v>9943</v>
      </c>
      <c r="AD571" t="s">
        <v>9943</v>
      </c>
      <c r="AE571" t="s">
        <v>9944</v>
      </c>
      <c r="AF571" t="s">
        <v>74</v>
      </c>
      <c r="AG571">
        <v>104</v>
      </c>
      <c r="AH571">
        <v>12</v>
      </c>
      <c r="AI571">
        <v>12</v>
      </c>
      <c r="AJ571">
        <v>6</v>
      </c>
      <c r="AK571">
        <v>48</v>
      </c>
      <c r="AL571" t="s">
        <v>1099</v>
      </c>
      <c r="AM571" t="s">
        <v>305</v>
      </c>
      <c r="AN571" t="s">
        <v>1100</v>
      </c>
      <c r="AO571" t="s">
        <v>9124</v>
      </c>
      <c r="AP571" t="s">
        <v>9125</v>
      </c>
      <c r="AQ571" t="s">
        <v>74</v>
      </c>
      <c r="AR571" t="s">
        <v>9126</v>
      </c>
      <c r="AS571" t="s">
        <v>9127</v>
      </c>
      <c r="AT571" t="s">
        <v>74</v>
      </c>
      <c r="AU571">
        <v>2018</v>
      </c>
      <c r="AV571">
        <v>20</v>
      </c>
      <c r="AW571">
        <v>1</v>
      </c>
      <c r="AX571" t="s">
        <v>74</v>
      </c>
      <c r="AY571" t="s">
        <v>74</v>
      </c>
      <c r="AZ571" t="s">
        <v>74</v>
      </c>
      <c r="BA571" t="s">
        <v>74</v>
      </c>
      <c r="BB571">
        <v>61</v>
      </c>
      <c r="BC571">
        <v>83</v>
      </c>
      <c r="BD571" t="s">
        <v>74</v>
      </c>
      <c r="BE571" t="s">
        <v>9945</v>
      </c>
      <c r="BF571" t="str">
        <f>HYPERLINK("http://dx.doi.org/10.1080/14479338.2017.1369141","http://dx.doi.org/10.1080/14479338.2017.1369141")</f>
        <v>http://dx.doi.org/10.1080/14479338.2017.1369141</v>
      </c>
      <c r="BG571" t="s">
        <v>74</v>
      </c>
      <c r="BH571" t="s">
        <v>74</v>
      </c>
      <c r="BI571">
        <v>23</v>
      </c>
      <c r="BJ571" t="s">
        <v>442</v>
      </c>
      <c r="BK571" t="s">
        <v>94</v>
      </c>
      <c r="BL571" t="s">
        <v>95</v>
      </c>
      <c r="BM571" t="s">
        <v>9946</v>
      </c>
      <c r="BN571" t="s">
        <v>74</v>
      </c>
      <c r="BO571" t="s">
        <v>74</v>
      </c>
      <c r="BP571" t="s">
        <v>74</v>
      </c>
      <c r="BQ571" t="s">
        <v>74</v>
      </c>
      <c r="BR571" t="s">
        <v>97</v>
      </c>
      <c r="BS571" t="s">
        <v>9947</v>
      </c>
      <c r="BT571" t="str">
        <f>HYPERLINK("https%3A%2F%2Fwww.webofscience.com%2Fwos%2Fwoscc%2Ffull-record%2FWOS:000439021500004","View Full Record in Web of Science")</f>
        <v>View Full Record in Web of Science</v>
      </c>
    </row>
    <row r="572" spans="1:72" x14ac:dyDescent="0.25">
      <c r="A572" t="s">
        <v>72</v>
      </c>
      <c r="B572" t="s">
        <v>9948</v>
      </c>
      <c r="C572" t="s">
        <v>74</v>
      </c>
      <c r="D572" t="s">
        <v>74</v>
      </c>
      <c r="E572" t="s">
        <v>74</v>
      </c>
      <c r="F572" t="s">
        <v>9949</v>
      </c>
      <c r="G572" t="s">
        <v>74</v>
      </c>
      <c r="H572" t="s">
        <v>74</v>
      </c>
      <c r="I572" t="s">
        <v>9950</v>
      </c>
      <c r="J572" t="s">
        <v>6846</v>
      </c>
      <c r="K572" t="s">
        <v>74</v>
      </c>
      <c r="L572" t="s">
        <v>74</v>
      </c>
      <c r="M572" t="s">
        <v>77</v>
      </c>
      <c r="N572" t="s">
        <v>78</v>
      </c>
      <c r="O572" t="s">
        <v>74</v>
      </c>
      <c r="P572" t="s">
        <v>74</v>
      </c>
      <c r="Q572" t="s">
        <v>74</v>
      </c>
      <c r="R572" t="s">
        <v>74</v>
      </c>
      <c r="S572" t="s">
        <v>74</v>
      </c>
      <c r="T572" t="s">
        <v>9951</v>
      </c>
      <c r="U572" t="s">
        <v>9952</v>
      </c>
      <c r="V572" t="s">
        <v>9953</v>
      </c>
      <c r="W572" t="s">
        <v>9954</v>
      </c>
      <c r="X572" t="s">
        <v>9955</v>
      </c>
      <c r="Y572" t="s">
        <v>9956</v>
      </c>
      <c r="Z572" t="s">
        <v>9957</v>
      </c>
      <c r="AA572" t="s">
        <v>74</v>
      </c>
      <c r="AB572" t="s">
        <v>74</v>
      </c>
      <c r="AC572" t="s">
        <v>9958</v>
      </c>
      <c r="AD572" t="s">
        <v>9959</v>
      </c>
      <c r="AE572" t="s">
        <v>9960</v>
      </c>
      <c r="AF572" t="s">
        <v>74</v>
      </c>
      <c r="AG572">
        <v>56</v>
      </c>
      <c r="AH572">
        <v>12</v>
      </c>
      <c r="AI572">
        <v>12</v>
      </c>
      <c r="AJ572">
        <v>4</v>
      </c>
      <c r="AK572">
        <v>40</v>
      </c>
      <c r="AL572" t="s">
        <v>1099</v>
      </c>
      <c r="AM572" t="s">
        <v>305</v>
      </c>
      <c r="AN572" t="s">
        <v>1100</v>
      </c>
      <c r="AO572" t="s">
        <v>6857</v>
      </c>
      <c r="AP572" t="s">
        <v>6858</v>
      </c>
      <c r="AQ572" t="s">
        <v>74</v>
      </c>
      <c r="AR572" t="s">
        <v>6859</v>
      </c>
      <c r="AS572" t="s">
        <v>6860</v>
      </c>
      <c r="AT572" t="s">
        <v>792</v>
      </c>
      <c r="AU572">
        <v>2017</v>
      </c>
      <c r="AV572">
        <v>23</v>
      </c>
      <c r="AW572">
        <v>3</v>
      </c>
      <c r="AX572" t="s">
        <v>74</v>
      </c>
      <c r="AY572" t="s">
        <v>74</v>
      </c>
      <c r="AZ572" t="s">
        <v>74</v>
      </c>
      <c r="BA572" t="s">
        <v>74</v>
      </c>
      <c r="BB572">
        <v>354</v>
      </c>
      <c r="BC572">
        <v>372</v>
      </c>
      <c r="BD572" t="s">
        <v>74</v>
      </c>
      <c r="BE572" t="s">
        <v>9961</v>
      </c>
      <c r="BF572" t="str">
        <f>HYPERLINK("http://dx.doi.org/10.1080/13602381.2016.1156907","http://dx.doi.org/10.1080/13602381.2016.1156907")</f>
        <v>http://dx.doi.org/10.1080/13602381.2016.1156907</v>
      </c>
      <c r="BG572" t="s">
        <v>74</v>
      </c>
      <c r="BH572" t="s">
        <v>74</v>
      </c>
      <c r="BI572">
        <v>19</v>
      </c>
      <c r="BJ572" t="s">
        <v>93</v>
      </c>
      <c r="BK572" t="s">
        <v>94</v>
      </c>
      <c r="BL572" t="s">
        <v>95</v>
      </c>
      <c r="BM572" t="s">
        <v>9962</v>
      </c>
      <c r="BN572" t="s">
        <v>74</v>
      </c>
      <c r="BO572" t="s">
        <v>74</v>
      </c>
      <c r="BP572" t="s">
        <v>74</v>
      </c>
      <c r="BQ572" t="s">
        <v>74</v>
      </c>
      <c r="BR572" t="s">
        <v>97</v>
      </c>
      <c r="BS572" t="s">
        <v>9963</v>
      </c>
      <c r="BT572" t="str">
        <f>HYPERLINK("https%3A%2F%2Fwww.webofscience.com%2Fwos%2Fwoscc%2Ffull-record%2FWOS:000400170100004","View Full Record in Web of Science")</f>
        <v>View Full Record in Web of Science</v>
      </c>
    </row>
    <row r="573" spans="1:72" x14ac:dyDescent="0.25">
      <c r="A573" t="s">
        <v>72</v>
      </c>
      <c r="B573" t="s">
        <v>9964</v>
      </c>
      <c r="C573" t="s">
        <v>74</v>
      </c>
      <c r="D573" t="s">
        <v>74</v>
      </c>
      <c r="E573" t="s">
        <v>74</v>
      </c>
      <c r="F573" t="s">
        <v>9965</v>
      </c>
      <c r="G573" t="s">
        <v>74</v>
      </c>
      <c r="H573" t="s">
        <v>74</v>
      </c>
      <c r="I573" t="s">
        <v>9966</v>
      </c>
      <c r="J573" t="s">
        <v>1600</v>
      </c>
      <c r="K573" t="s">
        <v>74</v>
      </c>
      <c r="L573" t="s">
        <v>74</v>
      </c>
      <c r="M573" t="s">
        <v>77</v>
      </c>
      <c r="N573" t="s">
        <v>78</v>
      </c>
      <c r="O573" t="s">
        <v>74</v>
      </c>
      <c r="P573" t="s">
        <v>74</v>
      </c>
      <c r="Q573" t="s">
        <v>74</v>
      </c>
      <c r="R573" t="s">
        <v>74</v>
      </c>
      <c r="S573" t="s">
        <v>74</v>
      </c>
      <c r="T573" t="s">
        <v>9967</v>
      </c>
      <c r="U573" t="s">
        <v>9968</v>
      </c>
      <c r="V573" t="s">
        <v>9969</v>
      </c>
      <c r="W573" t="s">
        <v>9970</v>
      </c>
      <c r="X573" t="s">
        <v>9971</v>
      </c>
      <c r="Y573" t="s">
        <v>9972</v>
      </c>
      <c r="Z573" t="s">
        <v>9973</v>
      </c>
      <c r="AA573" t="s">
        <v>9974</v>
      </c>
      <c r="AB573" t="s">
        <v>9975</v>
      </c>
      <c r="AC573" t="s">
        <v>74</v>
      </c>
      <c r="AD573" t="s">
        <v>74</v>
      </c>
      <c r="AE573" t="s">
        <v>74</v>
      </c>
      <c r="AF573" t="s">
        <v>74</v>
      </c>
      <c r="AG573">
        <v>87</v>
      </c>
      <c r="AH573">
        <v>12</v>
      </c>
      <c r="AI573">
        <v>13</v>
      </c>
      <c r="AJ573">
        <v>1</v>
      </c>
      <c r="AK573">
        <v>66</v>
      </c>
      <c r="AL573" t="s">
        <v>1099</v>
      </c>
      <c r="AM573" t="s">
        <v>305</v>
      </c>
      <c r="AN573" t="s">
        <v>1100</v>
      </c>
      <c r="AO573" t="s">
        <v>1610</v>
      </c>
      <c r="AP573" t="s">
        <v>1611</v>
      </c>
      <c r="AQ573" t="s">
        <v>74</v>
      </c>
      <c r="AR573" t="s">
        <v>1612</v>
      </c>
      <c r="AS573" t="s">
        <v>1613</v>
      </c>
      <c r="AT573" t="s">
        <v>8633</v>
      </c>
      <c r="AU573">
        <v>2013</v>
      </c>
      <c r="AV573">
        <v>24</v>
      </c>
      <c r="AW573">
        <v>12</v>
      </c>
      <c r="AX573" t="s">
        <v>74</v>
      </c>
      <c r="AY573" t="s">
        <v>74</v>
      </c>
      <c r="AZ573" t="s">
        <v>860</v>
      </c>
      <c r="BA573" t="s">
        <v>74</v>
      </c>
      <c r="BB573">
        <v>2299</v>
      </c>
      <c r="BC573">
        <v>2320</v>
      </c>
      <c r="BD573" t="s">
        <v>74</v>
      </c>
      <c r="BE573" t="s">
        <v>9976</v>
      </c>
      <c r="BF573" t="str">
        <f>HYPERLINK("http://dx.doi.org/10.1080/09585192.2013.781432","http://dx.doi.org/10.1080/09585192.2013.781432")</f>
        <v>http://dx.doi.org/10.1080/09585192.2013.781432</v>
      </c>
      <c r="BG573" t="s">
        <v>74</v>
      </c>
      <c r="BH573" t="s">
        <v>74</v>
      </c>
      <c r="BI573">
        <v>22</v>
      </c>
      <c r="BJ573" t="s">
        <v>442</v>
      </c>
      <c r="BK573" t="s">
        <v>94</v>
      </c>
      <c r="BL573" t="s">
        <v>95</v>
      </c>
      <c r="BM573" t="s">
        <v>9977</v>
      </c>
      <c r="BN573" t="s">
        <v>74</v>
      </c>
      <c r="BO573" t="s">
        <v>74</v>
      </c>
      <c r="BP573" t="s">
        <v>74</v>
      </c>
      <c r="BQ573" t="s">
        <v>74</v>
      </c>
      <c r="BR573" t="s">
        <v>97</v>
      </c>
      <c r="BS573" t="s">
        <v>9978</v>
      </c>
      <c r="BT573" t="str">
        <f>HYPERLINK("https%3A%2F%2Fwww.webofscience.com%2Fwos%2Fwoscc%2Ffull-record%2FWOS:000319106200003","View Full Record in Web of Science")</f>
        <v>View Full Record in Web of Science</v>
      </c>
    </row>
    <row r="574" spans="1:72" x14ac:dyDescent="0.25">
      <c r="A574" t="s">
        <v>72</v>
      </c>
      <c r="B574" t="s">
        <v>9979</v>
      </c>
      <c r="C574" t="s">
        <v>74</v>
      </c>
      <c r="D574" t="s">
        <v>74</v>
      </c>
      <c r="E574" t="s">
        <v>74</v>
      </c>
      <c r="F574" t="s">
        <v>9980</v>
      </c>
      <c r="G574" t="s">
        <v>74</v>
      </c>
      <c r="H574" t="s">
        <v>74</v>
      </c>
      <c r="I574" t="s">
        <v>9981</v>
      </c>
      <c r="J574" t="s">
        <v>2771</v>
      </c>
      <c r="K574" t="s">
        <v>74</v>
      </c>
      <c r="L574" t="s">
        <v>74</v>
      </c>
      <c r="M574" t="s">
        <v>77</v>
      </c>
      <c r="N574" t="s">
        <v>78</v>
      </c>
      <c r="O574" t="s">
        <v>74</v>
      </c>
      <c r="P574" t="s">
        <v>74</v>
      </c>
      <c r="Q574" t="s">
        <v>74</v>
      </c>
      <c r="R574" t="s">
        <v>74</v>
      </c>
      <c r="S574" t="s">
        <v>74</v>
      </c>
      <c r="T574" t="s">
        <v>9982</v>
      </c>
      <c r="U574" t="s">
        <v>9983</v>
      </c>
      <c r="V574" t="s">
        <v>9984</v>
      </c>
      <c r="W574" t="s">
        <v>9985</v>
      </c>
      <c r="X574" t="s">
        <v>9986</v>
      </c>
      <c r="Y574" t="s">
        <v>9987</v>
      </c>
      <c r="Z574" t="s">
        <v>6956</v>
      </c>
      <c r="AA574" t="s">
        <v>6957</v>
      </c>
      <c r="AB574" t="s">
        <v>6958</v>
      </c>
      <c r="AC574" t="s">
        <v>74</v>
      </c>
      <c r="AD574" t="s">
        <v>74</v>
      </c>
      <c r="AE574" t="s">
        <v>74</v>
      </c>
      <c r="AF574" t="s">
        <v>74</v>
      </c>
      <c r="AG574">
        <v>68</v>
      </c>
      <c r="AH574">
        <v>12</v>
      </c>
      <c r="AI574">
        <v>12</v>
      </c>
      <c r="AJ574">
        <v>2</v>
      </c>
      <c r="AK574">
        <v>24</v>
      </c>
      <c r="AL574" t="s">
        <v>665</v>
      </c>
      <c r="AM574" t="s">
        <v>666</v>
      </c>
      <c r="AN574" t="s">
        <v>667</v>
      </c>
      <c r="AO574" t="s">
        <v>2781</v>
      </c>
      <c r="AP574" t="s">
        <v>2782</v>
      </c>
      <c r="AQ574" t="s">
        <v>74</v>
      </c>
      <c r="AR574" t="s">
        <v>2771</v>
      </c>
      <c r="AS574" t="s">
        <v>2783</v>
      </c>
      <c r="AT574" t="s">
        <v>74</v>
      </c>
      <c r="AU574">
        <v>2012</v>
      </c>
      <c r="AV574">
        <v>41</v>
      </c>
      <c r="AW574">
        <v>10</v>
      </c>
      <c r="AX574" t="s">
        <v>74</v>
      </c>
      <c r="AY574" t="s">
        <v>74</v>
      </c>
      <c r="AZ574" t="s">
        <v>74</v>
      </c>
      <c r="BA574" t="s">
        <v>74</v>
      </c>
      <c r="BB574">
        <v>1607</v>
      </c>
      <c r="BC574">
        <v>1624</v>
      </c>
      <c r="BD574" t="s">
        <v>74</v>
      </c>
      <c r="BE574" t="s">
        <v>9988</v>
      </c>
      <c r="BF574" t="str">
        <f>HYPERLINK("http://dx.doi.org/10.1108/03684921211276783","http://dx.doi.org/10.1108/03684921211276783")</f>
        <v>http://dx.doi.org/10.1108/03684921211276783</v>
      </c>
      <c r="BG574" t="s">
        <v>74</v>
      </c>
      <c r="BH574" t="s">
        <v>74</v>
      </c>
      <c r="BI574">
        <v>18</v>
      </c>
      <c r="BJ574" t="s">
        <v>2785</v>
      </c>
      <c r="BK574" t="s">
        <v>5873</v>
      </c>
      <c r="BL574" t="s">
        <v>2786</v>
      </c>
      <c r="BM574" t="s">
        <v>9989</v>
      </c>
      <c r="BN574" t="s">
        <v>74</v>
      </c>
      <c r="BO574" t="s">
        <v>74</v>
      </c>
      <c r="BP574" t="s">
        <v>74</v>
      </c>
      <c r="BQ574" t="s">
        <v>74</v>
      </c>
      <c r="BR574" t="s">
        <v>97</v>
      </c>
      <c r="BS574" t="s">
        <v>9990</v>
      </c>
      <c r="BT574" t="str">
        <f>HYPERLINK("https%3A%2F%2Fwww.webofscience.com%2Fwos%2Fwoscc%2Ffull-record%2FWOS:000312434100017","View Full Record in Web of Science")</f>
        <v>View Full Record in Web of Science</v>
      </c>
    </row>
    <row r="575" spans="1:72" x14ac:dyDescent="0.25">
      <c r="A575" t="s">
        <v>72</v>
      </c>
      <c r="B575" t="s">
        <v>9991</v>
      </c>
      <c r="C575" t="s">
        <v>74</v>
      </c>
      <c r="D575" t="s">
        <v>74</v>
      </c>
      <c r="E575" t="s">
        <v>74</v>
      </c>
      <c r="F575" t="s">
        <v>9992</v>
      </c>
      <c r="G575" t="s">
        <v>74</v>
      </c>
      <c r="H575" t="s">
        <v>74</v>
      </c>
      <c r="I575" t="s">
        <v>9993</v>
      </c>
      <c r="J575" t="s">
        <v>3184</v>
      </c>
      <c r="K575" t="s">
        <v>74</v>
      </c>
      <c r="L575" t="s">
        <v>74</v>
      </c>
      <c r="M575" t="s">
        <v>77</v>
      </c>
      <c r="N575" t="s">
        <v>78</v>
      </c>
      <c r="O575" t="s">
        <v>74</v>
      </c>
      <c r="P575" t="s">
        <v>74</v>
      </c>
      <c r="Q575" t="s">
        <v>74</v>
      </c>
      <c r="R575" t="s">
        <v>74</v>
      </c>
      <c r="S575" t="s">
        <v>74</v>
      </c>
      <c r="T575" t="s">
        <v>9994</v>
      </c>
      <c r="U575" t="s">
        <v>9995</v>
      </c>
      <c r="V575" t="s">
        <v>9996</v>
      </c>
      <c r="W575" t="s">
        <v>9997</v>
      </c>
      <c r="X575" t="s">
        <v>9998</v>
      </c>
      <c r="Y575" t="s">
        <v>9999</v>
      </c>
      <c r="Z575" t="s">
        <v>10000</v>
      </c>
      <c r="AA575" t="s">
        <v>10001</v>
      </c>
      <c r="AB575" t="s">
        <v>10002</v>
      </c>
      <c r="AC575" t="s">
        <v>74</v>
      </c>
      <c r="AD575" t="s">
        <v>74</v>
      </c>
      <c r="AE575" t="s">
        <v>74</v>
      </c>
      <c r="AF575" t="s">
        <v>74</v>
      </c>
      <c r="AG575">
        <v>48</v>
      </c>
      <c r="AH575">
        <v>12</v>
      </c>
      <c r="AI575">
        <v>12</v>
      </c>
      <c r="AJ575">
        <v>0</v>
      </c>
      <c r="AK575">
        <v>22</v>
      </c>
      <c r="AL575" t="s">
        <v>3195</v>
      </c>
      <c r="AM575" t="s">
        <v>3196</v>
      </c>
      <c r="AN575" t="s">
        <v>3197</v>
      </c>
      <c r="AO575" t="s">
        <v>3198</v>
      </c>
      <c r="AP575" t="s">
        <v>74</v>
      </c>
      <c r="AQ575" t="s">
        <v>74</v>
      </c>
      <c r="AR575" t="s">
        <v>3199</v>
      </c>
      <c r="AS575" t="s">
        <v>3200</v>
      </c>
      <c r="AT575" t="s">
        <v>74</v>
      </c>
      <c r="AU575">
        <v>2011</v>
      </c>
      <c r="AV575">
        <v>2</v>
      </c>
      <c r="AW575" t="s">
        <v>74</v>
      </c>
      <c r="AX575" t="s">
        <v>74</v>
      </c>
      <c r="AY575" t="s">
        <v>74</v>
      </c>
      <c r="AZ575" t="s">
        <v>74</v>
      </c>
      <c r="BA575" t="s">
        <v>74</v>
      </c>
      <c r="BB575" t="s">
        <v>74</v>
      </c>
      <c r="BC575" t="s">
        <v>74</v>
      </c>
      <c r="BD575">
        <v>160</v>
      </c>
      <c r="BE575" t="s">
        <v>10003</v>
      </c>
      <c r="BF575" t="str">
        <f>HYPERLINK("http://dx.doi.org/10.3389/fpsyg.2011.00160","http://dx.doi.org/10.3389/fpsyg.2011.00160")</f>
        <v>http://dx.doi.org/10.3389/fpsyg.2011.00160</v>
      </c>
      <c r="BG575" t="s">
        <v>74</v>
      </c>
      <c r="BH575" t="s">
        <v>74</v>
      </c>
      <c r="BI575">
        <v>7</v>
      </c>
      <c r="BJ575" t="s">
        <v>3203</v>
      </c>
      <c r="BK575" t="s">
        <v>94</v>
      </c>
      <c r="BL575" t="s">
        <v>460</v>
      </c>
      <c r="BM575" t="s">
        <v>10004</v>
      </c>
      <c r="BN575">
        <v>21811477</v>
      </c>
      <c r="BO575" t="s">
        <v>4398</v>
      </c>
      <c r="BP575" t="s">
        <v>74</v>
      </c>
      <c r="BQ575" t="s">
        <v>74</v>
      </c>
      <c r="BR575" t="s">
        <v>97</v>
      </c>
      <c r="BS575" t="s">
        <v>10005</v>
      </c>
      <c r="BT575" t="str">
        <f>HYPERLINK("https%3A%2F%2Fwww.webofscience.com%2Fwos%2Fwoscc%2Ffull-record%2FWOS:000208863700170","View Full Record in Web of Science")</f>
        <v>View Full Record in Web of Science</v>
      </c>
    </row>
    <row r="576" spans="1:72" x14ac:dyDescent="0.25">
      <c r="A576" t="s">
        <v>72</v>
      </c>
      <c r="B576" t="s">
        <v>10006</v>
      </c>
      <c r="C576" t="s">
        <v>74</v>
      </c>
      <c r="D576" t="s">
        <v>74</v>
      </c>
      <c r="E576" t="s">
        <v>74</v>
      </c>
      <c r="F576" t="s">
        <v>10007</v>
      </c>
      <c r="G576" t="s">
        <v>74</v>
      </c>
      <c r="H576" t="s">
        <v>74</v>
      </c>
      <c r="I576" t="s">
        <v>10008</v>
      </c>
      <c r="J576" t="s">
        <v>1186</v>
      </c>
      <c r="K576" t="s">
        <v>74</v>
      </c>
      <c r="L576" t="s">
        <v>74</v>
      </c>
      <c r="M576" t="s">
        <v>77</v>
      </c>
      <c r="N576" t="s">
        <v>78</v>
      </c>
      <c r="O576" t="s">
        <v>74</v>
      </c>
      <c r="P576" t="s">
        <v>74</v>
      </c>
      <c r="Q576" t="s">
        <v>74</v>
      </c>
      <c r="R576" t="s">
        <v>74</v>
      </c>
      <c r="S576" t="s">
        <v>74</v>
      </c>
      <c r="T576" t="s">
        <v>10009</v>
      </c>
      <c r="U576" t="s">
        <v>10010</v>
      </c>
      <c r="V576" t="s">
        <v>10011</v>
      </c>
      <c r="W576" t="s">
        <v>10012</v>
      </c>
      <c r="X576" t="s">
        <v>10013</v>
      </c>
      <c r="Y576" t="s">
        <v>10014</v>
      </c>
      <c r="Z576" t="s">
        <v>10015</v>
      </c>
      <c r="AA576" t="s">
        <v>74</v>
      </c>
      <c r="AB576" t="s">
        <v>10016</v>
      </c>
      <c r="AC576" t="s">
        <v>74</v>
      </c>
      <c r="AD576" t="s">
        <v>74</v>
      </c>
      <c r="AE576" t="s">
        <v>74</v>
      </c>
      <c r="AF576" t="s">
        <v>74</v>
      </c>
      <c r="AG576">
        <v>47</v>
      </c>
      <c r="AH576">
        <v>12</v>
      </c>
      <c r="AI576">
        <v>13</v>
      </c>
      <c r="AJ576">
        <v>0</v>
      </c>
      <c r="AK576">
        <v>31</v>
      </c>
      <c r="AL576" t="s">
        <v>766</v>
      </c>
      <c r="AM576" t="s">
        <v>1193</v>
      </c>
      <c r="AN576" t="s">
        <v>1498</v>
      </c>
      <c r="AO576" t="s">
        <v>1195</v>
      </c>
      <c r="AP576" t="s">
        <v>1499</v>
      </c>
      <c r="AQ576" t="s">
        <v>74</v>
      </c>
      <c r="AR576" t="s">
        <v>1196</v>
      </c>
      <c r="AS576" t="s">
        <v>1197</v>
      </c>
      <c r="AT576" t="s">
        <v>256</v>
      </c>
      <c r="AU576">
        <v>2009</v>
      </c>
      <c r="AV576">
        <v>33</v>
      </c>
      <c r="AW576">
        <v>3</v>
      </c>
      <c r="AX576" t="s">
        <v>74</v>
      </c>
      <c r="AY576" t="s">
        <v>74</v>
      </c>
      <c r="AZ576" t="s">
        <v>74</v>
      </c>
      <c r="BA576" t="s">
        <v>74</v>
      </c>
      <c r="BB576">
        <v>257</v>
      </c>
      <c r="BC576">
        <v>272</v>
      </c>
      <c r="BD576" t="s">
        <v>74</v>
      </c>
      <c r="BE576" t="s">
        <v>10017</v>
      </c>
      <c r="BF576" t="str">
        <f>HYPERLINK("http://dx.doi.org/10.1007/s11187-008-9101-6","http://dx.doi.org/10.1007/s11187-008-9101-6")</f>
        <v>http://dx.doi.org/10.1007/s11187-008-9101-6</v>
      </c>
      <c r="BG576" t="s">
        <v>74</v>
      </c>
      <c r="BH576" t="s">
        <v>74</v>
      </c>
      <c r="BI576">
        <v>16</v>
      </c>
      <c r="BJ576" t="s">
        <v>1199</v>
      </c>
      <c r="BK576" t="s">
        <v>94</v>
      </c>
      <c r="BL576" t="s">
        <v>95</v>
      </c>
      <c r="BM576" t="s">
        <v>10018</v>
      </c>
      <c r="BN576" t="s">
        <v>74</v>
      </c>
      <c r="BO576" t="s">
        <v>408</v>
      </c>
      <c r="BP576" t="s">
        <v>74</v>
      </c>
      <c r="BQ576" t="s">
        <v>74</v>
      </c>
      <c r="BR576" t="s">
        <v>97</v>
      </c>
      <c r="BS576" t="s">
        <v>10019</v>
      </c>
      <c r="BT576" t="str">
        <f>HYPERLINK("https%3A%2F%2Fwww.webofscience.com%2Fwos%2Fwoscc%2Ffull-record%2FWOS:000269915400001","View Full Record in Web of Science")</f>
        <v>View Full Record in Web of Science</v>
      </c>
    </row>
    <row r="577" spans="1:72" x14ac:dyDescent="0.25">
      <c r="A577" t="s">
        <v>72</v>
      </c>
      <c r="B577" t="s">
        <v>10020</v>
      </c>
      <c r="C577" t="s">
        <v>74</v>
      </c>
      <c r="D577" t="s">
        <v>74</v>
      </c>
      <c r="E577" t="s">
        <v>74</v>
      </c>
      <c r="F577" t="s">
        <v>10021</v>
      </c>
      <c r="G577" t="s">
        <v>74</v>
      </c>
      <c r="H577" t="s">
        <v>74</v>
      </c>
      <c r="I577" t="s">
        <v>10022</v>
      </c>
      <c r="J577" t="s">
        <v>7904</v>
      </c>
      <c r="K577" t="s">
        <v>74</v>
      </c>
      <c r="L577" t="s">
        <v>74</v>
      </c>
      <c r="M577" t="s">
        <v>77</v>
      </c>
      <c r="N577" t="s">
        <v>78</v>
      </c>
      <c r="O577" t="s">
        <v>74</v>
      </c>
      <c r="P577" t="s">
        <v>74</v>
      </c>
      <c r="Q577" t="s">
        <v>74</v>
      </c>
      <c r="R577" t="s">
        <v>74</v>
      </c>
      <c r="S577" t="s">
        <v>74</v>
      </c>
      <c r="T577" t="s">
        <v>10023</v>
      </c>
      <c r="U577" t="s">
        <v>10024</v>
      </c>
      <c r="V577" t="s">
        <v>74</v>
      </c>
      <c r="W577" t="s">
        <v>10025</v>
      </c>
      <c r="X577" t="s">
        <v>7909</v>
      </c>
      <c r="Y577" t="s">
        <v>10026</v>
      </c>
      <c r="Z577" t="s">
        <v>10027</v>
      </c>
      <c r="AA577" t="s">
        <v>74</v>
      </c>
      <c r="AB577" t="s">
        <v>74</v>
      </c>
      <c r="AC577" t="s">
        <v>74</v>
      </c>
      <c r="AD577" t="s">
        <v>74</v>
      </c>
      <c r="AE577" t="s">
        <v>74</v>
      </c>
      <c r="AF577" t="s">
        <v>74</v>
      </c>
      <c r="AG577">
        <v>49</v>
      </c>
      <c r="AH577">
        <v>12</v>
      </c>
      <c r="AI577">
        <v>12</v>
      </c>
      <c r="AJ577">
        <v>1</v>
      </c>
      <c r="AK577">
        <v>20</v>
      </c>
      <c r="AL577" t="s">
        <v>7912</v>
      </c>
      <c r="AM577" t="s">
        <v>7913</v>
      </c>
      <c r="AN577" t="s">
        <v>7914</v>
      </c>
      <c r="AO577" t="s">
        <v>7915</v>
      </c>
      <c r="AP577" t="s">
        <v>74</v>
      </c>
      <c r="AQ577" t="s">
        <v>74</v>
      </c>
      <c r="AR577" t="s">
        <v>7917</v>
      </c>
      <c r="AS577" t="s">
        <v>7918</v>
      </c>
      <c r="AT577" t="s">
        <v>74</v>
      </c>
      <c r="AU577">
        <v>2008</v>
      </c>
      <c r="AV577">
        <v>22</v>
      </c>
      <c r="AW577">
        <v>2</v>
      </c>
      <c r="AX577" t="s">
        <v>74</v>
      </c>
      <c r="AY577" t="s">
        <v>74</v>
      </c>
      <c r="AZ577" t="s">
        <v>74</v>
      </c>
      <c r="BA577" t="s">
        <v>74</v>
      </c>
      <c r="BB577">
        <v>195</v>
      </c>
      <c r="BC577">
        <v>215</v>
      </c>
      <c r="BD577" t="s">
        <v>74</v>
      </c>
      <c r="BE577" t="s">
        <v>74</v>
      </c>
      <c r="BF577" t="s">
        <v>74</v>
      </c>
      <c r="BG577" t="s">
        <v>74</v>
      </c>
      <c r="BH577" t="s">
        <v>74</v>
      </c>
      <c r="BI577">
        <v>21</v>
      </c>
      <c r="BJ577" t="s">
        <v>202</v>
      </c>
      <c r="BK577" t="s">
        <v>94</v>
      </c>
      <c r="BL577" t="s">
        <v>203</v>
      </c>
      <c r="BM577" t="s">
        <v>10028</v>
      </c>
      <c r="BN577" t="s">
        <v>74</v>
      </c>
      <c r="BO577" t="s">
        <v>74</v>
      </c>
      <c r="BP577" t="s">
        <v>74</v>
      </c>
      <c r="BQ577" t="s">
        <v>74</v>
      </c>
      <c r="BR577" t="s">
        <v>97</v>
      </c>
      <c r="BS577" t="s">
        <v>10029</v>
      </c>
      <c r="BT577" t="str">
        <f>HYPERLINK("https%3A%2F%2Fwww.webofscience.com%2Fwos%2Fwoscc%2Ffull-record%2FWOS:000257879300006","View Full Record in Web of Science")</f>
        <v>View Full Record in Web of Science</v>
      </c>
    </row>
    <row r="578" spans="1:72" x14ac:dyDescent="0.25">
      <c r="A578" t="s">
        <v>72</v>
      </c>
      <c r="B578" t="s">
        <v>10030</v>
      </c>
      <c r="C578" t="s">
        <v>74</v>
      </c>
      <c r="D578" t="s">
        <v>74</v>
      </c>
      <c r="E578" t="s">
        <v>74</v>
      </c>
      <c r="F578" t="s">
        <v>10030</v>
      </c>
      <c r="G578" t="s">
        <v>74</v>
      </c>
      <c r="H578" t="s">
        <v>74</v>
      </c>
      <c r="I578" t="s">
        <v>10031</v>
      </c>
      <c r="J578" t="s">
        <v>3528</v>
      </c>
      <c r="K578" t="s">
        <v>74</v>
      </c>
      <c r="L578" t="s">
        <v>74</v>
      </c>
      <c r="M578" t="s">
        <v>77</v>
      </c>
      <c r="N578" t="s">
        <v>78</v>
      </c>
      <c r="O578" t="s">
        <v>74</v>
      </c>
      <c r="P578" t="s">
        <v>74</v>
      </c>
      <c r="Q578" t="s">
        <v>74</v>
      </c>
      <c r="R578" t="s">
        <v>74</v>
      </c>
      <c r="S578" t="s">
        <v>74</v>
      </c>
      <c r="T578" t="s">
        <v>74</v>
      </c>
      <c r="U578" t="s">
        <v>10032</v>
      </c>
      <c r="V578" t="s">
        <v>10033</v>
      </c>
      <c r="W578" t="s">
        <v>10034</v>
      </c>
      <c r="X578" t="s">
        <v>10035</v>
      </c>
      <c r="Y578" t="s">
        <v>10036</v>
      </c>
      <c r="Z578" t="s">
        <v>74</v>
      </c>
      <c r="AA578" t="s">
        <v>10037</v>
      </c>
      <c r="AB578" t="s">
        <v>10038</v>
      </c>
      <c r="AC578" t="s">
        <v>74</v>
      </c>
      <c r="AD578" t="s">
        <v>74</v>
      </c>
      <c r="AE578" t="s">
        <v>74</v>
      </c>
      <c r="AF578" t="s">
        <v>74</v>
      </c>
      <c r="AG578">
        <v>56</v>
      </c>
      <c r="AH578">
        <v>12</v>
      </c>
      <c r="AI578">
        <v>12</v>
      </c>
      <c r="AJ578">
        <v>2</v>
      </c>
      <c r="AK578">
        <v>10</v>
      </c>
      <c r="AL578" t="s">
        <v>10039</v>
      </c>
      <c r="AM578" t="s">
        <v>10040</v>
      </c>
      <c r="AN578" t="s">
        <v>10041</v>
      </c>
      <c r="AO578" t="s">
        <v>3537</v>
      </c>
      <c r="AP578" t="s">
        <v>74</v>
      </c>
      <c r="AQ578" t="s">
        <v>74</v>
      </c>
      <c r="AR578" t="s">
        <v>3539</v>
      </c>
      <c r="AS578" t="s">
        <v>3540</v>
      </c>
      <c r="AT578" t="s">
        <v>792</v>
      </c>
      <c r="AU578">
        <v>2001</v>
      </c>
      <c r="AV578">
        <v>21</v>
      </c>
      <c r="AW578">
        <v>3</v>
      </c>
      <c r="AX578" t="s">
        <v>74</v>
      </c>
      <c r="AY578" t="s">
        <v>74</v>
      </c>
      <c r="AZ578" t="s">
        <v>74</v>
      </c>
      <c r="BA578" t="s">
        <v>74</v>
      </c>
      <c r="BB578">
        <v>113</v>
      </c>
      <c r="BC578">
        <v>129</v>
      </c>
      <c r="BD578" t="s">
        <v>74</v>
      </c>
      <c r="BE578" t="s">
        <v>10042</v>
      </c>
      <c r="BF578" t="str">
        <f>HYPERLINK("http://dx.doi.org/10.1080/714005039","http://dx.doi.org/10.1080/714005039")</f>
        <v>http://dx.doi.org/10.1080/714005039</v>
      </c>
      <c r="BG578" t="s">
        <v>74</v>
      </c>
      <c r="BH578" t="s">
        <v>74</v>
      </c>
      <c r="BI578">
        <v>17</v>
      </c>
      <c r="BJ578" t="s">
        <v>442</v>
      </c>
      <c r="BK578" t="s">
        <v>94</v>
      </c>
      <c r="BL578" t="s">
        <v>95</v>
      </c>
      <c r="BM578" t="s">
        <v>10043</v>
      </c>
      <c r="BN578" t="s">
        <v>74</v>
      </c>
      <c r="BO578" t="s">
        <v>74</v>
      </c>
      <c r="BP578" t="s">
        <v>74</v>
      </c>
      <c r="BQ578" t="s">
        <v>74</v>
      </c>
      <c r="BR578" t="s">
        <v>97</v>
      </c>
      <c r="BS578" t="s">
        <v>10044</v>
      </c>
      <c r="BT578" t="str">
        <f>HYPERLINK("https%3A%2F%2Fwww.webofscience.com%2Fwos%2Fwoscc%2Ffull-record%2FWOS:000170383300007","View Full Record in Web of Science")</f>
        <v>View Full Record in Web of Science</v>
      </c>
    </row>
    <row r="579" spans="1:72" x14ac:dyDescent="0.25">
      <c r="A579" t="s">
        <v>72</v>
      </c>
      <c r="B579" t="s">
        <v>10045</v>
      </c>
      <c r="C579" t="s">
        <v>74</v>
      </c>
      <c r="D579" t="s">
        <v>74</v>
      </c>
      <c r="E579" t="s">
        <v>74</v>
      </c>
      <c r="F579" t="s">
        <v>10045</v>
      </c>
      <c r="G579" t="s">
        <v>74</v>
      </c>
      <c r="H579" t="s">
        <v>74</v>
      </c>
      <c r="I579" t="s">
        <v>10046</v>
      </c>
      <c r="J579" t="s">
        <v>10047</v>
      </c>
      <c r="K579" t="s">
        <v>74</v>
      </c>
      <c r="L579" t="s">
        <v>74</v>
      </c>
      <c r="M579" t="s">
        <v>77</v>
      </c>
      <c r="N579" t="s">
        <v>78</v>
      </c>
      <c r="O579" t="s">
        <v>74</v>
      </c>
      <c r="P579" t="s">
        <v>74</v>
      </c>
      <c r="Q579" t="s">
        <v>74</v>
      </c>
      <c r="R579" t="s">
        <v>74</v>
      </c>
      <c r="S579" t="s">
        <v>74</v>
      </c>
      <c r="T579" t="s">
        <v>74</v>
      </c>
      <c r="U579" t="s">
        <v>10048</v>
      </c>
      <c r="V579" t="s">
        <v>10049</v>
      </c>
      <c r="W579" t="s">
        <v>10050</v>
      </c>
      <c r="X579" t="s">
        <v>10051</v>
      </c>
      <c r="Y579" t="s">
        <v>10052</v>
      </c>
      <c r="Z579" t="s">
        <v>74</v>
      </c>
      <c r="AA579" t="s">
        <v>74</v>
      </c>
      <c r="AB579" t="s">
        <v>74</v>
      </c>
      <c r="AC579" t="s">
        <v>74</v>
      </c>
      <c r="AD579" t="s">
        <v>74</v>
      </c>
      <c r="AE579" t="s">
        <v>74</v>
      </c>
      <c r="AF579" t="s">
        <v>74</v>
      </c>
      <c r="AG579">
        <v>34</v>
      </c>
      <c r="AH579">
        <v>12</v>
      </c>
      <c r="AI579">
        <v>12</v>
      </c>
      <c r="AJ579">
        <v>0</v>
      </c>
      <c r="AK579">
        <v>5</v>
      </c>
      <c r="AL579" t="s">
        <v>10053</v>
      </c>
      <c r="AM579" t="s">
        <v>10054</v>
      </c>
      <c r="AN579" t="s">
        <v>10055</v>
      </c>
      <c r="AO579" t="s">
        <v>10056</v>
      </c>
      <c r="AP579" t="s">
        <v>74</v>
      </c>
      <c r="AQ579" t="s">
        <v>74</v>
      </c>
      <c r="AR579" t="s">
        <v>10057</v>
      </c>
      <c r="AS579" t="s">
        <v>10058</v>
      </c>
      <c r="AT579" t="s">
        <v>792</v>
      </c>
      <c r="AU579">
        <v>1998</v>
      </c>
      <c r="AV579">
        <v>217</v>
      </c>
      <c r="AW579">
        <v>4</v>
      </c>
      <c r="AX579" t="s">
        <v>74</v>
      </c>
      <c r="AY579" t="s">
        <v>74</v>
      </c>
      <c r="AZ579" t="s">
        <v>74</v>
      </c>
      <c r="BA579" t="s">
        <v>74</v>
      </c>
      <c r="BB579">
        <v>401</v>
      </c>
      <c r="BC579">
        <v>417</v>
      </c>
      <c r="BD579" t="s">
        <v>74</v>
      </c>
      <c r="BE579" t="s">
        <v>74</v>
      </c>
      <c r="BF579" t="s">
        <v>74</v>
      </c>
      <c r="BG579" t="s">
        <v>74</v>
      </c>
      <c r="BH579" t="s">
        <v>74</v>
      </c>
      <c r="BI579">
        <v>17</v>
      </c>
      <c r="BJ579" t="s">
        <v>10059</v>
      </c>
      <c r="BK579" t="s">
        <v>94</v>
      </c>
      <c r="BL579" t="s">
        <v>10060</v>
      </c>
      <c r="BM579" t="s">
        <v>10061</v>
      </c>
      <c r="BN579" t="s">
        <v>74</v>
      </c>
      <c r="BO579" t="s">
        <v>74</v>
      </c>
      <c r="BP579" t="s">
        <v>74</v>
      </c>
      <c r="BQ579" t="s">
        <v>74</v>
      </c>
      <c r="BR579" t="s">
        <v>97</v>
      </c>
      <c r="BS579" t="s">
        <v>10062</v>
      </c>
      <c r="BT579" t="str">
        <f>HYPERLINK("https%3A%2F%2Fwww.webofscience.com%2Fwos%2Fwoscc%2Ffull-record%2FWOS:000075171100001","View Full Record in Web of Science")</f>
        <v>View Full Record in Web of Science</v>
      </c>
    </row>
    <row r="580" spans="1:72" x14ac:dyDescent="0.25">
      <c r="A580" t="s">
        <v>72</v>
      </c>
      <c r="B580" t="s">
        <v>10063</v>
      </c>
      <c r="C580" t="s">
        <v>74</v>
      </c>
      <c r="D580" t="s">
        <v>74</v>
      </c>
      <c r="E580" t="s">
        <v>74</v>
      </c>
      <c r="F580" t="s">
        <v>10063</v>
      </c>
      <c r="G580" t="s">
        <v>74</v>
      </c>
      <c r="H580" t="s">
        <v>74</v>
      </c>
      <c r="I580" t="s">
        <v>10064</v>
      </c>
      <c r="J580" t="s">
        <v>186</v>
      </c>
      <c r="K580" t="s">
        <v>74</v>
      </c>
      <c r="L580" t="s">
        <v>74</v>
      </c>
      <c r="M580" t="s">
        <v>77</v>
      </c>
      <c r="N580" t="s">
        <v>78</v>
      </c>
      <c r="O580" t="s">
        <v>74</v>
      </c>
      <c r="P580" t="s">
        <v>74</v>
      </c>
      <c r="Q580" t="s">
        <v>74</v>
      </c>
      <c r="R580" t="s">
        <v>74</v>
      </c>
      <c r="S580" t="s">
        <v>74</v>
      </c>
      <c r="T580" t="s">
        <v>74</v>
      </c>
      <c r="U580" t="s">
        <v>74</v>
      </c>
      <c r="V580" t="s">
        <v>74</v>
      </c>
      <c r="W580" t="s">
        <v>74</v>
      </c>
      <c r="X580" t="s">
        <v>74</v>
      </c>
      <c r="Y580" t="s">
        <v>74</v>
      </c>
      <c r="Z580" t="s">
        <v>74</v>
      </c>
      <c r="AA580" t="s">
        <v>74</v>
      </c>
      <c r="AB580" t="s">
        <v>74</v>
      </c>
      <c r="AC580" t="s">
        <v>74</v>
      </c>
      <c r="AD580" t="s">
        <v>74</v>
      </c>
      <c r="AE580" t="s">
        <v>74</v>
      </c>
      <c r="AF580" t="s">
        <v>74</v>
      </c>
      <c r="AG580">
        <v>19</v>
      </c>
      <c r="AH580">
        <v>12</v>
      </c>
      <c r="AI580">
        <v>13</v>
      </c>
      <c r="AJ580">
        <v>0</v>
      </c>
      <c r="AK580">
        <v>22</v>
      </c>
      <c r="AL580" t="s">
        <v>194</v>
      </c>
      <c r="AM580" t="s">
        <v>195</v>
      </c>
      <c r="AN580" t="s">
        <v>1341</v>
      </c>
      <c r="AO580" t="s">
        <v>197</v>
      </c>
      <c r="AP580" t="s">
        <v>74</v>
      </c>
      <c r="AQ580" t="s">
        <v>74</v>
      </c>
      <c r="AR580" t="s">
        <v>198</v>
      </c>
      <c r="AS580" t="s">
        <v>199</v>
      </c>
      <c r="AT580" t="s">
        <v>74</v>
      </c>
      <c r="AU580">
        <v>1963</v>
      </c>
      <c r="AV580">
        <v>47</v>
      </c>
      <c r="AW580">
        <v>3</v>
      </c>
      <c r="AX580" t="s">
        <v>74</v>
      </c>
      <c r="AY580" t="s">
        <v>74</v>
      </c>
      <c r="AZ580" t="s">
        <v>74</v>
      </c>
      <c r="BA580" t="s">
        <v>74</v>
      </c>
      <c r="BB580">
        <v>206</v>
      </c>
      <c r="BC580">
        <v>213</v>
      </c>
      <c r="BD580" t="s">
        <v>74</v>
      </c>
      <c r="BE580" t="s">
        <v>10065</v>
      </c>
      <c r="BF580" t="str">
        <f>HYPERLINK("http://dx.doi.org/10.1037/h0049211","http://dx.doi.org/10.1037/h0049211")</f>
        <v>http://dx.doi.org/10.1037/h0049211</v>
      </c>
      <c r="BG580" t="s">
        <v>74</v>
      </c>
      <c r="BH580" t="s">
        <v>74</v>
      </c>
      <c r="BI580">
        <v>8</v>
      </c>
      <c r="BJ580" t="s">
        <v>202</v>
      </c>
      <c r="BK580" t="s">
        <v>94</v>
      </c>
      <c r="BL580" t="s">
        <v>203</v>
      </c>
      <c r="BM580" t="s">
        <v>10066</v>
      </c>
      <c r="BN580" t="s">
        <v>74</v>
      </c>
      <c r="BO580" t="s">
        <v>74</v>
      </c>
      <c r="BP580" t="s">
        <v>74</v>
      </c>
      <c r="BQ580" t="s">
        <v>74</v>
      </c>
      <c r="BR580" t="s">
        <v>97</v>
      </c>
      <c r="BS580" t="s">
        <v>10067</v>
      </c>
      <c r="BT580" t="str">
        <f>HYPERLINK("https%3A%2F%2Fwww.webofscience.com%2Fwos%2Fwoscc%2Ffull-record%2FWOS:A1963CAK6300009","View Full Record in Web of Science")</f>
        <v>View Full Record in Web of Science</v>
      </c>
    </row>
    <row r="581" spans="1:72" x14ac:dyDescent="0.25">
      <c r="A581" t="s">
        <v>72</v>
      </c>
      <c r="B581" t="s">
        <v>10068</v>
      </c>
      <c r="C581" t="s">
        <v>74</v>
      </c>
      <c r="D581" t="s">
        <v>74</v>
      </c>
      <c r="E581" t="s">
        <v>74</v>
      </c>
      <c r="F581" t="s">
        <v>10069</v>
      </c>
      <c r="G581" t="s">
        <v>74</v>
      </c>
      <c r="H581" t="s">
        <v>74</v>
      </c>
      <c r="I581" t="s">
        <v>10070</v>
      </c>
      <c r="J581" t="s">
        <v>10071</v>
      </c>
      <c r="K581" t="s">
        <v>74</v>
      </c>
      <c r="L581" t="s">
        <v>74</v>
      </c>
      <c r="M581" t="s">
        <v>77</v>
      </c>
      <c r="N581" t="s">
        <v>78</v>
      </c>
      <c r="O581" t="s">
        <v>74</v>
      </c>
      <c r="P581" t="s">
        <v>74</v>
      </c>
      <c r="Q581" t="s">
        <v>74</v>
      </c>
      <c r="R581" t="s">
        <v>74</v>
      </c>
      <c r="S581" t="s">
        <v>74</v>
      </c>
      <c r="T581" t="s">
        <v>10072</v>
      </c>
      <c r="U581" t="s">
        <v>10073</v>
      </c>
      <c r="V581" t="s">
        <v>10074</v>
      </c>
      <c r="W581" t="s">
        <v>10075</v>
      </c>
      <c r="X581" t="s">
        <v>10076</v>
      </c>
      <c r="Y581" t="s">
        <v>10077</v>
      </c>
      <c r="Z581" t="s">
        <v>10078</v>
      </c>
      <c r="AA581" t="s">
        <v>10079</v>
      </c>
      <c r="AB581" t="s">
        <v>10080</v>
      </c>
      <c r="AC581" t="s">
        <v>10081</v>
      </c>
      <c r="AD581" t="s">
        <v>10082</v>
      </c>
      <c r="AE581" t="s">
        <v>10083</v>
      </c>
      <c r="AF581" t="s">
        <v>74</v>
      </c>
      <c r="AG581">
        <v>73</v>
      </c>
      <c r="AH581">
        <v>11</v>
      </c>
      <c r="AI581">
        <v>11</v>
      </c>
      <c r="AJ581">
        <v>24</v>
      </c>
      <c r="AK581">
        <v>54</v>
      </c>
      <c r="AL581" t="s">
        <v>218</v>
      </c>
      <c r="AM581" t="s">
        <v>219</v>
      </c>
      <c r="AN581" t="s">
        <v>220</v>
      </c>
      <c r="AO581" t="s">
        <v>10084</v>
      </c>
      <c r="AP581" t="s">
        <v>10085</v>
      </c>
      <c r="AQ581" t="s">
        <v>74</v>
      </c>
      <c r="AR581" t="s">
        <v>10086</v>
      </c>
      <c r="AS581" t="s">
        <v>10087</v>
      </c>
      <c r="AT581" t="s">
        <v>392</v>
      </c>
      <c r="AU581">
        <v>2022</v>
      </c>
      <c r="AV581">
        <v>14</v>
      </c>
      <c r="AW581">
        <v>3</v>
      </c>
      <c r="AX581" t="s">
        <v>74</v>
      </c>
      <c r="AY581" t="s">
        <v>74</v>
      </c>
      <c r="AZ581" t="s">
        <v>74</v>
      </c>
      <c r="BA581" t="s">
        <v>74</v>
      </c>
      <c r="BB581">
        <v>715</v>
      </c>
      <c r="BC581">
        <v>733</v>
      </c>
      <c r="BD581" t="s">
        <v>74</v>
      </c>
      <c r="BE581" t="s">
        <v>10088</v>
      </c>
      <c r="BF581" t="str">
        <f>HYPERLINK("http://dx.doi.org/10.1111/aphw.12343","http://dx.doi.org/10.1111/aphw.12343")</f>
        <v>http://dx.doi.org/10.1111/aphw.12343</v>
      </c>
      <c r="BG581" t="s">
        <v>74</v>
      </c>
      <c r="BH581" t="s">
        <v>10089</v>
      </c>
      <c r="BI581">
        <v>19</v>
      </c>
      <c r="BJ581" t="s">
        <v>692</v>
      </c>
      <c r="BK581" t="s">
        <v>94</v>
      </c>
      <c r="BL581" t="s">
        <v>460</v>
      </c>
      <c r="BM581" t="s">
        <v>10090</v>
      </c>
      <c r="BN581">
        <v>35112487</v>
      </c>
      <c r="BO581" t="s">
        <v>74</v>
      </c>
      <c r="BP581" t="s">
        <v>150</v>
      </c>
      <c r="BQ581" t="s">
        <v>151</v>
      </c>
      <c r="BR581" t="s">
        <v>97</v>
      </c>
      <c r="BS581" t="s">
        <v>10091</v>
      </c>
      <c r="BT581" t="str">
        <f>HYPERLINK("https%3A%2F%2Fwww.webofscience.com%2Fwos%2Fwoscc%2Ffull-record%2FWOS:000750213300001","View Full Record in Web of Science")</f>
        <v>View Full Record in Web of Science</v>
      </c>
    </row>
    <row r="582" spans="1:72" x14ac:dyDescent="0.25">
      <c r="A582" t="s">
        <v>72</v>
      </c>
      <c r="B582" t="s">
        <v>10092</v>
      </c>
      <c r="C582" t="s">
        <v>74</v>
      </c>
      <c r="D582" t="s">
        <v>74</v>
      </c>
      <c r="E582" t="s">
        <v>74</v>
      </c>
      <c r="F582" t="s">
        <v>10093</v>
      </c>
      <c r="G582" t="s">
        <v>74</v>
      </c>
      <c r="H582" t="s">
        <v>74</v>
      </c>
      <c r="I582" t="s">
        <v>10094</v>
      </c>
      <c r="J582" t="s">
        <v>9332</v>
      </c>
      <c r="K582" t="s">
        <v>74</v>
      </c>
      <c r="L582" t="s">
        <v>74</v>
      </c>
      <c r="M582" t="s">
        <v>77</v>
      </c>
      <c r="N582" t="s">
        <v>10095</v>
      </c>
      <c r="O582" t="s">
        <v>74</v>
      </c>
      <c r="P582" t="s">
        <v>74</v>
      </c>
      <c r="Q582" t="s">
        <v>74</v>
      </c>
      <c r="R582" t="s">
        <v>74</v>
      </c>
      <c r="S582" t="s">
        <v>74</v>
      </c>
      <c r="T582" t="s">
        <v>10096</v>
      </c>
      <c r="U582" t="s">
        <v>10097</v>
      </c>
      <c r="V582" t="s">
        <v>10098</v>
      </c>
      <c r="W582" t="s">
        <v>10099</v>
      </c>
      <c r="X582" t="s">
        <v>10100</v>
      </c>
      <c r="Y582" t="s">
        <v>10101</v>
      </c>
      <c r="Z582" t="s">
        <v>10102</v>
      </c>
      <c r="AA582" t="s">
        <v>10103</v>
      </c>
      <c r="AB582" t="s">
        <v>10104</v>
      </c>
      <c r="AC582" t="s">
        <v>10105</v>
      </c>
      <c r="AD582" t="s">
        <v>10106</v>
      </c>
      <c r="AE582" t="s">
        <v>10107</v>
      </c>
      <c r="AF582" t="s">
        <v>74</v>
      </c>
      <c r="AG582">
        <v>51</v>
      </c>
      <c r="AH582">
        <v>11</v>
      </c>
      <c r="AI582">
        <v>11</v>
      </c>
      <c r="AJ582">
        <v>9</v>
      </c>
      <c r="AK582">
        <v>34</v>
      </c>
      <c r="AL582" t="s">
        <v>766</v>
      </c>
      <c r="AM582" t="s">
        <v>330</v>
      </c>
      <c r="AN582" t="s">
        <v>1452</v>
      </c>
      <c r="AO582" t="s">
        <v>9344</v>
      </c>
      <c r="AP582" t="s">
        <v>9345</v>
      </c>
      <c r="AQ582" t="s">
        <v>74</v>
      </c>
      <c r="AR582" t="s">
        <v>9346</v>
      </c>
      <c r="AS582" t="s">
        <v>9347</v>
      </c>
      <c r="AT582" t="s">
        <v>74</v>
      </c>
      <c r="AU582" t="s">
        <v>74</v>
      </c>
      <c r="AV582" t="s">
        <v>74</v>
      </c>
      <c r="AW582" t="s">
        <v>74</v>
      </c>
      <c r="AX582" t="s">
        <v>74</v>
      </c>
      <c r="AY582" t="s">
        <v>74</v>
      </c>
      <c r="AZ582" t="s">
        <v>74</v>
      </c>
      <c r="BA582" t="s">
        <v>74</v>
      </c>
      <c r="BB582" t="s">
        <v>74</v>
      </c>
      <c r="BC582" t="s">
        <v>74</v>
      </c>
      <c r="BD582" t="s">
        <v>74</v>
      </c>
      <c r="BE582" t="s">
        <v>10108</v>
      </c>
      <c r="BF582" t="str">
        <f>HYPERLINK("http://dx.doi.org/10.1007/s12144-021-02567-w","http://dx.doi.org/10.1007/s12144-021-02567-w")</f>
        <v>http://dx.doi.org/10.1007/s12144-021-02567-w</v>
      </c>
      <c r="BG582" t="s">
        <v>74</v>
      </c>
      <c r="BH582" t="s">
        <v>9259</v>
      </c>
      <c r="BI582">
        <v>8</v>
      </c>
      <c r="BJ582" t="s">
        <v>3203</v>
      </c>
      <c r="BK582" t="s">
        <v>94</v>
      </c>
      <c r="BL582" t="s">
        <v>460</v>
      </c>
      <c r="BM582" t="s">
        <v>10109</v>
      </c>
      <c r="BN582" t="s">
        <v>74</v>
      </c>
      <c r="BO582" t="s">
        <v>74</v>
      </c>
      <c r="BP582" t="s">
        <v>74</v>
      </c>
      <c r="BQ582" t="s">
        <v>74</v>
      </c>
      <c r="BR582" t="s">
        <v>97</v>
      </c>
      <c r="BS582" t="s">
        <v>10110</v>
      </c>
      <c r="BT582" t="str">
        <f>HYPERLINK("https%3A%2F%2Fwww.webofscience.com%2Fwos%2Fwoscc%2Ffull-record%2FWOS:000742246400004","View Full Record in Web of Science")</f>
        <v>View Full Record in Web of Science</v>
      </c>
    </row>
    <row r="583" spans="1:72" x14ac:dyDescent="0.25">
      <c r="A583" t="s">
        <v>72</v>
      </c>
      <c r="B583" t="s">
        <v>10111</v>
      </c>
      <c r="C583" t="s">
        <v>74</v>
      </c>
      <c r="D583" t="s">
        <v>74</v>
      </c>
      <c r="E583" t="s">
        <v>74</v>
      </c>
      <c r="F583" t="s">
        <v>10112</v>
      </c>
      <c r="G583" t="s">
        <v>74</v>
      </c>
      <c r="H583" t="s">
        <v>74</v>
      </c>
      <c r="I583" t="s">
        <v>10113</v>
      </c>
      <c r="J583" t="s">
        <v>10114</v>
      </c>
      <c r="K583" t="s">
        <v>74</v>
      </c>
      <c r="L583" t="s">
        <v>74</v>
      </c>
      <c r="M583" t="s">
        <v>77</v>
      </c>
      <c r="N583" t="s">
        <v>78</v>
      </c>
      <c r="O583" t="s">
        <v>74</v>
      </c>
      <c r="P583" t="s">
        <v>74</v>
      </c>
      <c r="Q583" t="s">
        <v>74</v>
      </c>
      <c r="R583" t="s">
        <v>74</v>
      </c>
      <c r="S583" t="s">
        <v>74</v>
      </c>
      <c r="T583" t="s">
        <v>10115</v>
      </c>
      <c r="U583" t="s">
        <v>10116</v>
      </c>
      <c r="V583" t="s">
        <v>10117</v>
      </c>
      <c r="W583" t="s">
        <v>10118</v>
      </c>
      <c r="X583" t="s">
        <v>10119</v>
      </c>
      <c r="Y583" t="s">
        <v>10120</v>
      </c>
      <c r="Z583" t="s">
        <v>10121</v>
      </c>
      <c r="AA583" t="s">
        <v>74</v>
      </c>
      <c r="AB583" t="s">
        <v>10122</v>
      </c>
      <c r="AC583" t="s">
        <v>74</v>
      </c>
      <c r="AD583" t="s">
        <v>74</v>
      </c>
      <c r="AE583" t="s">
        <v>74</v>
      </c>
      <c r="AF583" t="s">
        <v>74</v>
      </c>
      <c r="AG583">
        <v>136</v>
      </c>
      <c r="AH583">
        <v>11</v>
      </c>
      <c r="AI583">
        <v>11</v>
      </c>
      <c r="AJ583">
        <v>21</v>
      </c>
      <c r="AK583">
        <v>60</v>
      </c>
      <c r="AL583" t="s">
        <v>2304</v>
      </c>
      <c r="AM583" t="s">
        <v>160</v>
      </c>
      <c r="AN583" t="s">
        <v>2305</v>
      </c>
      <c r="AO583" t="s">
        <v>10123</v>
      </c>
      <c r="AP583" t="s">
        <v>10124</v>
      </c>
      <c r="AQ583" t="s">
        <v>74</v>
      </c>
      <c r="AR583" t="s">
        <v>10125</v>
      </c>
      <c r="AS583" t="s">
        <v>10126</v>
      </c>
      <c r="AT583" t="s">
        <v>584</v>
      </c>
      <c r="AU583">
        <v>2021</v>
      </c>
      <c r="AV583">
        <v>107</v>
      </c>
      <c r="AW583" t="s">
        <v>74</v>
      </c>
      <c r="AX583" t="s">
        <v>74</v>
      </c>
      <c r="AY583" t="s">
        <v>74</v>
      </c>
      <c r="AZ583" t="s">
        <v>74</v>
      </c>
      <c r="BA583" t="s">
        <v>74</v>
      </c>
      <c r="BB583" t="s">
        <v>74</v>
      </c>
      <c r="BC583" t="s">
        <v>74</v>
      </c>
      <c r="BD583">
        <v>103491</v>
      </c>
      <c r="BE583" t="s">
        <v>10127</v>
      </c>
      <c r="BF583" t="str">
        <f>HYPERLINK("http://dx.doi.org/10.1016/j.tate.2021.103491","http://dx.doi.org/10.1016/j.tate.2021.103491")</f>
        <v>http://dx.doi.org/10.1016/j.tate.2021.103491</v>
      </c>
      <c r="BG583" t="s">
        <v>74</v>
      </c>
      <c r="BH583" t="s">
        <v>6758</v>
      </c>
      <c r="BI583">
        <v>12</v>
      </c>
      <c r="BJ583" t="s">
        <v>815</v>
      </c>
      <c r="BK583" t="s">
        <v>94</v>
      </c>
      <c r="BL583" t="s">
        <v>815</v>
      </c>
      <c r="BM583" t="s">
        <v>10128</v>
      </c>
      <c r="BN583" t="s">
        <v>74</v>
      </c>
      <c r="BO583" t="s">
        <v>74</v>
      </c>
      <c r="BP583" t="s">
        <v>74</v>
      </c>
      <c r="BQ583" t="s">
        <v>74</v>
      </c>
      <c r="BR583" t="s">
        <v>97</v>
      </c>
      <c r="BS583" t="s">
        <v>10129</v>
      </c>
      <c r="BT583" t="str">
        <f>HYPERLINK("https%3A%2F%2Fwww.webofscience.com%2Fwos%2Fwoscc%2Ffull-record%2FWOS:000705206000003","View Full Record in Web of Science")</f>
        <v>View Full Record in Web of Science</v>
      </c>
    </row>
    <row r="584" spans="1:72" x14ac:dyDescent="0.25">
      <c r="A584" t="s">
        <v>72</v>
      </c>
      <c r="B584" t="s">
        <v>10130</v>
      </c>
      <c r="C584" t="s">
        <v>74</v>
      </c>
      <c r="D584" t="s">
        <v>74</v>
      </c>
      <c r="E584" t="s">
        <v>74</v>
      </c>
      <c r="F584" t="s">
        <v>10131</v>
      </c>
      <c r="G584" t="s">
        <v>74</v>
      </c>
      <c r="H584" t="s">
        <v>74</v>
      </c>
      <c r="I584" t="s">
        <v>10132</v>
      </c>
      <c r="J584" t="s">
        <v>4081</v>
      </c>
      <c r="K584" t="s">
        <v>74</v>
      </c>
      <c r="L584" t="s">
        <v>74</v>
      </c>
      <c r="M584" t="s">
        <v>77</v>
      </c>
      <c r="N584" t="s">
        <v>78</v>
      </c>
      <c r="O584" t="s">
        <v>74</v>
      </c>
      <c r="P584" t="s">
        <v>74</v>
      </c>
      <c r="Q584" t="s">
        <v>74</v>
      </c>
      <c r="R584" t="s">
        <v>74</v>
      </c>
      <c r="S584" t="s">
        <v>74</v>
      </c>
      <c r="T584" t="s">
        <v>10133</v>
      </c>
      <c r="U584" t="s">
        <v>74</v>
      </c>
      <c r="V584" t="s">
        <v>10134</v>
      </c>
      <c r="W584" t="s">
        <v>10135</v>
      </c>
      <c r="X584" t="s">
        <v>10136</v>
      </c>
      <c r="Y584" t="s">
        <v>10137</v>
      </c>
      <c r="Z584" t="s">
        <v>10138</v>
      </c>
      <c r="AA584" t="s">
        <v>10139</v>
      </c>
      <c r="AB584" t="s">
        <v>10140</v>
      </c>
      <c r="AC584" t="s">
        <v>10141</v>
      </c>
      <c r="AD584" t="s">
        <v>10142</v>
      </c>
      <c r="AE584" t="s">
        <v>10143</v>
      </c>
      <c r="AF584" t="s">
        <v>74</v>
      </c>
      <c r="AG584">
        <v>29</v>
      </c>
      <c r="AH584">
        <v>11</v>
      </c>
      <c r="AI584">
        <v>11</v>
      </c>
      <c r="AJ584">
        <v>5</v>
      </c>
      <c r="AK584">
        <v>36</v>
      </c>
      <c r="AL584" t="s">
        <v>218</v>
      </c>
      <c r="AM584" t="s">
        <v>219</v>
      </c>
      <c r="AN584" t="s">
        <v>220</v>
      </c>
      <c r="AO584" t="s">
        <v>4093</v>
      </c>
      <c r="AP584" t="s">
        <v>4094</v>
      </c>
      <c r="AQ584" t="s">
        <v>74</v>
      </c>
      <c r="AR584" t="s">
        <v>4095</v>
      </c>
      <c r="AS584" t="s">
        <v>4096</v>
      </c>
      <c r="AT584" t="s">
        <v>496</v>
      </c>
      <c r="AU584">
        <v>2021</v>
      </c>
      <c r="AV584">
        <v>29</v>
      </c>
      <c r="AW584">
        <v>6</v>
      </c>
      <c r="AX584" t="s">
        <v>74</v>
      </c>
      <c r="AY584" t="s">
        <v>74</v>
      </c>
      <c r="AZ584" t="s">
        <v>74</v>
      </c>
      <c r="BA584" t="s">
        <v>74</v>
      </c>
      <c r="BB584">
        <v>1517</v>
      </c>
      <c r="BC584">
        <v>1524</v>
      </c>
      <c r="BD584" t="s">
        <v>74</v>
      </c>
      <c r="BE584" t="s">
        <v>10144</v>
      </c>
      <c r="BF584" t="str">
        <f>HYPERLINK("http://dx.doi.org/10.1111/jonm.13298","http://dx.doi.org/10.1111/jonm.13298")</f>
        <v>http://dx.doi.org/10.1111/jonm.13298</v>
      </c>
      <c r="BG584" t="s">
        <v>74</v>
      </c>
      <c r="BH584" t="s">
        <v>5544</v>
      </c>
      <c r="BI584">
        <v>8</v>
      </c>
      <c r="BJ584" t="s">
        <v>4098</v>
      </c>
      <c r="BK584" t="s">
        <v>147</v>
      </c>
      <c r="BL584" t="s">
        <v>4099</v>
      </c>
      <c r="BM584" t="s">
        <v>10145</v>
      </c>
      <c r="BN584">
        <v>33641199</v>
      </c>
      <c r="BO584" t="s">
        <v>10146</v>
      </c>
      <c r="BP584" t="s">
        <v>74</v>
      </c>
      <c r="BQ584" t="s">
        <v>74</v>
      </c>
      <c r="BR584" t="s">
        <v>97</v>
      </c>
      <c r="BS584" t="s">
        <v>10147</v>
      </c>
      <c r="BT584" t="str">
        <f>HYPERLINK("https%3A%2F%2Fwww.webofscience.com%2Fwos%2Fwoscc%2Ffull-record%2FWOS:000630322900001","View Full Record in Web of Science")</f>
        <v>View Full Record in Web of Science</v>
      </c>
    </row>
    <row r="585" spans="1:72" x14ac:dyDescent="0.25">
      <c r="A585" t="s">
        <v>72</v>
      </c>
      <c r="B585" t="s">
        <v>10148</v>
      </c>
      <c r="C585" t="s">
        <v>74</v>
      </c>
      <c r="D585" t="s">
        <v>74</v>
      </c>
      <c r="E585" t="s">
        <v>74</v>
      </c>
      <c r="F585" t="s">
        <v>10149</v>
      </c>
      <c r="G585" t="s">
        <v>74</v>
      </c>
      <c r="H585" t="s">
        <v>74</v>
      </c>
      <c r="I585" t="s">
        <v>10150</v>
      </c>
      <c r="J585" t="s">
        <v>4134</v>
      </c>
      <c r="K585" t="s">
        <v>74</v>
      </c>
      <c r="L585" t="s">
        <v>74</v>
      </c>
      <c r="M585" t="s">
        <v>77</v>
      </c>
      <c r="N585" t="s">
        <v>78</v>
      </c>
      <c r="O585" t="s">
        <v>74</v>
      </c>
      <c r="P585" t="s">
        <v>74</v>
      </c>
      <c r="Q585" t="s">
        <v>74</v>
      </c>
      <c r="R585" t="s">
        <v>74</v>
      </c>
      <c r="S585" t="s">
        <v>74</v>
      </c>
      <c r="T585" t="s">
        <v>10151</v>
      </c>
      <c r="U585" t="s">
        <v>10152</v>
      </c>
      <c r="V585" t="s">
        <v>10153</v>
      </c>
      <c r="W585" t="s">
        <v>10154</v>
      </c>
      <c r="X585" t="s">
        <v>10155</v>
      </c>
      <c r="Y585" t="s">
        <v>10156</v>
      </c>
      <c r="Z585" t="s">
        <v>10157</v>
      </c>
      <c r="AA585" t="s">
        <v>10158</v>
      </c>
      <c r="AB585" t="s">
        <v>10159</v>
      </c>
      <c r="AC585" t="s">
        <v>74</v>
      </c>
      <c r="AD585" t="s">
        <v>74</v>
      </c>
      <c r="AE585" t="s">
        <v>74</v>
      </c>
      <c r="AF585" t="s">
        <v>74</v>
      </c>
      <c r="AG585">
        <v>68</v>
      </c>
      <c r="AH585">
        <v>11</v>
      </c>
      <c r="AI585">
        <v>11</v>
      </c>
      <c r="AJ585">
        <v>1</v>
      </c>
      <c r="AK585">
        <v>28</v>
      </c>
      <c r="AL585" t="s">
        <v>665</v>
      </c>
      <c r="AM585" t="s">
        <v>666</v>
      </c>
      <c r="AN585" t="s">
        <v>667</v>
      </c>
      <c r="AO585" t="s">
        <v>4144</v>
      </c>
      <c r="AP585" t="s">
        <v>4145</v>
      </c>
      <c r="AQ585" t="s">
        <v>74</v>
      </c>
      <c r="AR585" t="s">
        <v>4146</v>
      </c>
      <c r="AS585" t="s">
        <v>4147</v>
      </c>
      <c r="AT585" t="s">
        <v>10160</v>
      </c>
      <c r="AU585">
        <v>2022</v>
      </c>
      <c r="AV585">
        <v>25</v>
      </c>
      <c r="AW585">
        <v>2</v>
      </c>
      <c r="AX585" t="s">
        <v>74</v>
      </c>
      <c r="AY585" t="s">
        <v>74</v>
      </c>
      <c r="AZ585" t="s">
        <v>74</v>
      </c>
      <c r="BA585" t="s">
        <v>74</v>
      </c>
      <c r="BB585">
        <v>592</v>
      </c>
      <c r="BC585">
        <v>606</v>
      </c>
      <c r="BD585" t="s">
        <v>74</v>
      </c>
      <c r="BE585" t="s">
        <v>10161</v>
      </c>
      <c r="BF585" t="str">
        <f>HYPERLINK("http://dx.doi.org/10.1108/EJIM-07-2020-0305","http://dx.doi.org/10.1108/EJIM-07-2020-0305")</f>
        <v>http://dx.doi.org/10.1108/EJIM-07-2020-0305</v>
      </c>
      <c r="BG585" t="s">
        <v>74</v>
      </c>
      <c r="BH585" t="s">
        <v>10162</v>
      </c>
      <c r="BI585">
        <v>15</v>
      </c>
      <c r="BJ585" t="s">
        <v>93</v>
      </c>
      <c r="BK585" t="s">
        <v>94</v>
      </c>
      <c r="BL585" t="s">
        <v>95</v>
      </c>
      <c r="BM585" t="s">
        <v>10163</v>
      </c>
      <c r="BN585" t="s">
        <v>74</v>
      </c>
      <c r="BO585" t="s">
        <v>74</v>
      </c>
      <c r="BP585" t="s">
        <v>74</v>
      </c>
      <c r="BQ585" t="s">
        <v>74</v>
      </c>
      <c r="BR585" t="s">
        <v>97</v>
      </c>
      <c r="BS585" t="s">
        <v>10164</v>
      </c>
      <c r="BT585" t="str">
        <f>HYPERLINK("https%3A%2F%2Fwww.webofscience.com%2Fwos%2Fwoscc%2Ffull-record%2FWOS:000616126300001","View Full Record in Web of Science")</f>
        <v>View Full Record in Web of Science</v>
      </c>
    </row>
    <row r="586" spans="1:72" x14ac:dyDescent="0.25">
      <c r="A586" t="s">
        <v>72</v>
      </c>
      <c r="B586" t="s">
        <v>10165</v>
      </c>
      <c r="C586" t="s">
        <v>74</v>
      </c>
      <c r="D586" t="s">
        <v>74</v>
      </c>
      <c r="E586" t="s">
        <v>74</v>
      </c>
      <c r="F586" t="s">
        <v>10166</v>
      </c>
      <c r="G586" t="s">
        <v>74</v>
      </c>
      <c r="H586" t="s">
        <v>74</v>
      </c>
      <c r="I586" t="s">
        <v>10167</v>
      </c>
      <c r="J586" t="s">
        <v>2463</v>
      </c>
      <c r="K586" t="s">
        <v>74</v>
      </c>
      <c r="L586" t="s">
        <v>74</v>
      </c>
      <c r="M586" t="s">
        <v>77</v>
      </c>
      <c r="N586" t="s">
        <v>78</v>
      </c>
      <c r="O586" t="s">
        <v>74</v>
      </c>
      <c r="P586" t="s">
        <v>74</v>
      </c>
      <c r="Q586" t="s">
        <v>74</v>
      </c>
      <c r="R586" t="s">
        <v>74</v>
      </c>
      <c r="S586" t="s">
        <v>74</v>
      </c>
      <c r="T586" t="s">
        <v>10168</v>
      </c>
      <c r="U586" t="s">
        <v>10169</v>
      </c>
      <c r="V586" t="s">
        <v>10170</v>
      </c>
      <c r="W586" t="s">
        <v>10171</v>
      </c>
      <c r="X586" t="s">
        <v>10172</v>
      </c>
      <c r="Y586" t="s">
        <v>10173</v>
      </c>
      <c r="Z586" t="s">
        <v>10174</v>
      </c>
      <c r="AA586" t="s">
        <v>74</v>
      </c>
      <c r="AB586" t="s">
        <v>74</v>
      </c>
      <c r="AC586" t="s">
        <v>10175</v>
      </c>
      <c r="AD586" t="s">
        <v>575</v>
      </c>
      <c r="AE586" t="s">
        <v>10176</v>
      </c>
      <c r="AF586" t="s">
        <v>74</v>
      </c>
      <c r="AG586">
        <v>68</v>
      </c>
      <c r="AH586">
        <v>11</v>
      </c>
      <c r="AI586">
        <v>11</v>
      </c>
      <c r="AJ586">
        <v>17</v>
      </c>
      <c r="AK586">
        <v>82</v>
      </c>
      <c r="AL586" t="s">
        <v>2473</v>
      </c>
      <c r="AM586" t="s">
        <v>2102</v>
      </c>
      <c r="AN586" t="s">
        <v>2474</v>
      </c>
      <c r="AO586" t="s">
        <v>74</v>
      </c>
      <c r="AP586" t="s">
        <v>2475</v>
      </c>
      <c r="AQ586" t="s">
        <v>74</v>
      </c>
      <c r="AR586" t="s">
        <v>2476</v>
      </c>
      <c r="AS586" t="s">
        <v>2477</v>
      </c>
      <c r="AT586" t="s">
        <v>405</v>
      </c>
      <c r="AU586">
        <v>2021</v>
      </c>
      <c r="AV586">
        <v>13</v>
      </c>
      <c r="AW586">
        <v>3</v>
      </c>
      <c r="AX586" t="s">
        <v>74</v>
      </c>
      <c r="AY586" t="s">
        <v>74</v>
      </c>
      <c r="AZ586" t="s">
        <v>74</v>
      </c>
      <c r="BA586" t="s">
        <v>74</v>
      </c>
      <c r="BB586" t="s">
        <v>74</v>
      </c>
      <c r="BC586" t="s">
        <v>74</v>
      </c>
      <c r="BD586">
        <v>1359</v>
      </c>
      <c r="BE586" t="s">
        <v>10177</v>
      </c>
      <c r="BF586" t="str">
        <f>HYPERLINK("http://dx.doi.org/10.3390/su13031359","http://dx.doi.org/10.3390/su13031359")</f>
        <v>http://dx.doi.org/10.3390/su13031359</v>
      </c>
      <c r="BG586" t="s">
        <v>74</v>
      </c>
      <c r="BH586" t="s">
        <v>74</v>
      </c>
      <c r="BI586">
        <v>15</v>
      </c>
      <c r="BJ586" t="s">
        <v>2479</v>
      </c>
      <c r="BK586" t="s">
        <v>147</v>
      </c>
      <c r="BL586" t="s">
        <v>2480</v>
      </c>
      <c r="BM586" t="s">
        <v>10178</v>
      </c>
      <c r="BN586" t="s">
        <v>74</v>
      </c>
      <c r="BO586" t="s">
        <v>3205</v>
      </c>
      <c r="BP586" t="s">
        <v>74</v>
      </c>
      <c r="BQ586" t="s">
        <v>74</v>
      </c>
      <c r="BR586" t="s">
        <v>97</v>
      </c>
      <c r="BS586" t="s">
        <v>10179</v>
      </c>
      <c r="BT586" t="str">
        <f>HYPERLINK("https%3A%2F%2Fwww.webofscience.com%2Fwos%2Fwoscc%2Ffull-record%2FWOS:000615631800001","View Full Record in Web of Science")</f>
        <v>View Full Record in Web of Science</v>
      </c>
    </row>
    <row r="587" spans="1:72" x14ac:dyDescent="0.25">
      <c r="A587" t="s">
        <v>72</v>
      </c>
      <c r="B587" t="s">
        <v>10180</v>
      </c>
      <c r="C587" t="s">
        <v>74</v>
      </c>
      <c r="D587" t="s">
        <v>74</v>
      </c>
      <c r="E587" t="s">
        <v>74</v>
      </c>
      <c r="F587" t="s">
        <v>10181</v>
      </c>
      <c r="G587" t="s">
        <v>74</v>
      </c>
      <c r="H587" t="s">
        <v>74</v>
      </c>
      <c r="I587" t="s">
        <v>10182</v>
      </c>
      <c r="J587" t="s">
        <v>2059</v>
      </c>
      <c r="K587" t="s">
        <v>74</v>
      </c>
      <c r="L587" t="s">
        <v>74</v>
      </c>
      <c r="M587" t="s">
        <v>77</v>
      </c>
      <c r="N587" t="s">
        <v>78</v>
      </c>
      <c r="O587" t="s">
        <v>74</v>
      </c>
      <c r="P587" t="s">
        <v>74</v>
      </c>
      <c r="Q587" t="s">
        <v>74</v>
      </c>
      <c r="R587" t="s">
        <v>74</v>
      </c>
      <c r="S587" t="s">
        <v>74</v>
      </c>
      <c r="T587" t="s">
        <v>10183</v>
      </c>
      <c r="U587" t="s">
        <v>10184</v>
      </c>
      <c r="V587" t="s">
        <v>10185</v>
      </c>
      <c r="W587" t="s">
        <v>10186</v>
      </c>
      <c r="X587" t="s">
        <v>10187</v>
      </c>
      <c r="Y587" t="s">
        <v>10188</v>
      </c>
      <c r="Z587" t="s">
        <v>10189</v>
      </c>
      <c r="AA587" t="s">
        <v>74</v>
      </c>
      <c r="AB587" t="s">
        <v>74</v>
      </c>
      <c r="AC587" t="s">
        <v>74</v>
      </c>
      <c r="AD587" t="s">
        <v>74</v>
      </c>
      <c r="AE587" t="s">
        <v>74</v>
      </c>
      <c r="AF587" t="s">
        <v>74</v>
      </c>
      <c r="AG587">
        <v>39</v>
      </c>
      <c r="AH587">
        <v>11</v>
      </c>
      <c r="AI587">
        <v>11</v>
      </c>
      <c r="AJ587">
        <v>7</v>
      </c>
      <c r="AK587">
        <v>60</v>
      </c>
      <c r="AL587" t="s">
        <v>2067</v>
      </c>
      <c r="AM587" t="s">
        <v>2068</v>
      </c>
      <c r="AN587" t="s">
        <v>2069</v>
      </c>
      <c r="AO587" t="s">
        <v>2070</v>
      </c>
      <c r="AP587" t="s">
        <v>2071</v>
      </c>
      <c r="AQ587" t="s">
        <v>74</v>
      </c>
      <c r="AR587" t="s">
        <v>2072</v>
      </c>
      <c r="AS587" t="s">
        <v>2073</v>
      </c>
      <c r="AT587" t="s">
        <v>256</v>
      </c>
      <c r="AU587">
        <v>2020</v>
      </c>
      <c r="AV587">
        <v>48</v>
      </c>
      <c r="AW587">
        <v>10</v>
      </c>
      <c r="AX587" t="s">
        <v>74</v>
      </c>
      <c r="AY587" t="s">
        <v>74</v>
      </c>
      <c r="AZ587" t="s">
        <v>74</v>
      </c>
      <c r="BA587" t="s">
        <v>74</v>
      </c>
      <c r="BB587" t="s">
        <v>74</v>
      </c>
      <c r="BC587" t="s">
        <v>74</v>
      </c>
      <c r="BD587" t="s">
        <v>10190</v>
      </c>
      <c r="BE587" t="s">
        <v>10191</v>
      </c>
      <c r="BF587" t="str">
        <f>HYPERLINK("http://dx.doi.org/10.2224/sbp.9320","http://dx.doi.org/10.2224/sbp.9320")</f>
        <v>http://dx.doi.org/10.2224/sbp.9320</v>
      </c>
      <c r="BG587" t="s">
        <v>74</v>
      </c>
      <c r="BH587" t="s">
        <v>74</v>
      </c>
      <c r="BI587">
        <v>8</v>
      </c>
      <c r="BJ587" t="s">
        <v>459</v>
      </c>
      <c r="BK587" t="s">
        <v>94</v>
      </c>
      <c r="BL587" t="s">
        <v>460</v>
      </c>
      <c r="BM587" t="s">
        <v>10192</v>
      </c>
      <c r="BN587" t="s">
        <v>74</v>
      </c>
      <c r="BO587" t="s">
        <v>74</v>
      </c>
      <c r="BP587" t="s">
        <v>74</v>
      </c>
      <c r="BQ587" t="s">
        <v>74</v>
      </c>
      <c r="BR587" t="s">
        <v>97</v>
      </c>
      <c r="BS587" t="s">
        <v>10193</v>
      </c>
      <c r="BT587" t="str">
        <f>HYPERLINK("https%3A%2F%2Fwww.webofscience.com%2Fwos%2Fwoscc%2Ffull-record%2FWOS:000577084600006","View Full Record in Web of Science")</f>
        <v>View Full Record in Web of Science</v>
      </c>
    </row>
    <row r="588" spans="1:72" x14ac:dyDescent="0.25">
      <c r="A588" t="s">
        <v>72</v>
      </c>
      <c r="B588" t="s">
        <v>10194</v>
      </c>
      <c r="C588" t="s">
        <v>74</v>
      </c>
      <c r="D588" t="s">
        <v>74</v>
      </c>
      <c r="E588" t="s">
        <v>74</v>
      </c>
      <c r="F588" t="s">
        <v>10195</v>
      </c>
      <c r="G588" t="s">
        <v>74</v>
      </c>
      <c r="H588" t="s">
        <v>74</v>
      </c>
      <c r="I588" t="s">
        <v>10196</v>
      </c>
      <c r="J588" t="s">
        <v>318</v>
      </c>
      <c r="K588" t="s">
        <v>74</v>
      </c>
      <c r="L588" t="s">
        <v>74</v>
      </c>
      <c r="M588" t="s">
        <v>77</v>
      </c>
      <c r="N588" t="s">
        <v>78</v>
      </c>
      <c r="O588" t="s">
        <v>74</v>
      </c>
      <c r="P588" t="s">
        <v>74</v>
      </c>
      <c r="Q588" t="s">
        <v>74</v>
      </c>
      <c r="R588" t="s">
        <v>74</v>
      </c>
      <c r="S588" t="s">
        <v>74</v>
      </c>
      <c r="T588" t="s">
        <v>10197</v>
      </c>
      <c r="U588" t="s">
        <v>10198</v>
      </c>
      <c r="V588" t="s">
        <v>10199</v>
      </c>
      <c r="W588" t="s">
        <v>10200</v>
      </c>
      <c r="X588" t="s">
        <v>10201</v>
      </c>
      <c r="Y588" t="s">
        <v>10202</v>
      </c>
      <c r="Z588" t="s">
        <v>10203</v>
      </c>
      <c r="AA588" t="s">
        <v>74</v>
      </c>
      <c r="AB588" t="s">
        <v>74</v>
      </c>
      <c r="AC588" t="s">
        <v>10204</v>
      </c>
      <c r="AD588" t="s">
        <v>10205</v>
      </c>
      <c r="AE588" t="s">
        <v>10206</v>
      </c>
      <c r="AF588" t="s">
        <v>74</v>
      </c>
      <c r="AG588">
        <v>72</v>
      </c>
      <c r="AH588">
        <v>11</v>
      </c>
      <c r="AI588">
        <v>11</v>
      </c>
      <c r="AJ588">
        <v>5</v>
      </c>
      <c r="AK588">
        <v>59</v>
      </c>
      <c r="AL588" t="s">
        <v>329</v>
      </c>
      <c r="AM588" t="s">
        <v>330</v>
      </c>
      <c r="AN588" t="s">
        <v>331</v>
      </c>
      <c r="AO588" t="s">
        <v>332</v>
      </c>
      <c r="AP588" t="s">
        <v>333</v>
      </c>
      <c r="AQ588" t="s">
        <v>74</v>
      </c>
      <c r="AR588" t="s">
        <v>334</v>
      </c>
      <c r="AS588" t="s">
        <v>335</v>
      </c>
      <c r="AT588" t="s">
        <v>496</v>
      </c>
      <c r="AU588">
        <v>2020</v>
      </c>
      <c r="AV588">
        <v>118</v>
      </c>
      <c r="AW588" t="s">
        <v>74</v>
      </c>
      <c r="AX588" t="s">
        <v>74</v>
      </c>
      <c r="AY588" t="s">
        <v>74</v>
      </c>
      <c r="AZ588" t="s">
        <v>74</v>
      </c>
      <c r="BA588" t="s">
        <v>74</v>
      </c>
      <c r="BB588">
        <v>406</v>
      </c>
      <c r="BC588">
        <v>414</v>
      </c>
      <c r="BD588" t="s">
        <v>74</v>
      </c>
      <c r="BE588" t="s">
        <v>10207</v>
      </c>
      <c r="BF588" t="str">
        <f>HYPERLINK("http://dx.doi.org/10.1016/j.jbusres.2020.06.064","http://dx.doi.org/10.1016/j.jbusres.2020.06.064")</f>
        <v>http://dx.doi.org/10.1016/j.jbusres.2020.06.064</v>
      </c>
      <c r="BG588" t="s">
        <v>74</v>
      </c>
      <c r="BH588" t="s">
        <v>74</v>
      </c>
      <c r="BI588">
        <v>9</v>
      </c>
      <c r="BJ588" t="s">
        <v>337</v>
      </c>
      <c r="BK588" t="s">
        <v>94</v>
      </c>
      <c r="BL588" t="s">
        <v>95</v>
      </c>
      <c r="BM588" t="s">
        <v>10208</v>
      </c>
      <c r="BN588" t="s">
        <v>74</v>
      </c>
      <c r="BO588" t="s">
        <v>74</v>
      </c>
      <c r="BP588" t="s">
        <v>74</v>
      </c>
      <c r="BQ588" t="s">
        <v>74</v>
      </c>
      <c r="BR588" t="s">
        <v>97</v>
      </c>
      <c r="BS588" t="s">
        <v>10209</v>
      </c>
      <c r="BT588" t="str">
        <f>HYPERLINK("https%3A%2F%2Fwww.webofscience.com%2Fwos%2Fwoscc%2Ffull-record%2FWOS:000566752500034","View Full Record in Web of Science")</f>
        <v>View Full Record in Web of Science</v>
      </c>
    </row>
    <row r="589" spans="1:72" x14ac:dyDescent="0.25">
      <c r="A589" t="s">
        <v>72</v>
      </c>
      <c r="B589" t="s">
        <v>10210</v>
      </c>
      <c r="C589" t="s">
        <v>74</v>
      </c>
      <c r="D589" t="s">
        <v>74</v>
      </c>
      <c r="E589" t="s">
        <v>74</v>
      </c>
      <c r="F589" t="s">
        <v>10211</v>
      </c>
      <c r="G589" t="s">
        <v>74</v>
      </c>
      <c r="H589" t="s">
        <v>74</v>
      </c>
      <c r="I589" t="s">
        <v>10212</v>
      </c>
      <c r="J589" t="s">
        <v>4325</v>
      </c>
      <c r="K589" t="s">
        <v>74</v>
      </c>
      <c r="L589" t="s">
        <v>74</v>
      </c>
      <c r="M589" t="s">
        <v>77</v>
      </c>
      <c r="N589" t="s">
        <v>78</v>
      </c>
      <c r="O589" t="s">
        <v>74</v>
      </c>
      <c r="P589" t="s">
        <v>74</v>
      </c>
      <c r="Q589" t="s">
        <v>74</v>
      </c>
      <c r="R589" t="s">
        <v>74</v>
      </c>
      <c r="S589" t="s">
        <v>74</v>
      </c>
      <c r="T589" t="s">
        <v>10213</v>
      </c>
      <c r="U589" t="s">
        <v>10214</v>
      </c>
      <c r="V589" t="s">
        <v>10215</v>
      </c>
      <c r="W589" t="s">
        <v>10216</v>
      </c>
      <c r="X589" t="s">
        <v>10217</v>
      </c>
      <c r="Y589" t="s">
        <v>10218</v>
      </c>
      <c r="Z589" t="s">
        <v>10219</v>
      </c>
      <c r="AA589" t="s">
        <v>10220</v>
      </c>
      <c r="AB589" t="s">
        <v>10221</v>
      </c>
      <c r="AC589" t="s">
        <v>10222</v>
      </c>
      <c r="AD589" t="s">
        <v>10223</v>
      </c>
      <c r="AE589" t="s">
        <v>10224</v>
      </c>
      <c r="AF589" t="s">
        <v>74</v>
      </c>
      <c r="AG589">
        <v>142</v>
      </c>
      <c r="AH589">
        <v>11</v>
      </c>
      <c r="AI589">
        <v>11</v>
      </c>
      <c r="AJ589">
        <v>6</v>
      </c>
      <c r="AK589">
        <v>36</v>
      </c>
      <c r="AL589" t="s">
        <v>218</v>
      </c>
      <c r="AM589" t="s">
        <v>219</v>
      </c>
      <c r="AN589" t="s">
        <v>220</v>
      </c>
      <c r="AO589" t="s">
        <v>4332</v>
      </c>
      <c r="AP589" t="s">
        <v>4333</v>
      </c>
      <c r="AQ589" t="s">
        <v>74</v>
      </c>
      <c r="AR589" t="s">
        <v>4334</v>
      </c>
      <c r="AS589" t="s">
        <v>4335</v>
      </c>
      <c r="AT589" t="s">
        <v>496</v>
      </c>
      <c r="AU589">
        <v>2020</v>
      </c>
      <c r="AV589">
        <v>29</v>
      </c>
      <c r="AW589">
        <v>3</v>
      </c>
      <c r="AX589" t="s">
        <v>74</v>
      </c>
      <c r="AY589" t="s">
        <v>74</v>
      </c>
      <c r="AZ589" t="s">
        <v>74</v>
      </c>
      <c r="BA589" t="s">
        <v>74</v>
      </c>
      <c r="BB589">
        <v>380</v>
      </c>
      <c r="BC589">
        <v>397</v>
      </c>
      <c r="BD589" t="s">
        <v>74</v>
      </c>
      <c r="BE589" t="s">
        <v>10225</v>
      </c>
      <c r="BF589" t="str">
        <f>HYPERLINK("http://dx.doi.org/10.1111/caim.12380","http://dx.doi.org/10.1111/caim.12380")</f>
        <v>http://dx.doi.org/10.1111/caim.12380</v>
      </c>
      <c r="BG589" t="s">
        <v>74</v>
      </c>
      <c r="BH589" t="s">
        <v>9368</v>
      </c>
      <c r="BI589">
        <v>18</v>
      </c>
      <c r="BJ589" t="s">
        <v>442</v>
      </c>
      <c r="BK589" t="s">
        <v>94</v>
      </c>
      <c r="BL589" t="s">
        <v>95</v>
      </c>
      <c r="BM589" t="s">
        <v>10226</v>
      </c>
      <c r="BN589" t="s">
        <v>74</v>
      </c>
      <c r="BO589" t="s">
        <v>718</v>
      </c>
      <c r="BP589" t="s">
        <v>74</v>
      </c>
      <c r="BQ589" t="s">
        <v>74</v>
      </c>
      <c r="BR589" t="s">
        <v>97</v>
      </c>
      <c r="BS589" t="s">
        <v>10227</v>
      </c>
      <c r="BT589" t="str">
        <f>HYPERLINK("https%3A%2F%2Fwww.webofscience.com%2Fwos%2Fwoscc%2Ffull-record%2FWOS:000530079700001","View Full Record in Web of Science")</f>
        <v>View Full Record in Web of Science</v>
      </c>
    </row>
    <row r="590" spans="1:72" x14ac:dyDescent="0.25">
      <c r="A590" t="s">
        <v>72</v>
      </c>
      <c r="B590" t="s">
        <v>10228</v>
      </c>
      <c r="C590" t="s">
        <v>74</v>
      </c>
      <c r="D590" t="s">
        <v>74</v>
      </c>
      <c r="E590" t="s">
        <v>74</v>
      </c>
      <c r="F590" t="s">
        <v>10229</v>
      </c>
      <c r="G590" t="s">
        <v>74</v>
      </c>
      <c r="H590" t="s">
        <v>74</v>
      </c>
      <c r="I590" t="s">
        <v>10230</v>
      </c>
      <c r="J590" t="s">
        <v>5615</v>
      </c>
      <c r="K590" t="s">
        <v>74</v>
      </c>
      <c r="L590" t="s">
        <v>74</v>
      </c>
      <c r="M590" t="s">
        <v>77</v>
      </c>
      <c r="N590" t="s">
        <v>78</v>
      </c>
      <c r="O590" t="s">
        <v>74</v>
      </c>
      <c r="P590" t="s">
        <v>74</v>
      </c>
      <c r="Q590" t="s">
        <v>74</v>
      </c>
      <c r="R590" t="s">
        <v>74</v>
      </c>
      <c r="S590" t="s">
        <v>74</v>
      </c>
      <c r="T590" t="s">
        <v>10231</v>
      </c>
      <c r="U590" t="s">
        <v>10232</v>
      </c>
      <c r="V590" t="s">
        <v>10233</v>
      </c>
      <c r="W590" t="s">
        <v>10234</v>
      </c>
      <c r="X590" t="s">
        <v>10235</v>
      </c>
      <c r="Y590" t="s">
        <v>10236</v>
      </c>
      <c r="Z590" t="s">
        <v>10237</v>
      </c>
      <c r="AA590" t="s">
        <v>74</v>
      </c>
      <c r="AB590" t="s">
        <v>74</v>
      </c>
      <c r="AC590" t="s">
        <v>74</v>
      </c>
      <c r="AD590" t="s">
        <v>74</v>
      </c>
      <c r="AE590" t="s">
        <v>74</v>
      </c>
      <c r="AF590" t="s">
        <v>74</v>
      </c>
      <c r="AG590">
        <v>65</v>
      </c>
      <c r="AH590">
        <v>11</v>
      </c>
      <c r="AI590">
        <v>11</v>
      </c>
      <c r="AJ590">
        <v>6</v>
      </c>
      <c r="AK590">
        <v>59</v>
      </c>
      <c r="AL590" t="s">
        <v>665</v>
      </c>
      <c r="AM590" t="s">
        <v>666</v>
      </c>
      <c r="AN590" t="s">
        <v>667</v>
      </c>
      <c r="AO590" t="s">
        <v>5625</v>
      </c>
      <c r="AP590" t="s">
        <v>5626</v>
      </c>
      <c r="AQ590" t="s">
        <v>74</v>
      </c>
      <c r="AR590" t="s">
        <v>5627</v>
      </c>
      <c r="AS590" t="s">
        <v>5628</v>
      </c>
      <c r="AT590" t="s">
        <v>10238</v>
      </c>
      <c r="AU590">
        <v>2020</v>
      </c>
      <c r="AV590">
        <v>14</v>
      </c>
      <c r="AW590">
        <v>4</v>
      </c>
      <c r="AX590" t="s">
        <v>74</v>
      </c>
      <c r="AY590" t="s">
        <v>74</v>
      </c>
      <c r="AZ590" t="s">
        <v>74</v>
      </c>
      <c r="BA590" t="s">
        <v>74</v>
      </c>
      <c r="BB590">
        <v>995</v>
      </c>
      <c r="BC590">
        <v>1014</v>
      </c>
      <c r="BD590" t="s">
        <v>74</v>
      </c>
      <c r="BE590" t="s">
        <v>10239</v>
      </c>
      <c r="BF590" t="str">
        <f>HYPERLINK("http://dx.doi.org/10.1108/CMS-05-2018-0523","http://dx.doi.org/10.1108/CMS-05-2018-0523")</f>
        <v>http://dx.doi.org/10.1108/CMS-05-2018-0523</v>
      </c>
      <c r="BG590" t="s">
        <v>74</v>
      </c>
      <c r="BH590" t="s">
        <v>2840</v>
      </c>
      <c r="BI590">
        <v>20</v>
      </c>
      <c r="BJ590" t="s">
        <v>442</v>
      </c>
      <c r="BK590" t="s">
        <v>94</v>
      </c>
      <c r="BL590" t="s">
        <v>95</v>
      </c>
      <c r="BM590" t="s">
        <v>10240</v>
      </c>
      <c r="BN590" t="s">
        <v>74</v>
      </c>
      <c r="BO590" t="s">
        <v>74</v>
      </c>
      <c r="BP590" t="s">
        <v>74</v>
      </c>
      <c r="BQ590" t="s">
        <v>74</v>
      </c>
      <c r="BR590" t="s">
        <v>97</v>
      </c>
      <c r="BS590" t="s">
        <v>10241</v>
      </c>
      <c r="BT590" t="str">
        <f>HYPERLINK("https%3A%2F%2Fwww.webofscience.com%2Fwos%2Fwoscc%2Ffull-record%2FWOS:000529317800001","View Full Record in Web of Science")</f>
        <v>View Full Record in Web of Science</v>
      </c>
    </row>
    <row r="591" spans="1:72" x14ac:dyDescent="0.25">
      <c r="A591" t="s">
        <v>72</v>
      </c>
      <c r="B591" t="s">
        <v>10242</v>
      </c>
      <c r="C591" t="s">
        <v>74</v>
      </c>
      <c r="D591" t="s">
        <v>74</v>
      </c>
      <c r="E591" t="s">
        <v>74</v>
      </c>
      <c r="F591" t="s">
        <v>10243</v>
      </c>
      <c r="G591" t="s">
        <v>74</v>
      </c>
      <c r="H591" t="s">
        <v>74</v>
      </c>
      <c r="I591" t="s">
        <v>10244</v>
      </c>
      <c r="J591" t="s">
        <v>10245</v>
      </c>
      <c r="K591" t="s">
        <v>74</v>
      </c>
      <c r="L591" t="s">
        <v>74</v>
      </c>
      <c r="M591" t="s">
        <v>77</v>
      </c>
      <c r="N591" t="s">
        <v>78</v>
      </c>
      <c r="O591" t="s">
        <v>74</v>
      </c>
      <c r="P591" t="s">
        <v>74</v>
      </c>
      <c r="Q591" t="s">
        <v>74</v>
      </c>
      <c r="R591" t="s">
        <v>74</v>
      </c>
      <c r="S591" t="s">
        <v>74</v>
      </c>
      <c r="T591" t="s">
        <v>10246</v>
      </c>
      <c r="U591" t="s">
        <v>10247</v>
      </c>
      <c r="V591" t="s">
        <v>10248</v>
      </c>
      <c r="W591" t="s">
        <v>10249</v>
      </c>
      <c r="X591" t="s">
        <v>10250</v>
      </c>
      <c r="Y591" t="s">
        <v>10251</v>
      </c>
      <c r="Z591" t="s">
        <v>10252</v>
      </c>
      <c r="AA591" t="s">
        <v>74</v>
      </c>
      <c r="AB591" t="s">
        <v>10253</v>
      </c>
      <c r="AC591" t="s">
        <v>10254</v>
      </c>
      <c r="AD591" t="s">
        <v>10255</v>
      </c>
      <c r="AE591" t="s">
        <v>10256</v>
      </c>
      <c r="AF591" t="s">
        <v>74</v>
      </c>
      <c r="AG591">
        <v>22</v>
      </c>
      <c r="AH591">
        <v>11</v>
      </c>
      <c r="AI591">
        <v>12</v>
      </c>
      <c r="AJ591">
        <v>1</v>
      </c>
      <c r="AK591">
        <v>8</v>
      </c>
      <c r="AL591" t="s">
        <v>5849</v>
      </c>
      <c r="AM591" t="s">
        <v>139</v>
      </c>
      <c r="AN591" t="s">
        <v>5850</v>
      </c>
      <c r="AO591" t="s">
        <v>10257</v>
      </c>
      <c r="AP591" t="s">
        <v>10258</v>
      </c>
      <c r="AQ591" t="s">
        <v>74</v>
      </c>
      <c r="AR591" t="s">
        <v>10259</v>
      </c>
      <c r="AS591" t="s">
        <v>10260</v>
      </c>
      <c r="AT591" t="s">
        <v>1812</v>
      </c>
      <c r="AU591">
        <v>2020</v>
      </c>
      <c r="AV591">
        <v>36</v>
      </c>
      <c r="AW591">
        <v>2</v>
      </c>
      <c r="AX591" t="s">
        <v>74</v>
      </c>
      <c r="AY591" t="s">
        <v>74</v>
      </c>
      <c r="AZ591" t="s">
        <v>74</v>
      </c>
      <c r="BA591" t="s">
        <v>74</v>
      </c>
      <c r="BB591">
        <v>13</v>
      </c>
      <c r="BC591">
        <v>19</v>
      </c>
      <c r="BD591" t="s">
        <v>74</v>
      </c>
      <c r="BE591" t="s">
        <v>10261</v>
      </c>
      <c r="BF591" t="str">
        <f>HYPERLINK("http://dx.doi.org/10.1016/j.profnurs.2019.07.004","http://dx.doi.org/10.1016/j.profnurs.2019.07.004")</f>
        <v>http://dx.doi.org/10.1016/j.profnurs.2019.07.004</v>
      </c>
      <c r="BG591" t="s">
        <v>74</v>
      </c>
      <c r="BH591" t="s">
        <v>74</v>
      </c>
      <c r="BI591">
        <v>7</v>
      </c>
      <c r="BJ591" t="s">
        <v>980</v>
      </c>
      <c r="BK591" t="s">
        <v>147</v>
      </c>
      <c r="BL591" t="s">
        <v>980</v>
      </c>
      <c r="BM591" t="s">
        <v>10262</v>
      </c>
      <c r="BN591">
        <v>32204854</v>
      </c>
      <c r="BO591" t="s">
        <v>74</v>
      </c>
      <c r="BP591" t="s">
        <v>74</v>
      </c>
      <c r="BQ591" t="s">
        <v>74</v>
      </c>
      <c r="BR591" t="s">
        <v>97</v>
      </c>
      <c r="BS591" t="s">
        <v>10263</v>
      </c>
      <c r="BT591" t="str">
        <f>HYPERLINK("https%3A%2F%2Fwww.webofscience.com%2Fwos%2Fwoscc%2Ffull-record%2FWOS:000527823200003","View Full Record in Web of Science")</f>
        <v>View Full Record in Web of Science</v>
      </c>
    </row>
    <row r="592" spans="1:72" x14ac:dyDescent="0.25">
      <c r="A592" t="s">
        <v>72</v>
      </c>
      <c r="B592" t="s">
        <v>10264</v>
      </c>
      <c r="C592" t="s">
        <v>74</v>
      </c>
      <c r="D592" t="s">
        <v>74</v>
      </c>
      <c r="E592" t="s">
        <v>74</v>
      </c>
      <c r="F592" t="s">
        <v>10265</v>
      </c>
      <c r="G592" t="s">
        <v>74</v>
      </c>
      <c r="H592" t="s">
        <v>74</v>
      </c>
      <c r="I592" t="s">
        <v>10266</v>
      </c>
      <c r="J592" t="s">
        <v>1798</v>
      </c>
      <c r="K592" t="s">
        <v>74</v>
      </c>
      <c r="L592" t="s">
        <v>74</v>
      </c>
      <c r="M592" t="s">
        <v>77</v>
      </c>
      <c r="N592" t="s">
        <v>78</v>
      </c>
      <c r="O592" t="s">
        <v>74</v>
      </c>
      <c r="P592" t="s">
        <v>74</v>
      </c>
      <c r="Q592" t="s">
        <v>74</v>
      </c>
      <c r="R592" t="s">
        <v>74</v>
      </c>
      <c r="S592" t="s">
        <v>74</v>
      </c>
      <c r="T592" t="s">
        <v>10267</v>
      </c>
      <c r="U592" t="s">
        <v>10268</v>
      </c>
      <c r="V592" t="s">
        <v>10269</v>
      </c>
      <c r="W592" t="s">
        <v>10270</v>
      </c>
      <c r="X592" t="s">
        <v>10271</v>
      </c>
      <c r="Y592" t="s">
        <v>10272</v>
      </c>
      <c r="Z592" t="s">
        <v>10273</v>
      </c>
      <c r="AA592" t="s">
        <v>10274</v>
      </c>
      <c r="AB592" t="s">
        <v>10275</v>
      </c>
      <c r="AC592" t="s">
        <v>74</v>
      </c>
      <c r="AD592" t="s">
        <v>74</v>
      </c>
      <c r="AE592" t="s">
        <v>74</v>
      </c>
      <c r="AF592" t="s">
        <v>74</v>
      </c>
      <c r="AG592">
        <v>143</v>
      </c>
      <c r="AH592">
        <v>11</v>
      </c>
      <c r="AI592">
        <v>11</v>
      </c>
      <c r="AJ592">
        <v>8</v>
      </c>
      <c r="AK592">
        <v>50</v>
      </c>
      <c r="AL592" t="s">
        <v>1806</v>
      </c>
      <c r="AM592" t="s">
        <v>1046</v>
      </c>
      <c r="AN592" t="s">
        <v>1807</v>
      </c>
      <c r="AO592" t="s">
        <v>1808</v>
      </c>
      <c r="AP592" t="s">
        <v>1809</v>
      </c>
      <c r="AQ592" t="s">
        <v>74</v>
      </c>
      <c r="AR592" t="s">
        <v>1810</v>
      </c>
      <c r="AS592" t="s">
        <v>1811</v>
      </c>
      <c r="AT592" t="s">
        <v>3061</v>
      </c>
      <c r="AU592">
        <v>2019</v>
      </c>
      <c r="AV592">
        <v>58</v>
      </c>
      <c r="AW592">
        <v>3</v>
      </c>
      <c r="AX592" t="s">
        <v>74</v>
      </c>
      <c r="AY592" t="s">
        <v>74</v>
      </c>
      <c r="AZ592" t="s">
        <v>74</v>
      </c>
      <c r="BA592" t="s">
        <v>74</v>
      </c>
      <c r="BB592">
        <v>301</v>
      </c>
      <c r="BC592">
        <v>316</v>
      </c>
      <c r="BD592" t="s">
        <v>74</v>
      </c>
      <c r="BE592" t="s">
        <v>10276</v>
      </c>
      <c r="BF592" t="str">
        <f>HYPERLINK("http://dx.doi.org/10.1002/hrm.21953","http://dx.doi.org/10.1002/hrm.21953")</f>
        <v>http://dx.doi.org/10.1002/hrm.21953</v>
      </c>
      <c r="BG592" t="s">
        <v>74</v>
      </c>
      <c r="BH592" t="s">
        <v>74</v>
      </c>
      <c r="BI592">
        <v>16</v>
      </c>
      <c r="BJ592" t="s">
        <v>202</v>
      </c>
      <c r="BK592" t="s">
        <v>94</v>
      </c>
      <c r="BL592" t="s">
        <v>203</v>
      </c>
      <c r="BM592" t="s">
        <v>10277</v>
      </c>
      <c r="BN592" t="s">
        <v>74</v>
      </c>
      <c r="BO592" t="s">
        <v>111</v>
      </c>
      <c r="BP592" t="s">
        <v>74</v>
      </c>
      <c r="BQ592" t="s">
        <v>74</v>
      </c>
      <c r="BR592" t="s">
        <v>97</v>
      </c>
      <c r="BS592" t="s">
        <v>10278</v>
      </c>
      <c r="BT592" t="str">
        <f>HYPERLINK("https%3A%2F%2Fwww.webofscience.com%2Fwos%2Fwoscc%2Ffull-record%2FWOS:000466378600005","View Full Record in Web of Science")</f>
        <v>View Full Record in Web of Science</v>
      </c>
    </row>
    <row r="593" spans="1:72" x14ac:dyDescent="0.25">
      <c r="A593" t="s">
        <v>72</v>
      </c>
      <c r="B593" t="s">
        <v>10279</v>
      </c>
      <c r="C593" t="s">
        <v>74</v>
      </c>
      <c r="D593" t="s">
        <v>74</v>
      </c>
      <c r="E593" t="s">
        <v>74</v>
      </c>
      <c r="F593" t="s">
        <v>10280</v>
      </c>
      <c r="G593" t="s">
        <v>74</v>
      </c>
      <c r="H593" t="s">
        <v>74</v>
      </c>
      <c r="I593" t="s">
        <v>10281</v>
      </c>
      <c r="J593" t="s">
        <v>5442</v>
      </c>
      <c r="K593" t="s">
        <v>74</v>
      </c>
      <c r="L593" t="s">
        <v>74</v>
      </c>
      <c r="M593" t="s">
        <v>77</v>
      </c>
      <c r="N593" t="s">
        <v>78</v>
      </c>
      <c r="O593" t="s">
        <v>74</v>
      </c>
      <c r="P593" t="s">
        <v>74</v>
      </c>
      <c r="Q593" t="s">
        <v>74</v>
      </c>
      <c r="R593" t="s">
        <v>74</v>
      </c>
      <c r="S593" t="s">
        <v>74</v>
      </c>
      <c r="T593" t="s">
        <v>10282</v>
      </c>
      <c r="U593" t="s">
        <v>10283</v>
      </c>
      <c r="V593" t="s">
        <v>10284</v>
      </c>
      <c r="W593" t="s">
        <v>10285</v>
      </c>
      <c r="X593" t="s">
        <v>10286</v>
      </c>
      <c r="Y593" t="s">
        <v>10287</v>
      </c>
      <c r="Z593" t="s">
        <v>10288</v>
      </c>
      <c r="AA593" t="s">
        <v>74</v>
      </c>
      <c r="AB593" t="s">
        <v>74</v>
      </c>
      <c r="AC593" t="s">
        <v>10289</v>
      </c>
      <c r="AD593" t="s">
        <v>10290</v>
      </c>
      <c r="AE593" t="s">
        <v>10291</v>
      </c>
      <c r="AF593" t="s">
        <v>74</v>
      </c>
      <c r="AG593">
        <v>55</v>
      </c>
      <c r="AH593">
        <v>11</v>
      </c>
      <c r="AI593">
        <v>11</v>
      </c>
      <c r="AJ593">
        <v>5</v>
      </c>
      <c r="AK593">
        <v>42</v>
      </c>
      <c r="AL593" t="s">
        <v>5452</v>
      </c>
      <c r="AM593" t="s">
        <v>5453</v>
      </c>
      <c r="AN593" t="s">
        <v>5454</v>
      </c>
      <c r="AO593" t="s">
        <v>5455</v>
      </c>
      <c r="AP593" t="s">
        <v>5456</v>
      </c>
      <c r="AQ593" t="s">
        <v>74</v>
      </c>
      <c r="AR593" t="s">
        <v>5457</v>
      </c>
      <c r="AS593" t="s">
        <v>5458</v>
      </c>
      <c r="AT593" t="s">
        <v>892</v>
      </c>
      <c r="AU593">
        <v>2019</v>
      </c>
      <c r="AV593">
        <v>25</v>
      </c>
      <c r="AW593">
        <v>1</v>
      </c>
      <c r="AX593" t="s">
        <v>74</v>
      </c>
      <c r="AY593" t="s">
        <v>74</v>
      </c>
      <c r="AZ593" t="s">
        <v>74</v>
      </c>
      <c r="BA593" t="s">
        <v>74</v>
      </c>
      <c r="BB593">
        <v>157</v>
      </c>
      <c r="BC593">
        <v>172</v>
      </c>
      <c r="BD593" t="s">
        <v>74</v>
      </c>
      <c r="BE593" t="s">
        <v>10292</v>
      </c>
      <c r="BF593" t="str">
        <f>HYPERLINK("http://dx.doi.org/10.1017/jmo.2016.47","http://dx.doi.org/10.1017/jmo.2016.47")</f>
        <v>http://dx.doi.org/10.1017/jmo.2016.47</v>
      </c>
      <c r="BG593" t="s">
        <v>74</v>
      </c>
      <c r="BH593" t="s">
        <v>74</v>
      </c>
      <c r="BI593">
        <v>16</v>
      </c>
      <c r="BJ593" t="s">
        <v>442</v>
      </c>
      <c r="BK593" t="s">
        <v>94</v>
      </c>
      <c r="BL593" t="s">
        <v>95</v>
      </c>
      <c r="BM593" t="s">
        <v>6478</v>
      </c>
      <c r="BN593" t="s">
        <v>74</v>
      </c>
      <c r="BO593" t="s">
        <v>74</v>
      </c>
      <c r="BP593" t="s">
        <v>74</v>
      </c>
      <c r="BQ593" t="s">
        <v>74</v>
      </c>
      <c r="BR593" t="s">
        <v>97</v>
      </c>
      <c r="BS593" t="s">
        <v>10293</v>
      </c>
      <c r="BT593" t="str">
        <f>HYPERLINK("https%3A%2F%2Fwww.webofscience.com%2Fwos%2Fwoscc%2Ffull-record%2FWOS:000459894400010","View Full Record in Web of Science")</f>
        <v>View Full Record in Web of Science</v>
      </c>
    </row>
    <row r="594" spans="1:72" x14ac:dyDescent="0.25">
      <c r="A594" t="s">
        <v>72</v>
      </c>
      <c r="B594" t="s">
        <v>10294</v>
      </c>
      <c r="C594" t="s">
        <v>74</v>
      </c>
      <c r="D594" t="s">
        <v>74</v>
      </c>
      <c r="E594" t="s">
        <v>74</v>
      </c>
      <c r="F594" t="s">
        <v>10295</v>
      </c>
      <c r="G594" t="s">
        <v>74</v>
      </c>
      <c r="H594" t="s">
        <v>74</v>
      </c>
      <c r="I594" t="s">
        <v>10296</v>
      </c>
      <c r="J594" t="s">
        <v>3184</v>
      </c>
      <c r="K594" t="s">
        <v>74</v>
      </c>
      <c r="L594" t="s">
        <v>74</v>
      </c>
      <c r="M594" t="s">
        <v>77</v>
      </c>
      <c r="N594" t="s">
        <v>78</v>
      </c>
      <c r="O594" t="s">
        <v>74</v>
      </c>
      <c r="P594" t="s">
        <v>74</v>
      </c>
      <c r="Q594" t="s">
        <v>74</v>
      </c>
      <c r="R594" t="s">
        <v>74</v>
      </c>
      <c r="S594" t="s">
        <v>74</v>
      </c>
      <c r="T594" t="s">
        <v>10297</v>
      </c>
      <c r="U594" t="s">
        <v>10298</v>
      </c>
      <c r="V594" t="s">
        <v>10299</v>
      </c>
      <c r="W594" t="s">
        <v>10300</v>
      </c>
      <c r="X594" t="s">
        <v>10301</v>
      </c>
      <c r="Y594" t="s">
        <v>10302</v>
      </c>
      <c r="Z594" t="s">
        <v>10303</v>
      </c>
      <c r="AA594" t="s">
        <v>74</v>
      </c>
      <c r="AB594" t="s">
        <v>74</v>
      </c>
      <c r="AC594" t="s">
        <v>10304</v>
      </c>
      <c r="AD594" t="s">
        <v>10305</v>
      </c>
      <c r="AE594" t="s">
        <v>10306</v>
      </c>
      <c r="AF594" t="s">
        <v>74</v>
      </c>
      <c r="AG594">
        <v>68</v>
      </c>
      <c r="AH594">
        <v>11</v>
      </c>
      <c r="AI594">
        <v>11</v>
      </c>
      <c r="AJ594">
        <v>4</v>
      </c>
      <c r="AK594">
        <v>24</v>
      </c>
      <c r="AL594" t="s">
        <v>3195</v>
      </c>
      <c r="AM594" t="s">
        <v>3196</v>
      </c>
      <c r="AN594" t="s">
        <v>3197</v>
      </c>
      <c r="AO594" t="s">
        <v>3198</v>
      </c>
      <c r="AP594" t="s">
        <v>74</v>
      </c>
      <c r="AQ594" t="s">
        <v>74</v>
      </c>
      <c r="AR594" t="s">
        <v>3199</v>
      </c>
      <c r="AS594" t="s">
        <v>3200</v>
      </c>
      <c r="AT594" t="s">
        <v>6311</v>
      </c>
      <c r="AU594">
        <v>2018</v>
      </c>
      <c r="AV594">
        <v>9</v>
      </c>
      <c r="AW594" t="s">
        <v>74</v>
      </c>
      <c r="AX594" t="s">
        <v>74</v>
      </c>
      <c r="AY594" t="s">
        <v>74</v>
      </c>
      <c r="AZ594" t="s">
        <v>74</v>
      </c>
      <c r="BA594" t="s">
        <v>74</v>
      </c>
      <c r="BB594" t="s">
        <v>74</v>
      </c>
      <c r="BC594" t="s">
        <v>74</v>
      </c>
      <c r="BD594">
        <v>1871</v>
      </c>
      <c r="BE594" t="s">
        <v>10307</v>
      </c>
      <c r="BF594" t="str">
        <f>HYPERLINK("http://dx.doi.org/10.3389/fpsyg.2018.01871","http://dx.doi.org/10.3389/fpsyg.2018.01871")</f>
        <v>http://dx.doi.org/10.3389/fpsyg.2018.01871</v>
      </c>
      <c r="BG594" t="s">
        <v>74</v>
      </c>
      <c r="BH594" t="s">
        <v>74</v>
      </c>
      <c r="BI594">
        <v>11</v>
      </c>
      <c r="BJ594" t="s">
        <v>3203</v>
      </c>
      <c r="BK594" t="s">
        <v>94</v>
      </c>
      <c r="BL594" t="s">
        <v>460</v>
      </c>
      <c r="BM594" t="s">
        <v>10308</v>
      </c>
      <c r="BN594">
        <v>30327637</v>
      </c>
      <c r="BO594" t="s">
        <v>3205</v>
      </c>
      <c r="BP594" t="s">
        <v>74</v>
      </c>
      <c r="BQ594" t="s">
        <v>74</v>
      </c>
      <c r="BR594" t="s">
        <v>97</v>
      </c>
      <c r="BS594" t="s">
        <v>10309</v>
      </c>
      <c r="BT594" t="str">
        <f>HYPERLINK("https%3A%2F%2Fwww.webofscience.com%2Fwos%2Fwoscc%2Ffull-record%2FWOS:000446104300001","View Full Record in Web of Science")</f>
        <v>View Full Record in Web of Science</v>
      </c>
    </row>
    <row r="595" spans="1:72" x14ac:dyDescent="0.25">
      <c r="A595" t="s">
        <v>72</v>
      </c>
      <c r="B595" t="s">
        <v>10310</v>
      </c>
      <c r="C595" t="s">
        <v>74</v>
      </c>
      <c r="D595" t="s">
        <v>74</v>
      </c>
      <c r="E595" t="s">
        <v>74</v>
      </c>
      <c r="F595" t="s">
        <v>10311</v>
      </c>
      <c r="G595" t="s">
        <v>74</v>
      </c>
      <c r="H595" t="s">
        <v>74</v>
      </c>
      <c r="I595" t="s">
        <v>10312</v>
      </c>
      <c r="J595" t="s">
        <v>2365</v>
      </c>
      <c r="K595" t="s">
        <v>74</v>
      </c>
      <c r="L595" t="s">
        <v>74</v>
      </c>
      <c r="M595" t="s">
        <v>77</v>
      </c>
      <c r="N595" t="s">
        <v>319</v>
      </c>
      <c r="O595" t="s">
        <v>10313</v>
      </c>
      <c r="P595" t="s">
        <v>10314</v>
      </c>
      <c r="Q595" t="s">
        <v>10315</v>
      </c>
      <c r="R595" t="s">
        <v>74</v>
      </c>
      <c r="S595" t="s">
        <v>10316</v>
      </c>
      <c r="T595" t="s">
        <v>74</v>
      </c>
      <c r="U595" t="s">
        <v>10317</v>
      </c>
      <c r="V595" t="s">
        <v>10318</v>
      </c>
      <c r="W595" t="s">
        <v>10319</v>
      </c>
      <c r="X595" t="s">
        <v>10320</v>
      </c>
      <c r="Y595" t="s">
        <v>10321</v>
      </c>
      <c r="Z595" t="s">
        <v>74</v>
      </c>
      <c r="AA595" t="s">
        <v>74</v>
      </c>
      <c r="AB595" t="s">
        <v>10322</v>
      </c>
      <c r="AC595" t="s">
        <v>74</v>
      </c>
      <c r="AD595" t="s">
        <v>74</v>
      </c>
      <c r="AE595" t="s">
        <v>74</v>
      </c>
      <c r="AF595" t="s">
        <v>74</v>
      </c>
      <c r="AG595">
        <v>121</v>
      </c>
      <c r="AH595">
        <v>11</v>
      </c>
      <c r="AI595">
        <v>12</v>
      </c>
      <c r="AJ595">
        <v>1</v>
      </c>
      <c r="AK595">
        <v>30</v>
      </c>
      <c r="AL595" t="s">
        <v>329</v>
      </c>
      <c r="AM595" t="s">
        <v>330</v>
      </c>
      <c r="AN595" t="s">
        <v>331</v>
      </c>
      <c r="AO595" t="s">
        <v>2375</v>
      </c>
      <c r="AP595" t="s">
        <v>2376</v>
      </c>
      <c r="AQ595" t="s">
        <v>74</v>
      </c>
      <c r="AR595" t="s">
        <v>2377</v>
      </c>
      <c r="AS595" t="s">
        <v>2378</v>
      </c>
      <c r="AT595" t="s">
        <v>584</v>
      </c>
      <c r="AU595">
        <v>2017</v>
      </c>
      <c r="AV595">
        <v>124</v>
      </c>
      <c r="AW595" t="s">
        <v>74</v>
      </c>
      <c r="AX595" t="s">
        <v>74</v>
      </c>
      <c r="AY595" t="s">
        <v>74</v>
      </c>
      <c r="AZ595" t="s">
        <v>74</v>
      </c>
      <c r="BA595" t="s">
        <v>74</v>
      </c>
      <c r="BB595">
        <v>66</v>
      </c>
      <c r="BC595">
        <v>76</v>
      </c>
      <c r="BD595" t="s">
        <v>74</v>
      </c>
      <c r="BE595" t="s">
        <v>10323</v>
      </c>
      <c r="BF595" t="str">
        <f>HYPERLINK("http://dx.doi.org/10.1016/j.techfore.2016.10.069","http://dx.doi.org/10.1016/j.techfore.2016.10.069")</f>
        <v>http://dx.doi.org/10.1016/j.techfore.2016.10.069</v>
      </c>
      <c r="BG595" t="s">
        <v>74</v>
      </c>
      <c r="BH595" t="s">
        <v>74</v>
      </c>
      <c r="BI595">
        <v>11</v>
      </c>
      <c r="BJ595" t="s">
        <v>2380</v>
      </c>
      <c r="BK595" t="s">
        <v>338</v>
      </c>
      <c r="BL595" t="s">
        <v>2246</v>
      </c>
      <c r="BM595" t="s">
        <v>10324</v>
      </c>
      <c r="BN595" t="s">
        <v>74</v>
      </c>
      <c r="BO595" t="s">
        <v>378</v>
      </c>
      <c r="BP595" t="s">
        <v>74</v>
      </c>
      <c r="BQ595" t="s">
        <v>74</v>
      </c>
      <c r="BR595" t="s">
        <v>97</v>
      </c>
      <c r="BS595" t="s">
        <v>10325</v>
      </c>
      <c r="BT595" t="str">
        <f>HYPERLINK("https%3A%2F%2Fwww.webofscience.com%2Fwos%2Fwoscc%2Ffull-record%2FWOS:000413384300007","View Full Record in Web of Science")</f>
        <v>View Full Record in Web of Science</v>
      </c>
    </row>
    <row r="596" spans="1:72" x14ac:dyDescent="0.25">
      <c r="A596" t="s">
        <v>72</v>
      </c>
      <c r="B596" t="s">
        <v>10326</v>
      </c>
      <c r="C596" t="s">
        <v>74</v>
      </c>
      <c r="D596" t="s">
        <v>74</v>
      </c>
      <c r="E596" t="s">
        <v>74</v>
      </c>
      <c r="F596" t="s">
        <v>10327</v>
      </c>
      <c r="G596" t="s">
        <v>74</v>
      </c>
      <c r="H596" t="s">
        <v>74</v>
      </c>
      <c r="I596" t="s">
        <v>10328</v>
      </c>
      <c r="J596" t="s">
        <v>2339</v>
      </c>
      <c r="K596" t="s">
        <v>74</v>
      </c>
      <c r="L596" t="s">
        <v>74</v>
      </c>
      <c r="M596" t="s">
        <v>77</v>
      </c>
      <c r="N596" t="s">
        <v>78</v>
      </c>
      <c r="O596" t="s">
        <v>74</v>
      </c>
      <c r="P596" t="s">
        <v>74</v>
      </c>
      <c r="Q596" t="s">
        <v>74</v>
      </c>
      <c r="R596" t="s">
        <v>74</v>
      </c>
      <c r="S596" t="s">
        <v>74</v>
      </c>
      <c r="T596" t="s">
        <v>10329</v>
      </c>
      <c r="U596" t="s">
        <v>10330</v>
      </c>
      <c r="V596" t="s">
        <v>10331</v>
      </c>
      <c r="W596" t="s">
        <v>10332</v>
      </c>
      <c r="X596" t="s">
        <v>10333</v>
      </c>
      <c r="Y596" t="s">
        <v>10334</v>
      </c>
      <c r="Z596" t="s">
        <v>10335</v>
      </c>
      <c r="AA596" t="s">
        <v>10336</v>
      </c>
      <c r="AB596" t="s">
        <v>10337</v>
      </c>
      <c r="AC596" t="s">
        <v>74</v>
      </c>
      <c r="AD596" t="s">
        <v>74</v>
      </c>
      <c r="AE596" t="s">
        <v>74</v>
      </c>
      <c r="AF596" t="s">
        <v>74</v>
      </c>
      <c r="AG596">
        <v>99</v>
      </c>
      <c r="AH596">
        <v>11</v>
      </c>
      <c r="AI596">
        <v>11</v>
      </c>
      <c r="AJ596">
        <v>1</v>
      </c>
      <c r="AK596">
        <v>33</v>
      </c>
      <c r="AL596" t="s">
        <v>2351</v>
      </c>
      <c r="AM596" t="s">
        <v>541</v>
      </c>
      <c r="AN596" t="s">
        <v>2352</v>
      </c>
      <c r="AO596" t="s">
        <v>2353</v>
      </c>
      <c r="AP596" t="s">
        <v>2354</v>
      </c>
      <c r="AQ596" t="s">
        <v>74</v>
      </c>
      <c r="AR596" t="s">
        <v>2355</v>
      </c>
      <c r="AS596" t="s">
        <v>2356</v>
      </c>
      <c r="AT596" t="s">
        <v>91</v>
      </c>
      <c r="AU596">
        <v>2017</v>
      </c>
      <c r="AV596">
        <v>70</v>
      </c>
      <c r="AW596">
        <v>6</v>
      </c>
      <c r="AX596" t="s">
        <v>74</v>
      </c>
      <c r="AY596" t="s">
        <v>74</v>
      </c>
      <c r="AZ596" t="s">
        <v>74</v>
      </c>
      <c r="BA596" t="s">
        <v>74</v>
      </c>
      <c r="BB596">
        <v>668</v>
      </c>
      <c r="BC596">
        <v>693</v>
      </c>
      <c r="BD596" t="s">
        <v>74</v>
      </c>
      <c r="BE596" t="s">
        <v>10338</v>
      </c>
      <c r="BF596" t="str">
        <f>HYPERLINK("http://dx.doi.org/10.1177/0018726716672921","http://dx.doi.org/10.1177/0018726716672921")</f>
        <v>http://dx.doi.org/10.1177/0018726716672921</v>
      </c>
      <c r="BG596" t="s">
        <v>74</v>
      </c>
      <c r="BH596" t="s">
        <v>74</v>
      </c>
      <c r="BI596">
        <v>26</v>
      </c>
      <c r="BJ596" t="s">
        <v>2358</v>
      </c>
      <c r="BK596" t="s">
        <v>94</v>
      </c>
      <c r="BL596" t="s">
        <v>2359</v>
      </c>
      <c r="BM596" t="s">
        <v>10339</v>
      </c>
      <c r="BN596" t="s">
        <v>74</v>
      </c>
      <c r="BO596" t="s">
        <v>74</v>
      </c>
      <c r="BP596" t="s">
        <v>74</v>
      </c>
      <c r="BQ596" t="s">
        <v>74</v>
      </c>
      <c r="BR596" t="s">
        <v>97</v>
      </c>
      <c r="BS596" t="s">
        <v>10340</v>
      </c>
      <c r="BT596" t="str">
        <f>HYPERLINK("https%3A%2F%2Fwww.webofscience.com%2Fwos%2Fwoscc%2Ffull-record%2FWOS:000402845500002","View Full Record in Web of Science")</f>
        <v>View Full Record in Web of Science</v>
      </c>
    </row>
    <row r="597" spans="1:72" x14ac:dyDescent="0.25">
      <c r="A597" t="s">
        <v>72</v>
      </c>
      <c r="B597" t="s">
        <v>10341</v>
      </c>
      <c r="C597" t="s">
        <v>74</v>
      </c>
      <c r="D597" t="s">
        <v>74</v>
      </c>
      <c r="E597" t="s">
        <v>74</v>
      </c>
      <c r="F597" t="s">
        <v>10342</v>
      </c>
      <c r="G597" t="s">
        <v>74</v>
      </c>
      <c r="H597" t="s">
        <v>74</v>
      </c>
      <c r="I597" t="s">
        <v>10343</v>
      </c>
      <c r="J597" t="s">
        <v>697</v>
      </c>
      <c r="K597" t="s">
        <v>74</v>
      </c>
      <c r="L597" t="s">
        <v>74</v>
      </c>
      <c r="M597" t="s">
        <v>77</v>
      </c>
      <c r="N597" t="s">
        <v>78</v>
      </c>
      <c r="O597" t="s">
        <v>74</v>
      </c>
      <c r="P597" t="s">
        <v>74</v>
      </c>
      <c r="Q597" t="s">
        <v>74</v>
      </c>
      <c r="R597" t="s">
        <v>74</v>
      </c>
      <c r="S597" t="s">
        <v>74</v>
      </c>
      <c r="T597" t="s">
        <v>10344</v>
      </c>
      <c r="U597" t="s">
        <v>10345</v>
      </c>
      <c r="V597" t="s">
        <v>10346</v>
      </c>
      <c r="W597" t="s">
        <v>10347</v>
      </c>
      <c r="X597" t="s">
        <v>10348</v>
      </c>
      <c r="Y597" t="s">
        <v>10349</v>
      </c>
      <c r="Z597" t="s">
        <v>10350</v>
      </c>
      <c r="AA597" t="s">
        <v>10351</v>
      </c>
      <c r="AB597" t="s">
        <v>10352</v>
      </c>
      <c r="AC597" t="s">
        <v>10353</v>
      </c>
      <c r="AD597" t="s">
        <v>10353</v>
      </c>
      <c r="AE597" t="s">
        <v>10354</v>
      </c>
      <c r="AF597" t="s">
        <v>74</v>
      </c>
      <c r="AG597">
        <v>53</v>
      </c>
      <c r="AH597">
        <v>11</v>
      </c>
      <c r="AI597">
        <v>11</v>
      </c>
      <c r="AJ597">
        <v>1</v>
      </c>
      <c r="AK597">
        <v>45</v>
      </c>
      <c r="AL597" t="s">
        <v>707</v>
      </c>
      <c r="AM597" t="s">
        <v>541</v>
      </c>
      <c r="AN597" t="s">
        <v>708</v>
      </c>
      <c r="AO597" t="s">
        <v>709</v>
      </c>
      <c r="AP597" t="s">
        <v>710</v>
      </c>
      <c r="AQ597" t="s">
        <v>74</v>
      </c>
      <c r="AR597" t="s">
        <v>711</v>
      </c>
      <c r="AS597" t="s">
        <v>712</v>
      </c>
      <c r="AT597" t="s">
        <v>10355</v>
      </c>
      <c r="AU597">
        <v>2017</v>
      </c>
      <c r="AV597">
        <v>284</v>
      </c>
      <c r="AW597">
        <v>1848</v>
      </c>
      <c r="AX597" t="s">
        <v>74</v>
      </c>
      <c r="AY597" t="s">
        <v>74</v>
      </c>
      <c r="AZ597" t="s">
        <v>74</v>
      </c>
      <c r="BA597" t="s">
        <v>74</v>
      </c>
      <c r="BB597" t="s">
        <v>74</v>
      </c>
      <c r="BC597" t="s">
        <v>74</v>
      </c>
      <c r="BD597">
        <v>20162385</v>
      </c>
      <c r="BE597" t="s">
        <v>10356</v>
      </c>
      <c r="BF597" t="str">
        <f>HYPERLINK("http://dx.doi.org/10.1098/rspb.2016.2385","http://dx.doi.org/10.1098/rspb.2016.2385")</f>
        <v>http://dx.doi.org/10.1098/rspb.2016.2385</v>
      </c>
      <c r="BG597" t="s">
        <v>74</v>
      </c>
      <c r="BH597" t="s">
        <v>74</v>
      </c>
      <c r="BI597">
        <v>9</v>
      </c>
      <c r="BJ597" t="s">
        <v>715</v>
      </c>
      <c r="BK597" t="s">
        <v>147</v>
      </c>
      <c r="BL597" t="s">
        <v>716</v>
      </c>
      <c r="BM597" t="s">
        <v>10357</v>
      </c>
      <c r="BN597">
        <v>28179515</v>
      </c>
      <c r="BO597" t="s">
        <v>10358</v>
      </c>
      <c r="BP597" t="s">
        <v>74</v>
      </c>
      <c r="BQ597" t="s">
        <v>74</v>
      </c>
      <c r="BR597" t="s">
        <v>97</v>
      </c>
      <c r="BS597" t="s">
        <v>10359</v>
      </c>
      <c r="BT597" t="str">
        <f>HYPERLINK("https%3A%2F%2Fwww.webofscience.com%2Fwos%2Fwoscc%2Ffull-record%2FWOS:000393750000013","View Full Record in Web of Science")</f>
        <v>View Full Record in Web of Science</v>
      </c>
    </row>
    <row r="598" spans="1:72" x14ac:dyDescent="0.25">
      <c r="A598" t="s">
        <v>72</v>
      </c>
      <c r="B598" t="s">
        <v>10360</v>
      </c>
      <c r="C598" t="s">
        <v>74</v>
      </c>
      <c r="D598" t="s">
        <v>74</v>
      </c>
      <c r="E598" t="s">
        <v>74</v>
      </c>
      <c r="F598" t="s">
        <v>10361</v>
      </c>
      <c r="G598" t="s">
        <v>74</v>
      </c>
      <c r="H598" t="s">
        <v>74</v>
      </c>
      <c r="I598" t="s">
        <v>10362</v>
      </c>
      <c r="J598" t="s">
        <v>10363</v>
      </c>
      <c r="K598" t="s">
        <v>74</v>
      </c>
      <c r="L598" t="s">
        <v>74</v>
      </c>
      <c r="M598" t="s">
        <v>77</v>
      </c>
      <c r="N598" t="s">
        <v>78</v>
      </c>
      <c r="O598" t="s">
        <v>74</v>
      </c>
      <c r="P598" t="s">
        <v>74</v>
      </c>
      <c r="Q598" t="s">
        <v>74</v>
      </c>
      <c r="R598" t="s">
        <v>74</v>
      </c>
      <c r="S598" t="s">
        <v>74</v>
      </c>
      <c r="T598" t="s">
        <v>74</v>
      </c>
      <c r="U598" t="s">
        <v>10364</v>
      </c>
      <c r="V598" t="s">
        <v>10365</v>
      </c>
      <c r="W598" t="s">
        <v>10366</v>
      </c>
      <c r="X598" t="s">
        <v>10367</v>
      </c>
      <c r="Y598" t="s">
        <v>10368</v>
      </c>
      <c r="Z598" t="s">
        <v>10369</v>
      </c>
      <c r="AA598" t="s">
        <v>10370</v>
      </c>
      <c r="AB598" t="s">
        <v>10371</v>
      </c>
      <c r="AC598" t="s">
        <v>10372</v>
      </c>
      <c r="AD598" t="s">
        <v>10373</v>
      </c>
      <c r="AE598" t="s">
        <v>10374</v>
      </c>
      <c r="AF598" t="s">
        <v>74</v>
      </c>
      <c r="AG598">
        <v>26</v>
      </c>
      <c r="AH598">
        <v>11</v>
      </c>
      <c r="AI598">
        <v>11</v>
      </c>
      <c r="AJ598">
        <v>0</v>
      </c>
      <c r="AK598">
        <v>10</v>
      </c>
      <c r="AL598" t="s">
        <v>10375</v>
      </c>
      <c r="AM598" t="s">
        <v>10376</v>
      </c>
      <c r="AN598" t="s">
        <v>10377</v>
      </c>
      <c r="AO598" t="s">
        <v>10378</v>
      </c>
      <c r="AP598" t="s">
        <v>10379</v>
      </c>
      <c r="AQ598" t="s">
        <v>74</v>
      </c>
      <c r="AR598" t="s">
        <v>10380</v>
      </c>
      <c r="AS598" t="s">
        <v>10381</v>
      </c>
      <c r="AT598" t="s">
        <v>7222</v>
      </c>
      <c r="AU598">
        <v>2016</v>
      </c>
      <c r="AV598">
        <v>94</v>
      </c>
      <c r="AW598">
        <v>6</v>
      </c>
      <c r="AX598" t="s">
        <v>74</v>
      </c>
      <c r="AY598" t="s">
        <v>74</v>
      </c>
      <c r="AZ598" t="s">
        <v>74</v>
      </c>
      <c r="BA598" t="s">
        <v>74</v>
      </c>
      <c r="BB598" t="s">
        <v>74</v>
      </c>
      <c r="BC598" t="s">
        <v>74</v>
      </c>
      <c r="BD598">
        <v>63005</v>
      </c>
      <c r="BE598" t="s">
        <v>10382</v>
      </c>
      <c r="BF598" t="str">
        <f>HYPERLINK("http://dx.doi.org/10.1103/PhysRevE.94.063005","http://dx.doi.org/10.1103/PhysRevE.94.063005")</f>
        <v>http://dx.doi.org/10.1103/PhysRevE.94.063005</v>
      </c>
      <c r="BG598" t="s">
        <v>74</v>
      </c>
      <c r="BH598" t="s">
        <v>74</v>
      </c>
      <c r="BI598">
        <v>10</v>
      </c>
      <c r="BJ598" t="s">
        <v>10383</v>
      </c>
      <c r="BK598" t="s">
        <v>283</v>
      </c>
      <c r="BL598" t="s">
        <v>10384</v>
      </c>
      <c r="BM598" t="s">
        <v>10385</v>
      </c>
      <c r="BN598">
        <v>28085333</v>
      </c>
      <c r="BO598" t="s">
        <v>7626</v>
      </c>
      <c r="BP598" t="s">
        <v>74</v>
      </c>
      <c r="BQ598" t="s">
        <v>74</v>
      </c>
      <c r="BR598" t="s">
        <v>97</v>
      </c>
      <c r="BS598" t="s">
        <v>10386</v>
      </c>
      <c r="BT598" t="str">
        <f>HYPERLINK("https%3A%2F%2Fwww.webofscience.com%2Fwos%2Fwoscc%2Ffull-record%2FWOS:000391018500013","View Full Record in Web of Science")</f>
        <v>View Full Record in Web of Science</v>
      </c>
    </row>
    <row r="599" spans="1:72" x14ac:dyDescent="0.25">
      <c r="A599" t="s">
        <v>72</v>
      </c>
      <c r="B599" t="s">
        <v>10387</v>
      </c>
      <c r="C599" t="s">
        <v>74</v>
      </c>
      <c r="D599" t="s">
        <v>74</v>
      </c>
      <c r="E599" t="s">
        <v>74</v>
      </c>
      <c r="F599" t="s">
        <v>10388</v>
      </c>
      <c r="G599" t="s">
        <v>74</v>
      </c>
      <c r="H599" t="s">
        <v>74</v>
      </c>
      <c r="I599" t="s">
        <v>10389</v>
      </c>
      <c r="J599" t="s">
        <v>10390</v>
      </c>
      <c r="K599" t="s">
        <v>74</v>
      </c>
      <c r="L599" t="s">
        <v>74</v>
      </c>
      <c r="M599" t="s">
        <v>77</v>
      </c>
      <c r="N599" t="s">
        <v>78</v>
      </c>
      <c r="O599" t="s">
        <v>74</v>
      </c>
      <c r="P599" t="s">
        <v>74</v>
      </c>
      <c r="Q599" t="s">
        <v>74</v>
      </c>
      <c r="R599" t="s">
        <v>74</v>
      </c>
      <c r="S599" t="s">
        <v>74</v>
      </c>
      <c r="T599" t="s">
        <v>74</v>
      </c>
      <c r="U599" t="s">
        <v>10391</v>
      </c>
      <c r="V599" t="s">
        <v>10392</v>
      </c>
      <c r="W599" t="s">
        <v>10393</v>
      </c>
      <c r="X599" t="s">
        <v>10394</v>
      </c>
      <c r="Y599" t="s">
        <v>10395</v>
      </c>
      <c r="Z599" t="s">
        <v>10396</v>
      </c>
      <c r="AA599" t="s">
        <v>10397</v>
      </c>
      <c r="AB599" t="s">
        <v>10398</v>
      </c>
      <c r="AC599" t="s">
        <v>10399</v>
      </c>
      <c r="AD599" t="s">
        <v>10400</v>
      </c>
      <c r="AE599" t="s">
        <v>10401</v>
      </c>
      <c r="AF599" t="s">
        <v>74</v>
      </c>
      <c r="AG599">
        <v>30</v>
      </c>
      <c r="AH599">
        <v>11</v>
      </c>
      <c r="AI599">
        <v>12</v>
      </c>
      <c r="AJ599">
        <v>0</v>
      </c>
      <c r="AK599">
        <v>17</v>
      </c>
      <c r="AL599" t="s">
        <v>2833</v>
      </c>
      <c r="AM599" t="s">
        <v>541</v>
      </c>
      <c r="AN599" t="s">
        <v>2834</v>
      </c>
      <c r="AO599" t="s">
        <v>10402</v>
      </c>
      <c r="AP599" t="s">
        <v>74</v>
      </c>
      <c r="AQ599" t="s">
        <v>74</v>
      </c>
      <c r="AR599" t="s">
        <v>10403</v>
      </c>
      <c r="AS599" t="s">
        <v>10404</v>
      </c>
      <c r="AT599" t="s">
        <v>10405</v>
      </c>
      <c r="AU599">
        <v>2016</v>
      </c>
      <c r="AV599">
        <v>6</v>
      </c>
      <c r="AW599" t="s">
        <v>74</v>
      </c>
      <c r="AX599" t="s">
        <v>74</v>
      </c>
      <c r="AY599" t="s">
        <v>74</v>
      </c>
      <c r="AZ599" t="s">
        <v>74</v>
      </c>
      <c r="BA599" t="s">
        <v>74</v>
      </c>
      <c r="BB599" t="s">
        <v>74</v>
      </c>
      <c r="BC599" t="s">
        <v>74</v>
      </c>
      <c r="BD599">
        <v>31084</v>
      </c>
      <c r="BE599" t="s">
        <v>10406</v>
      </c>
      <c r="BF599" t="str">
        <f>HYPERLINK("http://dx.doi.org/10.1038/srep31084","http://dx.doi.org/10.1038/srep31084")</f>
        <v>http://dx.doi.org/10.1038/srep31084</v>
      </c>
      <c r="BG599" t="s">
        <v>74</v>
      </c>
      <c r="BH599" t="s">
        <v>74</v>
      </c>
      <c r="BI599">
        <v>10</v>
      </c>
      <c r="BJ599" t="s">
        <v>282</v>
      </c>
      <c r="BK599" t="s">
        <v>283</v>
      </c>
      <c r="BL599" t="s">
        <v>284</v>
      </c>
      <c r="BM599" t="s">
        <v>10407</v>
      </c>
      <c r="BN599">
        <v>27498966</v>
      </c>
      <c r="BO599" t="s">
        <v>9030</v>
      </c>
      <c r="BP599" t="s">
        <v>74</v>
      </c>
      <c r="BQ599" t="s">
        <v>74</v>
      </c>
      <c r="BR599" t="s">
        <v>97</v>
      </c>
      <c r="BS599" t="s">
        <v>10408</v>
      </c>
      <c r="BT599" t="str">
        <f>HYPERLINK("https%3A%2F%2Fwww.webofscience.com%2Fwos%2Fwoscc%2Ffull-record%2FWOS:000381009900002","View Full Record in Web of Science")</f>
        <v>View Full Record in Web of Science</v>
      </c>
    </row>
    <row r="600" spans="1:72" x14ac:dyDescent="0.25">
      <c r="A600" t="s">
        <v>72</v>
      </c>
      <c r="B600" t="s">
        <v>10409</v>
      </c>
      <c r="C600" t="s">
        <v>74</v>
      </c>
      <c r="D600" t="s">
        <v>74</v>
      </c>
      <c r="E600" t="s">
        <v>74</v>
      </c>
      <c r="F600" t="s">
        <v>10410</v>
      </c>
      <c r="G600" t="s">
        <v>74</v>
      </c>
      <c r="H600" t="s">
        <v>74</v>
      </c>
      <c r="I600" t="s">
        <v>10411</v>
      </c>
      <c r="J600" t="s">
        <v>3561</v>
      </c>
      <c r="K600" t="s">
        <v>74</v>
      </c>
      <c r="L600" t="s">
        <v>74</v>
      </c>
      <c r="M600" t="s">
        <v>77</v>
      </c>
      <c r="N600" t="s">
        <v>78</v>
      </c>
      <c r="O600" t="s">
        <v>74</v>
      </c>
      <c r="P600" t="s">
        <v>74</v>
      </c>
      <c r="Q600" t="s">
        <v>74</v>
      </c>
      <c r="R600" t="s">
        <v>74</v>
      </c>
      <c r="S600" t="s">
        <v>74</v>
      </c>
      <c r="T600" t="s">
        <v>10412</v>
      </c>
      <c r="U600" t="s">
        <v>10413</v>
      </c>
      <c r="V600" t="s">
        <v>10414</v>
      </c>
      <c r="W600" t="s">
        <v>10415</v>
      </c>
      <c r="X600" t="s">
        <v>10416</v>
      </c>
      <c r="Y600" t="s">
        <v>10417</v>
      </c>
      <c r="Z600" t="s">
        <v>10418</v>
      </c>
      <c r="AA600" t="s">
        <v>74</v>
      </c>
      <c r="AB600" t="s">
        <v>74</v>
      </c>
      <c r="AC600" t="s">
        <v>74</v>
      </c>
      <c r="AD600" t="s">
        <v>74</v>
      </c>
      <c r="AE600" t="s">
        <v>74</v>
      </c>
      <c r="AF600" t="s">
        <v>74</v>
      </c>
      <c r="AG600">
        <v>115</v>
      </c>
      <c r="AH600">
        <v>11</v>
      </c>
      <c r="AI600">
        <v>13</v>
      </c>
      <c r="AJ600">
        <v>3</v>
      </c>
      <c r="AK600">
        <v>47</v>
      </c>
      <c r="AL600" t="s">
        <v>665</v>
      </c>
      <c r="AM600" t="s">
        <v>666</v>
      </c>
      <c r="AN600" t="s">
        <v>667</v>
      </c>
      <c r="AO600" t="s">
        <v>3574</v>
      </c>
      <c r="AP600" t="s">
        <v>3575</v>
      </c>
      <c r="AQ600" t="s">
        <v>74</v>
      </c>
      <c r="AR600" t="s">
        <v>3576</v>
      </c>
      <c r="AS600" t="s">
        <v>3577</v>
      </c>
      <c r="AT600" t="s">
        <v>74</v>
      </c>
      <c r="AU600">
        <v>2016</v>
      </c>
      <c r="AV600">
        <v>11</v>
      </c>
      <c r="AW600">
        <v>4</v>
      </c>
      <c r="AX600" t="s">
        <v>74</v>
      </c>
      <c r="AY600" t="s">
        <v>74</v>
      </c>
      <c r="AZ600" t="s">
        <v>74</v>
      </c>
      <c r="BA600" t="s">
        <v>74</v>
      </c>
      <c r="BB600">
        <v>516</v>
      </c>
      <c r="BC600">
        <v>534</v>
      </c>
      <c r="BD600" t="s">
        <v>74</v>
      </c>
      <c r="BE600" t="s">
        <v>10419</v>
      </c>
      <c r="BF600" t="str">
        <f>HYPERLINK("http://dx.doi.org/10.1108/BJM-04-2015-0107","http://dx.doi.org/10.1108/BJM-04-2015-0107")</f>
        <v>http://dx.doi.org/10.1108/BJM-04-2015-0107</v>
      </c>
      <c r="BG600" t="s">
        <v>74</v>
      </c>
      <c r="BH600" t="s">
        <v>74</v>
      </c>
      <c r="BI600">
        <v>19</v>
      </c>
      <c r="BJ600" t="s">
        <v>442</v>
      </c>
      <c r="BK600" t="s">
        <v>94</v>
      </c>
      <c r="BL600" t="s">
        <v>95</v>
      </c>
      <c r="BM600" t="s">
        <v>10420</v>
      </c>
      <c r="BN600" t="s">
        <v>74</v>
      </c>
      <c r="BO600" t="s">
        <v>74</v>
      </c>
      <c r="BP600" t="s">
        <v>74</v>
      </c>
      <c r="BQ600" t="s">
        <v>74</v>
      </c>
      <c r="BR600" t="s">
        <v>97</v>
      </c>
      <c r="BS600" t="s">
        <v>10421</v>
      </c>
      <c r="BT600" t="str">
        <f>HYPERLINK("https%3A%2F%2Fwww.webofscience.com%2Fwos%2Fwoscc%2Ffull-record%2FWOS:000386788900008","View Full Record in Web of Science")</f>
        <v>View Full Record in Web of Science</v>
      </c>
    </row>
    <row r="601" spans="1:72" x14ac:dyDescent="0.25">
      <c r="A601" t="s">
        <v>72</v>
      </c>
      <c r="B601" t="s">
        <v>10422</v>
      </c>
      <c r="C601" t="s">
        <v>74</v>
      </c>
      <c r="D601" t="s">
        <v>74</v>
      </c>
      <c r="E601" t="s">
        <v>74</v>
      </c>
      <c r="F601" t="s">
        <v>10423</v>
      </c>
      <c r="G601" t="s">
        <v>74</v>
      </c>
      <c r="H601" t="s">
        <v>74</v>
      </c>
      <c r="I601" t="s">
        <v>10424</v>
      </c>
      <c r="J601" t="s">
        <v>9157</v>
      </c>
      <c r="K601" t="s">
        <v>74</v>
      </c>
      <c r="L601" t="s">
        <v>74</v>
      </c>
      <c r="M601" t="s">
        <v>77</v>
      </c>
      <c r="N601" t="s">
        <v>78</v>
      </c>
      <c r="O601" t="s">
        <v>74</v>
      </c>
      <c r="P601" t="s">
        <v>74</v>
      </c>
      <c r="Q601" t="s">
        <v>74</v>
      </c>
      <c r="R601" t="s">
        <v>74</v>
      </c>
      <c r="S601" t="s">
        <v>74</v>
      </c>
      <c r="T601" t="s">
        <v>10425</v>
      </c>
      <c r="U601" t="s">
        <v>10426</v>
      </c>
      <c r="V601" t="s">
        <v>10427</v>
      </c>
      <c r="W601" t="s">
        <v>10428</v>
      </c>
      <c r="X601" t="s">
        <v>10429</v>
      </c>
      <c r="Y601" t="s">
        <v>10430</v>
      </c>
      <c r="Z601" t="s">
        <v>10431</v>
      </c>
      <c r="AA601" t="s">
        <v>10432</v>
      </c>
      <c r="AB601" t="s">
        <v>10433</v>
      </c>
      <c r="AC601" t="s">
        <v>74</v>
      </c>
      <c r="AD601" t="s">
        <v>74</v>
      </c>
      <c r="AE601" t="s">
        <v>74</v>
      </c>
      <c r="AF601" t="s">
        <v>74</v>
      </c>
      <c r="AG601">
        <v>62</v>
      </c>
      <c r="AH601">
        <v>11</v>
      </c>
      <c r="AI601">
        <v>11</v>
      </c>
      <c r="AJ601">
        <v>2</v>
      </c>
      <c r="AK601">
        <v>33</v>
      </c>
      <c r="AL601" t="s">
        <v>1471</v>
      </c>
      <c r="AM601" t="s">
        <v>1472</v>
      </c>
      <c r="AN601" t="s">
        <v>1473</v>
      </c>
      <c r="AO601" t="s">
        <v>9165</v>
      </c>
      <c r="AP601" t="s">
        <v>9166</v>
      </c>
      <c r="AQ601" t="s">
        <v>74</v>
      </c>
      <c r="AR601" t="s">
        <v>9167</v>
      </c>
      <c r="AS601" t="s">
        <v>9168</v>
      </c>
      <c r="AT601" t="s">
        <v>74</v>
      </c>
      <c r="AU601">
        <v>2014</v>
      </c>
      <c r="AV601">
        <v>8</v>
      </c>
      <c r="AW601">
        <v>4</v>
      </c>
      <c r="AX601" t="s">
        <v>74</v>
      </c>
      <c r="AY601" t="s">
        <v>74</v>
      </c>
      <c r="AZ601" t="s">
        <v>74</v>
      </c>
      <c r="BA601" t="s">
        <v>74</v>
      </c>
      <c r="BB601">
        <v>355</v>
      </c>
      <c r="BC601">
        <v>372</v>
      </c>
      <c r="BD601" t="s">
        <v>74</v>
      </c>
      <c r="BE601" t="s">
        <v>10434</v>
      </c>
      <c r="BF601" t="str">
        <f>HYPERLINK("http://dx.doi.org/10.1504/EJIM.2014.062956","http://dx.doi.org/10.1504/EJIM.2014.062956")</f>
        <v>http://dx.doi.org/10.1504/EJIM.2014.062956</v>
      </c>
      <c r="BG601" t="s">
        <v>74</v>
      </c>
      <c r="BH601" t="s">
        <v>74</v>
      </c>
      <c r="BI601">
        <v>18</v>
      </c>
      <c r="BJ601" t="s">
        <v>442</v>
      </c>
      <c r="BK601" t="s">
        <v>94</v>
      </c>
      <c r="BL601" t="s">
        <v>95</v>
      </c>
      <c r="BM601" t="s">
        <v>10435</v>
      </c>
      <c r="BN601" t="s">
        <v>74</v>
      </c>
      <c r="BO601" t="s">
        <v>74</v>
      </c>
      <c r="BP601" t="s">
        <v>74</v>
      </c>
      <c r="BQ601" t="s">
        <v>74</v>
      </c>
      <c r="BR601" t="s">
        <v>97</v>
      </c>
      <c r="BS601" t="s">
        <v>10436</v>
      </c>
      <c r="BT601" t="str">
        <f>HYPERLINK("https%3A%2F%2Fwww.webofscience.com%2Fwos%2Fwoscc%2Ffull-record%2FWOS:000339676500001","View Full Record in Web of Science")</f>
        <v>View Full Record in Web of Science</v>
      </c>
    </row>
    <row r="602" spans="1:72" x14ac:dyDescent="0.25">
      <c r="A602" t="s">
        <v>72</v>
      </c>
      <c r="B602" t="s">
        <v>10437</v>
      </c>
      <c r="C602" t="s">
        <v>74</v>
      </c>
      <c r="D602" t="s">
        <v>74</v>
      </c>
      <c r="E602" t="s">
        <v>74</v>
      </c>
      <c r="F602" t="s">
        <v>10438</v>
      </c>
      <c r="G602" t="s">
        <v>74</v>
      </c>
      <c r="H602" t="s">
        <v>74</v>
      </c>
      <c r="I602" t="s">
        <v>10439</v>
      </c>
      <c r="J602" t="s">
        <v>10440</v>
      </c>
      <c r="K602" t="s">
        <v>74</v>
      </c>
      <c r="L602" t="s">
        <v>74</v>
      </c>
      <c r="M602" t="s">
        <v>77</v>
      </c>
      <c r="N602" t="s">
        <v>78</v>
      </c>
      <c r="O602" t="s">
        <v>74</v>
      </c>
      <c r="P602" t="s">
        <v>74</v>
      </c>
      <c r="Q602" t="s">
        <v>74</v>
      </c>
      <c r="R602" t="s">
        <v>74</v>
      </c>
      <c r="S602" t="s">
        <v>74</v>
      </c>
      <c r="T602" t="s">
        <v>10441</v>
      </c>
      <c r="U602" t="s">
        <v>10442</v>
      </c>
      <c r="V602" t="s">
        <v>10443</v>
      </c>
      <c r="W602" t="s">
        <v>10444</v>
      </c>
      <c r="X602" t="s">
        <v>10445</v>
      </c>
      <c r="Y602" t="s">
        <v>10446</v>
      </c>
      <c r="Z602" t="s">
        <v>10447</v>
      </c>
      <c r="AA602" t="s">
        <v>10448</v>
      </c>
      <c r="AB602" t="s">
        <v>74</v>
      </c>
      <c r="AC602" t="s">
        <v>74</v>
      </c>
      <c r="AD602" t="s">
        <v>74</v>
      </c>
      <c r="AE602" t="s">
        <v>74</v>
      </c>
      <c r="AF602" t="s">
        <v>74</v>
      </c>
      <c r="AG602">
        <v>44</v>
      </c>
      <c r="AH602">
        <v>11</v>
      </c>
      <c r="AI602">
        <v>11</v>
      </c>
      <c r="AJ602">
        <v>10</v>
      </c>
      <c r="AK602">
        <v>66</v>
      </c>
      <c r="AL602" t="s">
        <v>1099</v>
      </c>
      <c r="AM602" t="s">
        <v>305</v>
      </c>
      <c r="AN602" t="s">
        <v>1100</v>
      </c>
      <c r="AO602" t="s">
        <v>10449</v>
      </c>
      <c r="AP602" t="s">
        <v>10450</v>
      </c>
      <c r="AQ602" t="s">
        <v>74</v>
      </c>
      <c r="AR602" t="s">
        <v>10451</v>
      </c>
      <c r="AS602" t="s">
        <v>10452</v>
      </c>
      <c r="AT602" t="s">
        <v>10453</v>
      </c>
      <c r="AU602">
        <v>2013</v>
      </c>
      <c r="AV602">
        <v>19</v>
      </c>
      <c r="AW602">
        <v>4</v>
      </c>
      <c r="AX602" t="s">
        <v>74</v>
      </c>
      <c r="AY602" t="s">
        <v>74</v>
      </c>
      <c r="AZ602" t="s">
        <v>74</v>
      </c>
      <c r="BA602" t="s">
        <v>74</v>
      </c>
      <c r="BB602">
        <v>398</v>
      </c>
      <c r="BC602">
        <v>418</v>
      </c>
      <c r="BD602" t="s">
        <v>74</v>
      </c>
      <c r="BE602" t="s">
        <v>10454</v>
      </c>
      <c r="BF602" t="str">
        <f>HYPERLINK("http://dx.doi.org/10.1080/13540602.2013.770230","http://dx.doi.org/10.1080/13540602.2013.770230")</f>
        <v>http://dx.doi.org/10.1080/13540602.2013.770230</v>
      </c>
      <c r="BG602" t="s">
        <v>74</v>
      </c>
      <c r="BH602" t="s">
        <v>74</v>
      </c>
      <c r="BI602">
        <v>21</v>
      </c>
      <c r="BJ602" t="s">
        <v>815</v>
      </c>
      <c r="BK602" t="s">
        <v>94</v>
      </c>
      <c r="BL602" t="s">
        <v>815</v>
      </c>
      <c r="BM602" t="s">
        <v>10455</v>
      </c>
      <c r="BN602" t="s">
        <v>74</v>
      </c>
      <c r="BO602" t="s">
        <v>74</v>
      </c>
      <c r="BP602" t="s">
        <v>74</v>
      </c>
      <c r="BQ602" t="s">
        <v>74</v>
      </c>
      <c r="BR602" t="s">
        <v>97</v>
      </c>
      <c r="BS602" t="s">
        <v>10456</v>
      </c>
      <c r="BT602" t="str">
        <f>HYPERLINK("https%3A%2F%2Fwww.webofscience.com%2Fwos%2Fwoscc%2Ffull-record%2FWOS:000322755000004","View Full Record in Web of Science")</f>
        <v>View Full Record in Web of Science</v>
      </c>
    </row>
    <row r="603" spans="1:72" x14ac:dyDescent="0.25">
      <c r="A603" t="s">
        <v>72</v>
      </c>
      <c r="B603" t="s">
        <v>10457</v>
      </c>
      <c r="C603" t="s">
        <v>74</v>
      </c>
      <c r="D603" t="s">
        <v>74</v>
      </c>
      <c r="E603" t="s">
        <v>74</v>
      </c>
      <c r="F603" t="s">
        <v>10458</v>
      </c>
      <c r="G603" t="s">
        <v>74</v>
      </c>
      <c r="H603" t="s">
        <v>74</v>
      </c>
      <c r="I603" t="s">
        <v>10459</v>
      </c>
      <c r="J603" t="s">
        <v>2550</v>
      </c>
      <c r="K603" t="s">
        <v>74</v>
      </c>
      <c r="L603" t="s">
        <v>74</v>
      </c>
      <c r="M603" t="s">
        <v>77</v>
      </c>
      <c r="N603" t="s">
        <v>78</v>
      </c>
      <c r="O603" t="s">
        <v>74</v>
      </c>
      <c r="P603" t="s">
        <v>74</v>
      </c>
      <c r="Q603" t="s">
        <v>74</v>
      </c>
      <c r="R603" t="s">
        <v>74</v>
      </c>
      <c r="S603" t="s">
        <v>74</v>
      </c>
      <c r="T603" t="s">
        <v>10460</v>
      </c>
      <c r="U603" t="s">
        <v>10461</v>
      </c>
      <c r="V603" t="s">
        <v>10462</v>
      </c>
      <c r="W603" t="s">
        <v>10463</v>
      </c>
      <c r="X603" t="s">
        <v>10464</v>
      </c>
      <c r="Y603" t="s">
        <v>10465</v>
      </c>
      <c r="Z603" t="s">
        <v>10466</v>
      </c>
      <c r="AA603" t="s">
        <v>10467</v>
      </c>
      <c r="AB603" t="s">
        <v>10468</v>
      </c>
      <c r="AC603" t="s">
        <v>74</v>
      </c>
      <c r="AD603" t="s">
        <v>74</v>
      </c>
      <c r="AE603" t="s">
        <v>74</v>
      </c>
      <c r="AF603" t="s">
        <v>74</v>
      </c>
      <c r="AG603">
        <v>97</v>
      </c>
      <c r="AH603">
        <v>11</v>
      </c>
      <c r="AI603">
        <v>11</v>
      </c>
      <c r="AJ603">
        <v>4</v>
      </c>
      <c r="AK603">
        <v>81</v>
      </c>
      <c r="AL603" t="s">
        <v>2557</v>
      </c>
      <c r="AM603" t="s">
        <v>10469</v>
      </c>
      <c r="AN603" t="s">
        <v>10470</v>
      </c>
      <c r="AO603" t="s">
        <v>2559</v>
      </c>
      <c r="AP603" t="s">
        <v>10471</v>
      </c>
      <c r="AQ603" t="s">
        <v>74</v>
      </c>
      <c r="AR603" t="s">
        <v>2560</v>
      </c>
      <c r="AS603" t="s">
        <v>2561</v>
      </c>
      <c r="AT603" t="s">
        <v>392</v>
      </c>
      <c r="AU603">
        <v>2013</v>
      </c>
      <c r="AV603">
        <v>60</v>
      </c>
      <c r="AW603">
        <v>3</v>
      </c>
      <c r="AX603" t="s">
        <v>74</v>
      </c>
      <c r="AY603" t="s">
        <v>74</v>
      </c>
      <c r="AZ603" t="s">
        <v>74</v>
      </c>
      <c r="BA603" t="s">
        <v>74</v>
      </c>
      <c r="BB603">
        <v>457</v>
      </c>
      <c r="BC603">
        <v>467</v>
      </c>
      <c r="BD603" t="s">
        <v>74</v>
      </c>
      <c r="BE603" t="s">
        <v>10472</v>
      </c>
      <c r="BF603" t="str">
        <f>HYPERLINK("http://dx.doi.org/10.1109/TEM.2013.2237911","http://dx.doi.org/10.1109/TEM.2013.2237911")</f>
        <v>http://dx.doi.org/10.1109/TEM.2013.2237911</v>
      </c>
      <c r="BG603" t="s">
        <v>74</v>
      </c>
      <c r="BH603" t="s">
        <v>74</v>
      </c>
      <c r="BI603">
        <v>11</v>
      </c>
      <c r="BJ603" t="s">
        <v>794</v>
      </c>
      <c r="BK603" t="s">
        <v>147</v>
      </c>
      <c r="BL603" t="s">
        <v>795</v>
      </c>
      <c r="BM603" t="s">
        <v>10473</v>
      </c>
      <c r="BN603" t="s">
        <v>74</v>
      </c>
      <c r="BO603" t="s">
        <v>74</v>
      </c>
      <c r="BP603" t="s">
        <v>74</v>
      </c>
      <c r="BQ603" t="s">
        <v>74</v>
      </c>
      <c r="BR603" t="s">
        <v>97</v>
      </c>
      <c r="BS603" t="s">
        <v>10474</v>
      </c>
      <c r="BT603" t="str">
        <f>HYPERLINK("https%3A%2F%2Fwww.webofscience.com%2Fwos%2Fwoscc%2Ffull-record%2FWOS:000322026000002","View Full Record in Web of Science")</f>
        <v>View Full Record in Web of Science</v>
      </c>
    </row>
    <row r="604" spans="1:72" x14ac:dyDescent="0.25">
      <c r="A604" t="s">
        <v>72</v>
      </c>
      <c r="B604" t="s">
        <v>10475</v>
      </c>
      <c r="C604" t="s">
        <v>74</v>
      </c>
      <c r="D604" t="s">
        <v>74</v>
      </c>
      <c r="E604" t="s">
        <v>74</v>
      </c>
      <c r="F604" t="s">
        <v>10476</v>
      </c>
      <c r="G604" t="s">
        <v>74</v>
      </c>
      <c r="H604" t="s">
        <v>74</v>
      </c>
      <c r="I604" t="s">
        <v>10477</v>
      </c>
      <c r="J604" t="s">
        <v>6058</v>
      </c>
      <c r="K604" t="s">
        <v>74</v>
      </c>
      <c r="L604" t="s">
        <v>74</v>
      </c>
      <c r="M604" t="s">
        <v>77</v>
      </c>
      <c r="N604" t="s">
        <v>78</v>
      </c>
      <c r="O604" t="s">
        <v>74</v>
      </c>
      <c r="P604" t="s">
        <v>74</v>
      </c>
      <c r="Q604" t="s">
        <v>74</v>
      </c>
      <c r="R604" t="s">
        <v>74</v>
      </c>
      <c r="S604" t="s">
        <v>74</v>
      </c>
      <c r="T604" t="s">
        <v>10478</v>
      </c>
      <c r="U604" t="s">
        <v>10479</v>
      </c>
      <c r="V604" t="s">
        <v>10480</v>
      </c>
      <c r="W604" t="s">
        <v>10481</v>
      </c>
      <c r="X604" t="s">
        <v>10482</v>
      </c>
      <c r="Y604" t="s">
        <v>10483</v>
      </c>
      <c r="Z604" t="s">
        <v>10484</v>
      </c>
      <c r="AA604" t="s">
        <v>10485</v>
      </c>
      <c r="AB604" t="s">
        <v>10486</v>
      </c>
      <c r="AC604" t="s">
        <v>10487</v>
      </c>
      <c r="AD604" t="s">
        <v>10487</v>
      </c>
      <c r="AE604" t="s">
        <v>10488</v>
      </c>
      <c r="AF604" t="s">
        <v>74</v>
      </c>
      <c r="AG604">
        <v>70</v>
      </c>
      <c r="AH604">
        <v>11</v>
      </c>
      <c r="AI604">
        <v>12</v>
      </c>
      <c r="AJ604">
        <v>5</v>
      </c>
      <c r="AK604">
        <v>40</v>
      </c>
      <c r="AL604" t="s">
        <v>6068</v>
      </c>
      <c r="AM604" t="s">
        <v>6069</v>
      </c>
      <c r="AN604" t="s">
        <v>6070</v>
      </c>
      <c r="AO604" t="s">
        <v>6071</v>
      </c>
      <c r="AP604" t="s">
        <v>74</v>
      </c>
      <c r="AQ604" t="s">
        <v>74</v>
      </c>
      <c r="AR604" t="s">
        <v>6072</v>
      </c>
      <c r="AS604" t="s">
        <v>6073</v>
      </c>
      <c r="AT604" t="s">
        <v>74</v>
      </c>
      <c r="AU604">
        <v>2013</v>
      </c>
      <c r="AV604">
        <v>29</v>
      </c>
      <c r="AW604">
        <v>1</v>
      </c>
      <c r="AX604" t="s">
        <v>74</v>
      </c>
      <c r="AY604" t="s">
        <v>74</v>
      </c>
      <c r="AZ604" t="s">
        <v>74</v>
      </c>
      <c r="BA604" t="s">
        <v>74</v>
      </c>
      <c r="BB604">
        <v>3</v>
      </c>
      <c r="BC604">
        <v>16</v>
      </c>
      <c r="BD604" t="s">
        <v>74</v>
      </c>
      <c r="BE604" t="s">
        <v>74</v>
      </c>
      <c r="BF604" t="s">
        <v>74</v>
      </c>
      <c r="BG604" t="s">
        <v>74</v>
      </c>
      <c r="BH604" t="s">
        <v>74</v>
      </c>
      <c r="BI604">
        <v>14</v>
      </c>
      <c r="BJ604" t="s">
        <v>6074</v>
      </c>
      <c r="BK604" t="s">
        <v>147</v>
      </c>
      <c r="BL604" t="s">
        <v>6075</v>
      </c>
      <c r="BM604" t="s">
        <v>10489</v>
      </c>
      <c r="BN604" t="s">
        <v>74</v>
      </c>
      <c r="BO604" t="s">
        <v>74</v>
      </c>
      <c r="BP604" t="s">
        <v>74</v>
      </c>
      <c r="BQ604" t="s">
        <v>74</v>
      </c>
      <c r="BR604" t="s">
        <v>97</v>
      </c>
      <c r="BS604" t="s">
        <v>10490</v>
      </c>
      <c r="BT604" t="str">
        <f>HYPERLINK("https%3A%2F%2Fwww.webofscience.com%2Fwos%2Fwoscc%2Ffull-record%2FWOS:000329809500002","View Full Record in Web of Science")</f>
        <v>View Full Record in Web of Science</v>
      </c>
    </row>
    <row r="605" spans="1:72" x14ac:dyDescent="0.25">
      <c r="A605" t="s">
        <v>72</v>
      </c>
      <c r="B605" t="s">
        <v>10491</v>
      </c>
      <c r="C605" t="s">
        <v>74</v>
      </c>
      <c r="D605" t="s">
        <v>74</v>
      </c>
      <c r="E605" t="s">
        <v>74</v>
      </c>
      <c r="F605" t="s">
        <v>10492</v>
      </c>
      <c r="G605" t="s">
        <v>74</v>
      </c>
      <c r="H605" t="s">
        <v>74</v>
      </c>
      <c r="I605" t="s">
        <v>10493</v>
      </c>
      <c r="J605" t="s">
        <v>10494</v>
      </c>
      <c r="K605" t="s">
        <v>74</v>
      </c>
      <c r="L605" t="s">
        <v>74</v>
      </c>
      <c r="M605" t="s">
        <v>77</v>
      </c>
      <c r="N605" t="s">
        <v>78</v>
      </c>
      <c r="O605" t="s">
        <v>74</v>
      </c>
      <c r="P605" t="s">
        <v>74</v>
      </c>
      <c r="Q605" t="s">
        <v>74</v>
      </c>
      <c r="R605" t="s">
        <v>74</v>
      </c>
      <c r="S605" t="s">
        <v>74</v>
      </c>
      <c r="T605" t="s">
        <v>10495</v>
      </c>
      <c r="U605" t="s">
        <v>10496</v>
      </c>
      <c r="V605" t="s">
        <v>10497</v>
      </c>
      <c r="W605" t="s">
        <v>10498</v>
      </c>
      <c r="X605" t="s">
        <v>10499</v>
      </c>
      <c r="Y605" t="s">
        <v>10500</v>
      </c>
      <c r="Z605" t="s">
        <v>10501</v>
      </c>
      <c r="AA605" t="s">
        <v>74</v>
      </c>
      <c r="AB605" t="s">
        <v>74</v>
      </c>
      <c r="AC605" t="s">
        <v>10502</v>
      </c>
      <c r="AD605" t="s">
        <v>10503</v>
      </c>
      <c r="AE605" t="s">
        <v>10504</v>
      </c>
      <c r="AF605" t="s">
        <v>74</v>
      </c>
      <c r="AG605">
        <v>61</v>
      </c>
      <c r="AH605">
        <v>11</v>
      </c>
      <c r="AI605">
        <v>12</v>
      </c>
      <c r="AJ605">
        <v>0</v>
      </c>
      <c r="AK605">
        <v>32</v>
      </c>
      <c r="AL605" t="s">
        <v>577</v>
      </c>
      <c r="AM605" t="s">
        <v>578</v>
      </c>
      <c r="AN605" t="s">
        <v>579</v>
      </c>
      <c r="AO605" t="s">
        <v>10505</v>
      </c>
      <c r="AP605" t="s">
        <v>10506</v>
      </c>
      <c r="AQ605" t="s">
        <v>74</v>
      </c>
      <c r="AR605" t="s">
        <v>10507</v>
      </c>
      <c r="AS605" t="s">
        <v>10508</v>
      </c>
      <c r="AT605" t="s">
        <v>392</v>
      </c>
      <c r="AU605">
        <v>2012</v>
      </c>
      <c r="AV605">
        <v>64</v>
      </c>
      <c r="AW605">
        <v>2</v>
      </c>
      <c r="AX605" t="s">
        <v>74</v>
      </c>
      <c r="AY605" t="s">
        <v>74</v>
      </c>
      <c r="AZ605" t="s">
        <v>74</v>
      </c>
      <c r="BA605" t="s">
        <v>74</v>
      </c>
      <c r="BB605">
        <v>318</v>
      </c>
      <c r="BC605">
        <v>330</v>
      </c>
      <c r="BD605" t="s">
        <v>74</v>
      </c>
      <c r="BE605" t="s">
        <v>10509</v>
      </c>
      <c r="BF605" t="str">
        <f>HYPERLINK("http://dx.doi.org/10.1016/j.ympev.2012.04.006","http://dx.doi.org/10.1016/j.ympev.2012.04.006")</f>
        <v>http://dx.doi.org/10.1016/j.ympev.2012.04.006</v>
      </c>
      <c r="BG605" t="s">
        <v>74</v>
      </c>
      <c r="BH605" t="s">
        <v>74</v>
      </c>
      <c r="BI605">
        <v>13</v>
      </c>
      <c r="BJ605" t="s">
        <v>10510</v>
      </c>
      <c r="BK605" t="s">
        <v>283</v>
      </c>
      <c r="BL605" t="s">
        <v>10510</v>
      </c>
      <c r="BM605" t="s">
        <v>10511</v>
      </c>
      <c r="BN605">
        <v>22531609</v>
      </c>
      <c r="BO605" t="s">
        <v>74</v>
      </c>
      <c r="BP605" t="s">
        <v>74</v>
      </c>
      <c r="BQ605" t="s">
        <v>74</v>
      </c>
      <c r="BR605" t="s">
        <v>97</v>
      </c>
      <c r="BS605" t="s">
        <v>10512</v>
      </c>
      <c r="BT605" t="str">
        <f>HYPERLINK("https%3A%2F%2Fwww.webofscience.com%2Fwos%2Fwoscc%2Ffull-record%2FWOS:000305374600007","View Full Record in Web of Science")</f>
        <v>View Full Record in Web of Science</v>
      </c>
    </row>
    <row r="606" spans="1:72" x14ac:dyDescent="0.25">
      <c r="A606" t="s">
        <v>72</v>
      </c>
      <c r="B606" t="s">
        <v>10513</v>
      </c>
      <c r="C606" t="s">
        <v>74</v>
      </c>
      <c r="D606" t="s">
        <v>74</v>
      </c>
      <c r="E606" t="s">
        <v>74</v>
      </c>
      <c r="F606" t="s">
        <v>10513</v>
      </c>
      <c r="G606" t="s">
        <v>74</v>
      </c>
      <c r="H606" t="s">
        <v>74</v>
      </c>
      <c r="I606" t="s">
        <v>10514</v>
      </c>
      <c r="J606" t="s">
        <v>10515</v>
      </c>
      <c r="K606" t="s">
        <v>74</v>
      </c>
      <c r="L606" t="s">
        <v>74</v>
      </c>
      <c r="M606" t="s">
        <v>77</v>
      </c>
      <c r="N606" t="s">
        <v>78</v>
      </c>
      <c r="O606" t="s">
        <v>74</v>
      </c>
      <c r="P606" t="s">
        <v>74</v>
      </c>
      <c r="Q606" t="s">
        <v>74</v>
      </c>
      <c r="R606" t="s">
        <v>74</v>
      </c>
      <c r="S606" t="s">
        <v>74</v>
      </c>
      <c r="T606" t="s">
        <v>74</v>
      </c>
      <c r="U606" t="s">
        <v>74</v>
      </c>
      <c r="V606" t="s">
        <v>10516</v>
      </c>
      <c r="W606" t="s">
        <v>74</v>
      </c>
      <c r="X606" t="s">
        <v>74</v>
      </c>
      <c r="Y606" t="s">
        <v>10517</v>
      </c>
      <c r="Z606" t="s">
        <v>74</v>
      </c>
      <c r="AA606" t="s">
        <v>74</v>
      </c>
      <c r="AB606" t="s">
        <v>74</v>
      </c>
      <c r="AC606" t="s">
        <v>74</v>
      </c>
      <c r="AD606" t="s">
        <v>74</v>
      </c>
      <c r="AE606" t="s">
        <v>74</v>
      </c>
      <c r="AF606" t="s">
        <v>74</v>
      </c>
      <c r="AG606">
        <v>21</v>
      </c>
      <c r="AH606">
        <v>11</v>
      </c>
      <c r="AI606">
        <v>11</v>
      </c>
      <c r="AJ606">
        <v>0</v>
      </c>
      <c r="AK606">
        <v>1</v>
      </c>
      <c r="AL606" t="s">
        <v>350</v>
      </c>
      <c r="AM606" t="s">
        <v>351</v>
      </c>
      <c r="AN606" t="s">
        <v>352</v>
      </c>
      <c r="AO606" t="s">
        <v>10518</v>
      </c>
      <c r="AP606" t="s">
        <v>10519</v>
      </c>
      <c r="AQ606" t="s">
        <v>74</v>
      </c>
      <c r="AR606" t="s">
        <v>10520</v>
      </c>
      <c r="AS606" t="s">
        <v>10521</v>
      </c>
      <c r="AT606" t="s">
        <v>1830</v>
      </c>
      <c r="AU606">
        <v>1995</v>
      </c>
      <c r="AV606">
        <v>25</v>
      </c>
      <c r="AW606">
        <v>1</v>
      </c>
      <c r="AX606" t="s">
        <v>74</v>
      </c>
      <c r="AY606" t="s">
        <v>74</v>
      </c>
      <c r="AZ606" t="s">
        <v>74</v>
      </c>
      <c r="BA606" t="s">
        <v>74</v>
      </c>
      <c r="BB606">
        <v>57</v>
      </c>
      <c r="BC606">
        <v>71</v>
      </c>
      <c r="BD606" t="s">
        <v>74</v>
      </c>
      <c r="BE606" t="s">
        <v>10522</v>
      </c>
      <c r="BF606" t="str">
        <f>HYPERLINK("http://dx.doi.org/10.1177/002204269502500105","http://dx.doi.org/10.1177/002204269502500105")</f>
        <v>http://dx.doi.org/10.1177/002204269502500105</v>
      </c>
      <c r="BG606" t="s">
        <v>74</v>
      </c>
      <c r="BH606" t="s">
        <v>74</v>
      </c>
      <c r="BI606">
        <v>15</v>
      </c>
      <c r="BJ606" t="s">
        <v>10523</v>
      </c>
      <c r="BK606" t="s">
        <v>94</v>
      </c>
      <c r="BL606" t="s">
        <v>10523</v>
      </c>
      <c r="BM606" t="s">
        <v>10524</v>
      </c>
      <c r="BN606" t="s">
        <v>74</v>
      </c>
      <c r="BO606" t="s">
        <v>74</v>
      </c>
      <c r="BP606" t="s">
        <v>74</v>
      </c>
      <c r="BQ606" t="s">
        <v>74</v>
      </c>
      <c r="BR606" t="s">
        <v>97</v>
      </c>
      <c r="BS606" t="s">
        <v>10525</v>
      </c>
      <c r="BT606" t="str">
        <f>HYPERLINK("https%3A%2F%2Fwww.webofscience.com%2Fwos%2Fwoscc%2Ffull-record%2FWOS:A1995QM27800005","View Full Record in Web of Science")</f>
        <v>View Full Record in Web of Science</v>
      </c>
    </row>
    <row r="607" spans="1:72" x14ac:dyDescent="0.25">
      <c r="A607" t="s">
        <v>72</v>
      </c>
      <c r="B607" t="s">
        <v>10526</v>
      </c>
      <c r="C607" t="s">
        <v>74</v>
      </c>
      <c r="D607" t="s">
        <v>74</v>
      </c>
      <c r="E607" t="s">
        <v>74</v>
      </c>
      <c r="F607" t="s">
        <v>10526</v>
      </c>
      <c r="G607" t="s">
        <v>74</v>
      </c>
      <c r="H607" t="s">
        <v>74</v>
      </c>
      <c r="I607" t="s">
        <v>10527</v>
      </c>
      <c r="J607" t="s">
        <v>9190</v>
      </c>
      <c r="K607" t="s">
        <v>74</v>
      </c>
      <c r="L607" t="s">
        <v>74</v>
      </c>
      <c r="M607" t="s">
        <v>77</v>
      </c>
      <c r="N607" t="s">
        <v>78</v>
      </c>
      <c r="O607" t="s">
        <v>74</v>
      </c>
      <c r="P607" t="s">
        <v>74</v>
      </c>
      <c r="Q607" t="s">
        <v>74</v>
      </c>
      <c r="R607" t="s">
        <v>74</v>
      </c>
      <c r="S607" t="s">
        <v>74</v>
      </c>
      <c r="T607" t="s">
        <v>74</v>
      </c>
      <c r="U607" t="s">
        <v>74</v>
      </c>
      <c r="V607" t="s">
        <v>10528</v>
      </c>
      <c r="W607" t="s">
        <v>74</v>
      </c>
      <c r="X607" t="s">
        <v>74</v>
      </c>
      <c r="Y607" t="s">
        <v>10529</v>
      </c>
      <c r="Z607" t="s">
        <v>74</v>
      </c>
      <c r="AA607" t="s">
        <v>74</v>
      </c>
      <c r="AB607" t="s">
        <v>74</v>
      </c>
      <c r="AC607" t="s">
        <v>74</v>
      </c>
      <c r="AD607" t="s">
        <v>74</v>
      </c>
      <c r="AE607" t="s">
        <v>74</v>
      </c>
      <c r="AF607" t="s">
        <v>74</v>
      </c>
      <c r="AG607">
        <v>21</v>
      </c>
      <c r="AH607">
        <v>11</v>
      </c>
      <c r="AI607">
        <v>11</v>
      </c>
      <c r="AJ607">
        <v>0</v>
      </c>
      <c r="AK607">
        <v>10</v>
      </c>
      <c r="AL607" t="s">
        <v>511</v>
      </c>
      <c r="AM607" t="s">
        <v>435</v>
      </c>
      <c r="AN607" t="s">
        <v>512</v>
      </c>
      <c r="AO607" t="s">
        <v>9197</v>
      </c>
      <c r="AP607" t="s">
        <v>74</v>
      </c>
      <c r="AQ607" t="s">
        <v>74</v>
      </c>
      <c r="AR607" t="s">
        <v>9190</v>
      </c>
      <c r="AS607" t="s">
        <v>9198</v>
      </c>
      <c r="AT607" t="s">
        <v>165</v>
      </c>
      <c r="AU607">
        <v>1991</v>
      </c>
      <c r="AV607">
        <v>21</v>
      </c>
      <c r="AW607">
        <v>1</v>
      </c>
      <c r="AX607" t="s">
        <v>74</v>
      </c>
      <c r="AY607" t="s">
        <v>74</v>
      </c>
      <c r="AZ607" t="s">
        <v>74</v>
      </c>
      <c r="BA607" t="s">
        <v>74</v>
      </c>
      <c r="BB607">
        <v>115</v>
      </c>
      <c r="BC607">
        <v>141</v>
      </c>
      <c r="BD607" t="s">
        <v>74</v>
      </c>
      <c r="BE607" t="s">
        <v>10530</v>
      </c>
      <c r="BF607" t="str">
        <f>HYPERLINK("http://dx.doi.org/10.1007/BF02019186","http://dx.doi.org/10.1007/BF02019186")</f>
        <v>http://dx.doi.org/10.1007/BF02019186</v>
      </c>
      <c r="BG607" t="s">
        <v>74</v>
      </c>
      <c r="BH607" t="s">
        <v>74</v>
      </c>
      <c r="BI607">
        <v>27</v>
      </c>
      <c r="BJ607" t="s">
        <v>9200</v>
      </c>
      <c r="BK607" t="s">
        <v>94</v>
      </c>
      <c r="BL607" t="s">
        <v>9201</v>
      </c>
      <c r="BM607" t="s">
        <v>10531</v>
      </c>
      <c r="BN607" t="s">
        <v>74</v>
      </c>
      <c r="BO607" t="s">
        <v>74</v>
      </c>
      <c r="BP607" t="s">
        <v>74</v>
      </c>
      <c r="BQ607" t="s">
        <v>74</v>
      </c>
      <c r="BR607" t="s">
        <v>97</v>
      </c>
      <c r="BS607" t="s">
        <v>10532</v>
      </c>
      <c r="BT607" t="str">
        <f>HYPERLINK("https%3A%2F%2Fwww.webofscience.com%2Fwos%2Fwoscc%2Ffull-record%2FWOS:A1991FM49500008","View Full Record in Web of Science")</f>
        <v>View Full Record in Web of Science</v>
      </c>
    </row>
    <row r="608" spans="1:72" x14ac:dyDescent="0.25">
      <c r="A608" t="s">
        <v>72</v>
      </c>
      <c r="B608" t="s">
        <v>10533</v>
      </c>
      <c r="C608" t="s">
        <v>74</v>
      </c>
      <c r="D608" t="s">
        <v>74</v>
      </c>
      <c r="E608" t="s">
        <v>74</v>
      </c>
      <c r="F608" t="s">
        <v>10534</v>
      </c>
      <c r="G608" t="s">
        <v>74</v>
      </c>
      <c r="H608" t="s">
        <v>74</v>
      </c>
      <c r="I608" t="s">
        <v>10535</v>
      </c>
      <c r="J608" t="s">
        <v>10536</v>
      </c>
      <c r="K608" t="s">
        <v>74</v>
      </c>
      <c r="L608" t="s">
        <v>74</v>
      </c>
      <c r="M608" t="s">
        <v>77</v>
      </c>
      <c r="N608" t="s">
        <v>78</v>
      </c>
      <c r="O608" t="s">
        <v>74</v>
      </c>
      <c r="P608" t="s">
        <v>74</v>
      </c>
      <c r="Q608" t="s">
        <v>74</v>
      </c>
      <c r="R608" t="s">
        <v>74</v>
      </c>
      <c r="S608" t="s">
        <v>74</v>
      </c>
      <c r="T608" t="s">
        <v>10537</v>
      </c>
      <c r="U608" t="s">
        <v>10538</v>
      </c>
      <c r="V608" t="s">
        <v>10539</v>
      </c>
      <c r="W608" t="s">
        <v>10540</v>
      </c>
      <c r="X608" t="s">
        <v>10541</v>
      </c>
      <c r="Y608" t="s">
        <v>10542</v>
      </c>
      <c r="Z608" t="s">
        <v>10543</v>
      </c>
      <c r="AA608" t="s">
        <v>10544</v>
      </c>
      <c r="AB608" t="s">
        <v>10545</v>
      </c>
      <c r="AC608" t="s">
        <v>10546</v>
      </c>
      <c r="AD608" t="s">
        <v>10546</v>
      </c>
      <c r="AE608" t="s">
        <v>10547</v>
      </c>
      <c r="AF608" t="s">
        <v>74</v>
      </c>
      <c r="AG608">
        <v>67</v>
      </c>
      <c r="AH608">
        <v>10</v>
      </c>
      <c r="AI608">
        <v>10</v>
      </c>
      <c r="AJ608">
        <v>9</v>
      </c>
      <c r="AK608">
        <v>18</v>
      </c>
      <c r="AL608" t="s">
        <v>10548</v>
      </c>
      <c r="AM608" t="s">
        <v>8003</v>
      </c>
      <c r="AN608" t="s">
        <v>10549</v>
      </c>
      <c r="AO608" t="s">
        <v>10550</v>
      </c>
      <c r="AP608" t="s">
        <v>10551</v>
      </c>
      <c r="AQ608" t="s">
        <v>74</v>
      </c>
      <c r="AR608" t="s">
        <v>10552</v>
      </c>
      <c r="AS608" t="s">
        <v>10553</v>
      </c>
      <c r="AT608" t="s">
        <v>10554</v>
      </c>
      <c r="AU608">
        <v>2022</v>
      </c>
      <c r="AV608">
        <v>7</v>
      </c>
      <c r="AW608">
        <v>1</v>
      </c>
      <c r="AX608" t="s">
        <v>74</v>
      </c>
      <c r="AY608" t="s">
        <v>74</v>
      </c>
      <c r="AZ608" t="s">
        <v>74</v>
      </c>
      <c r="BA608" t="s">
        <v>74</v>
      </c>
      <c r="BB608" t="s">
        <v>74</v>
      </c>
      <c r="BC608" t="s">
        <v>74</v>
      </c>
      <c r="BD608">
        <v>100161</v>
      </c>
      <c r="BE608" t="s">
        <v>10555</v>
      </c>
      <c r="BF608" t="str">
        <f>HYPERLINK("http://dx.doi.org/10.1016/j.jik.2022.100161","http://dx.doi.org/10.1016/j.jik.2022.100161")</f>
        <v>http://dx.doi.org/10.1016/j.jik.2022.100161</v>
      </c>
      <c r="BG608" t="s">
        <v>74</v>
      </c>
      <c r="BH608" t="s">
        <v>9259</v>
      </c>
      <c r="BI608">
        <v>12</v>
      </c>
      <c r="BJ608" t="s">
        <v>93</v>
      </c>
      <c r="BK608" t="s">
        <v>94</v>
      </c>
      <c r="BL608" t="s">
        <v>95</v>
      </c>
      <c r="BM608" t="s">
        <v>10556</v>
      </c>
      <c r="BN608" t="s">
        <v>74</v>
      </c>
      <c r="BO608" t="s">
        <v>4398</v>
      </c>
      <c r="BP608" t="s">
        <v>74</v>
      </c>
      <c r="BQ608" t="s">
        <v>74</v>
      </c>
      <c r="BR608" t="s">
        <v>97</v>
      </c>
      <c r="BS608" t="s">
        <v>10557</v>
      </c>
      <c r="BT608" t="str">
        <f>HYPERLINK("https%3A%2F%2Fwww.webofscience.com%2Fwos%2Fwoscc%2Ffull-record%2FWOS:000782107300001","View Full Record in Web of Science")</f>
        <v>View Full Record in Web of Science</v>
      </c>
    </row>
    <row r="609" spans="1:72" x14ac:dyDescent="0.25">
      <c r="A609" t="s">
        <v>72</v>
      </c>
      <c r="B609" t="s">
        <v>10558</v>
      </c>
      <c r="C609" t="s">
        <v>74</v>
      </c>
      <c r="D609" t="s">
        <v>74</v>
      </c>
      <c r="E609" t="s">
        <v>74</v>
      </c>
      <c r="F609" t="s">
        <v>10559</v>
      </c>
      <c r="G609" t="s">
        <v>74</v>
      </c>
      <c r="H609" t="s">
        <v>74</v>
      </c>
      <c r="I609" t="s">
        <v>10560</v>
      </c>
      <c r="J609" t="s">
        <v>10561</v>
      </c>
      <c r="K609" t="s">
        <v>74</v>
      </c>
      <c r="L609" t="s">
        <v>74</v>
      </c>
      <c r="M609" t="s">
        <v>77</v>
      </c>
      <c r="N609" t="s">
        <v>78</v>
      </c>
      <c r="O609" t="s">
        <v>74</v>
      </c>
      <c r="P609" t="s">
        <v>74</v>
      </c>
      <c r="Q609" t="s">
        <v>74</v>
      </c>
      <c r="R609" t="s">
        <v>74</v>
      </c>
      <c r="S609" t="s">
        <v>74</v>
      </c>
      <c r="T609" t="s">
        <v>10562</v>
      </c>
      <c r="U609" t="s">
        <v>10563</v>
      </c>
      <c r="V609" t="s">
        <v>10564</v>
      </c>
      <c r="W609" t="s">
        <v>10565</v>
      </c>
      <c r="X609" t="s">
        <v>6690</v>
      </c>
      <c r="Y609" t="s">
        <v>10566</v>
      </c>
      <c r="Z609" t="s">
        <v>10567</v>
      </c>
      <c r="AA609" t="s">
        <v>10568</v>
      </c>
      <c r="AB609" t="s">
        <v>10569</v>
      </c>
      <c r="AC609" t="s">
        <v>74</v>
      </c>
      <c r="AD609" t="s">
        <v>74</v>
      </c>
      <c r="AE609" t="s">
        <v>74</v>
      </c>
      <c r="AF609" t="s">
        <v>74</v>
      </c>
      <c r="AG609">
        <v>92</v>
      </c>
      <c r="AH609">
        <v>10</v>
      </c>
      <c r="AI609">
        <v>10</v>
      </c>
      <c r="AJ609">
        <v>15</v>
      </c>
      <c r="AK609">
        <v>41</v>
      </c>
      <c r="AL609" t="s">
        <v>2473</v>
      </c>
      <c r="AM609" t="s">
        <v>2102</v>
      </c>
      <c r="AN609" t="s">
        <v>2474</v>
      </c>
      <c r="AO609" t="s">
        <v>74</v>
      </c>
      <c r="AP609" t="s">
        <v>10570</v>
      </c>
      <c r="AQ609" t="s">
        <v>74</v>
      </c>
      <c r="AR609" t="s">
        <v>10571</v>
      </c>
      <c r="AS609" t="s">
        <v>10572</v>
      </c>
      <c r="AT609" t="s">
        <v>375</v>
      </c>
      <c r="AU609">
        <v>2021</v>
      </c>
      <c r="AV609">
        <v>11</v>
      </c>
      <c r="AW609">
        <v>12</v>
      </c>
      <c r="AX609" t="s">
        <v>74</v>
      </c>
      <c r="AY609" t="s">
        <v>74</v>
      </c>
      <c r="AZ609" t="s">
        <v>74</v>
      </c>
      <c r="BA609" t="s">
        <v>74</v>
      </c>
      <c r="BB609" t="s">
        <v>74</v>
      </c>
      <c r="BC609" t="s">
        <v>74</v>
      </c>
      <c r="BD609">
        <v>182</v>
      </c>
      <c r="BE609" t="s">
        <v>10573</v>
      </c>
      <c r="BF609" t="str">
        <f>HYPERLINK("http://dx.doi.org/10.3390/bs11120182","http://dx.doi.org/10.3390/bs11120182")</f>
        <v>http://dx.doi.org/10.3390/bs11120182</v>
      </c>
      <c r="BG609" t="s">
        <v>74</v>
      </c>
      <c r="BH609" t="s">
        <v>74</v>
      </c>
      <c r="BI609">
        <v>17</v>
      </c>
      <c r="BJ609" t="s">
        <v>3203</v>
      </c>
      <c r="BK609" t="s">
        <v>94</v>
      </c>
      <c r="BL609" t="s">
        <v>460</v>
      </c>
      <c r="BM609" t="s">
        <v>10574</v>
      </c>
      <c r="BN609">
        <v>34940117</v>
      </c>
      <c r="BO609" t="s">
        <v>4398</v>
      </c>
      <c r="BP609" t="s">
        <v>74</v>
      </c>
      <c r="BQ609" t="s">
        <v>74</v>
      </c>
      <c r="BR609" t="s">
        <v>97</v>
      </c>
      <c r="BS609" t="s">
        <v>10575</v>
      </c>
      <c r="BT609" t="str">
        <f>HYPERLINK("https%3A%2F%2Fwww.webofscience.com%2Fwos%2Fwoscc%2Ffull-record%2FWOS:000735545500001","View Full Record in Web of Science")</f>
        <v>View Full Record in Web of Science</v>
      </c>
    </row>
    <row r="610" spans="1:72" x14ac:dyDescent="0.25">
      <c r="A610" t="s">
        <v>72</v>
      </c>
      <c r="B610" t="s">
        <v>10576</v>
      </c>
      <c r="C610" t="s">
        <v>74</v>
      </c>
      <c r="D610" t="s">
        <v>74</v>
      </c>
      <c r="E610" t="s">
        <v>74</v>
      </c>
      <c r="F610" t="s">
        <v>10577</v>
      </c>
      <c r="G610" t="s">
        <v>74</v>
      </c>
      <c r="H610" t="s">
        <v>74</v>
      </c>
      <c r="I610" t="s">
        <v>10578</v>
      </c>
      <c r="J610" t="s">
        <v>616</v>
      </c>
      <c r="K610" t="s">
        <v>74</v>
      </c>
      <c r="L610" t="s">
        <v>74</v>
      </c>
      <c r="M610" t="s">
        <v>77</v>
      </c>
      <c r="N610" t="s">
        <v>78</v>
      </c>
      <c r="O610" t="s">
        <v>74</v>
      </c>
      <c r="P610" t="s">
        <v>74</v>
      </c>
      <c r="Q610" t="s">
        <v>74</v>
      </c>
      <c r="R610" t="s">
        <v>74</v>
      </c>
      <c r="S610" t="s">
        <v>74</v>
      </c>
      <c r="T610" t="s">
        <v>10579</v>
      </c>
      <c r="U610" t="s">
        <v>10580</v>
      </c>
      <c r="V610" t="s">
        <v>10581</v>
      </c>
      <c r="W610" t="s">
        <v>10582</v>
      </c>
      <c r="X610" t="s">
        <v>10583</v>
      </c>
      <c r="Y610" t="s">
        <v>10584</v>
      </c>
      <c r="Z610" t="s">
        <v>10585</v>
      </c>
      <c r="AA610" t="s">
        <v>1298</v>
      </c>
      <c r="AB610" t="s">
        <v>1299</v>
      </c>
      <c r="AC610" t="s">
        <v>74</v>
      </c>
      <c r="AD610" t="s">
        <v>74</v>
      </c>
      <c r="AE610" t="s">
        <v>74</v>
      </c>
      <c r="AF610" t="s">
        <v>74</v>
      </c>
      <c r="AG610">
        <v>77</v>
      </c>
      <c r="AH610">
        <v>10</v>
      </c>
      <c r="AI610">
        <v>10</v>
      </c>
      <c r="AJ610">
        <v>6</v>
      </c>
      <c r="AK610">
        <v>36</v>
      </c>
      <c r="AL610" t="s">
        <v>602</v>
      </c>
      <c r="AM610" t="s">
        <v>160</v>
      </c>
      <c r="AN610" t="s">
        <v>603</v>
      </c>
      <c r="AO610" t="s">
        <v>625</v>
      </c>
      <c r="AP610" t="s">
        <v>626</v>
      </c>
      <c r="AQ610" t="s">
        <v>74</v>
      </c>
      <c r="AR610" t="s">
        <v>627</v>
      </c>
      <c r="AS610" t="s">
        <v>628</v>
      </c>
      <c r="AT610" t="s">
        <v>256</v>
      </c>
      <c r="AU610">
        <v>2021</v>
      </c>
      <c r="AV610">
        <v>99</v>
      </c>
      <c r="AW610" t="s">
        <v>74</v>
      </c>
      <c r="AX610" t="s">
        <v>74</v>
      </c>
      <c r="AY610" t="s">
        <v>74</v>
      </c>
      <c r="AZ610" t="s">
        <v>74</v>
      </c>
      <c r="BA610" t="s">
        <v>74</v>
      </c>
      <c r="BB610" t="s">
        <v>74</v>
      </c>
      <c r="BC610" t="s">
        <v>74</v>
      </c>
      <c r="BD610">
        <v>103062</v>
      </c>
      <c r="BE610" t="s">
        <v>10586</v>
      </c>
      <c r="BF610" t="str">
        <f>HYPERLINK("http://dx.doi.org/10.1016/j.ijhm.2021.103062","http://dx.doi.org/10.1016/j.ijhm.2021.103062")</f>
        <v>http://dx.doi.org/10.1016/j.ijhm.2021.103062</v>
      </c>
      <c r="BG610" t="s">
        <v>74</v>
      </c>
      <c r="BH610" t="s">
        <v>6758</v>
      </c>
      <c r="BI610">
        <v>12</v>
      </c>
      <c r="BJ610" t="s">
        <v>630</v>
      </c>
      <c r="BK610" t="s">
        <v>94</v>
      </c>
      <c r="BL610" t="s">
        <v>631</v>
      </c>
      <c r="BM610" t="s">
        <v>10587</v>
      </c>
      <c r="BN610" t="s">
        <v>74</v>
      </c>
      <c r="BO610" t="s">
        <v>74</v>
      </c>
      <c r="BP610" t="s">
        <v>74</v>
      </c>
      <c r="BQ610" t="s">
        <v>74</v>
      </c>
      <c r="BR610" t="s">
        <v>97</v>
      </c>
      <c r="BS610" t="s">
        <v>10588</v>
      </c>
      <c r="BT610" t="str">
        <f>HYPERLINK("https%3A%2F%2Fwww.webofscience.com%2Fwos%2Fwoscc%2Ffull-record%2FWOS:000700578800015","View Full Record in Web of Science")</f>
        <v>View Full Record in Web of Science</v>
      </c>
    </row>
    <row r="611" spans="1:72" x14ac:dyDescent="0.25">
      <c r="A611" t="s">
        <v>72</v>
      </c>
      <c r="B611" t="s">
        <v>10589</v>
      </c>
      <c r="C611" t="s">
        <v>74</v>
      </c>
      <c r="D611" t="s">
        <v>74</v>
      </c>
      <c r="E611" t="s">
        <v>74</v>
      </c>
      <c r="F611" t="s">
        <v>10590</v>
      </c>
      <c r="G611" t="s">
        <v>74</v>
      </c>
      <c r="H611" t="s">
        <v>74</v>
      </c>
      <c r="I611" t="s">
        <v>10591</v>
      </c>
      <c r="J611" t="s">
        <v>616</v>
      </c>
      <c r="K611" t="s">
        <v>74</v>
      </c>
      <c r="L611" t="s">
        <v>74</v>
      </c>
      <c r="M611" t="s">
        <v>77</v>
      </c>
      <c r="N611" t="s">
        <v>78</v>
      </c>
      <c r="O611" t="s">
        <v>74</v>
      </c>
      <c r="P611" t="s">
        <v>74</v>
      </c>
      <c r="Q611" t="s">
        <v>74</v>
      </c>
      <c r="R611" t="s">
        <v>74</v>
      </c>
      <c r="S611" t="s">
        <v>74</v>
      </c>
      <c r="T611" t="s">
        <v>10592</v>
      </c>
      <c r="U611" t="s">
        <v>10593</v>
      </c>
      <c r="V611" t="s">
        <v>10594</v>
      </c>
      <c r="W611" t="s">
        <v>10595</v>
      </c>
      <c r="X611" t="s">
        <v>10596</v>
      </c>
      <c r="Y611" t="s">
        <v>10597</v>
      </c>
      <c r="Z611" t="s">
        <v>10598</v>
      </c>
      <c r="AA611" t="s">
        <v>74</v>
      </c>
      <c r="AB611" t="s">
        <v>6771</v>
      </c>
      <c r="AC611" t="s">
        <v>10599</v>
      </c>
      <c r="AD611" t="s">
        <v>10600</v>
      </c>
      <c r="AE611" t="s">
        <v>10601</v>
      </c>
      <c r="AF611" t="s">
        <v>74</v>
      </c>
      <c r="AG611">
        <v>68</v>
      </c>
      <c r="AH611">
        <v>10</v>
      </c>
      <c r="AI611">
        <v>10</v>
      </c>
      <c r="AJ611">
        <v>20</v>
      </c>
      <c r="AK611">
        <v>84</v>
      </c>
      <c r="AL611" t="s">
        <v>602</v>
      </c>
      <c r="AM611" t="s">
        <v>160</v>
      </c>
      <c r="AN611" t="s">
        <v>603</v>
      </c>
      <c r="AO611" t="s">
        <v>625</v>
      </c>
      <c r="AP611" t="s">
        <v>626</v>
      </c>
      <c r="AQ611" t="s">
        <v>74</v>
      </c>
      <c r="AR611" t="s">
        <v>627</v>
      </c>
      <c r="AS611" t="s">
        <v>628</v>
      </c>
      <c r="AT611" t="s">
        <v>256</v>
      </c>
      <c r="AU611">
        <v>2021</v>
      </c>
      <c r="AV611">
        <v>99</v>
      </c>
      <c r="AW611" t="s">
        <v>74</v>
      </c>
      <c r="AX611" t="s">
        <v>74</v>
      </c>
      <c r="AY611" t="s">
        <v>74</v>
      </c>
      <c r="AZ611" t="s">
        <v>74</v>
      </c>
      <c r="BA611" t="s">
        <v>74</v>
      </c>
      <c r="BB611" t="s">
        <v>74</v>
      </c>
      <c r="BC611" t="s">
        <v>74</v>
      </c>
      <c r="BD611">
        <v>103058</v>
      </c>
      <c r="BE611" t="s">
        <v>10602</v>
      </c>
      <c r="BF611" t="str">
        <f>HYPERLINK("http://dx.doi.org/10.1016/j.ijhm.2021.103058","http://dx.doi.org/10.1016/j.ijhm.2021.103058")</f>
        <v>http://dx.doi.org/10.1016/j.ijhm.2021.103058</v>
      </c>
      <c r="BG611" t="s">
        <v>74</v>
      </c>
      <c r="BH611" t="s">
        <v>6758</v>
      </c>
      <c r="BI611">
        <v>10</v>
      </c>
      <c r="BJ611" t="s">
        <v>630</v>
      </c>
      <c r="BK611" t="s">
        <v>94</v>
      </c>
      <c r="BL611" t="s">
        <v>631</v>
      </c>
      <c r="BM611" t="s">
        <v>10587</v>
      </c>
      <c r="BN611" t="s">
        <v>74</v>
      </c>
      <c r="BO611" t="s">
        <v>74</v>
      </c>
      <c r="BP611" t="s">
        <v>74</v>
      </c>
      <c r="BQ611" t="s">
        <v>74</v>
      </c>
      <c r="BR611" t="s">
        <v>97</v>
      </c>
      <c r="BS611" t="s">
        <v>10603</v>
      </c>
      <c r="BT611" t="str">
        <f>HYPERLINK("https%3A%2F%2Fwww.webofscience.com%2Fwos%2Fwoscc%2Ffull-record%2FWOS:000700578800017","View Full Record in Web of Science")</f>
        <v>View Full Record in Web of Science</v>
      </c>
    </row>
    <row r="612" spans="1:72" x14ac:dyDescent="0.25">
      <c r="A612" t="s">
        <v>72</v>
      </c>
      <c r="B612" t="s">
        <v>10604</v>
      </c>
      <c r="C612" t="s">
        <v>74</v>
      </c>
      <c r="D612" t="s">
        <v>74</v>
      </c>
      <c r="E612" t="s">
        <v>74</v>
      </c>
      <c r="F612" t="s">
        <v>10605</v>
      </c>
      <c r="G612" t="s">
        <v>74</v>
      </c>
      <c r="H612" t="s">
        <v>74</v>
      </c>
      <c r="I612" t="s">
        <v>10606</v>
      </c>
      <c r="J612" t="s">
        <v>5615</v>
      </c>
      <c r="K612" t="s">
        <v>74</v>
      </c>
      <c r="L612" t="s">
        <v>74</v>
      </c>
      <c r="M612" t="s">
        <v>77</v>
      </c>
      <c r="N612" t="s">
        <v>78</v>
      </c>
      <c r="O612" t="s">
        <v>74</v>
      </c>
      <c r="P612" t="s">
        <v>74</v>
      </c>
      <c r="Q612" t="s">
        <v>74</v>
      </c>
      <c r="R612" t="s">
        <v>74</v>
      </c>
      <c r="S612" t="s">
        <v>74</v>
      </c>
      <c r="T612" t="s">
        <v>10607</v>
      </c>
      <c r="U612" t="s">
        <v>10608</v>
      </c>
      <c r="V612" t="s">
        <v>10609</v>
      </c>
      <c r="W612" t="s">
        <v>10610</v>
      </c>
      <c r="X612" t="s">
        <v>10611</v>
      </c>
      <c r="Y612" t="s">
        <v>10612</v>
      </c>
      <c r="Z612" t="s">
        <v>10613</v>
      </c>
      <c r="AA612" t="s">
        <v>74</v>
      </c>
      <c r="AB612" t="s">
        <v>10614</v>
      </c>
      <c r="AC612" t="s">
        <v>10615</v>
      </c>
      <c r="AD612" t="s">
        <v>10616</v>
      </c>
      <c r="AE612" t="s">
        <v>10617</v>
      </c>
      <c r="AF612" t="s">
        <v>74</v>
      </c>
      <c r="AG612">
        <v>73</v>
      </c>
      <c r="AH612">
        <v>10</v>
      </c>
      <c r="AI612">
        <v>10</v>
      </c>
      <c r="AJ612">
        <v>23</v>
      </c>
      <c r="AK612">
        <v>107</v>
      </c>
      <c r="AL612" t="s">
        <v>665</v>
      </c>
      <c r="AM612" t="s">
        <v>666</v>
      </c>
      <c r="AN612" t="s">
        <v>667</v>
      </c>
      <c r="AO612" t="s">
        <v>5625</v>
      </c>
      <c r="AP612" t="s">
        <v>5626</v>
      </c>
      <c r="AQ612" t="s">
        <v>74</v>
      </c>
      <c r="AR612" t="s">
        <v>5627</v>
      </c>
      <c r="AS612" t="s">
        <v>5628</v>
      </c>
      <c r="AT612" t="s">
        <v>10618</v>
      </c>
      <c r="AU612">
        <v>2021</v>
      </c>
      <c r="AV612">
        <v>15</v>
      </c>
      <c r="AW612">
        <v>4</v>
      </c>
      <c r="AX612" t="s">
        <v>74</v>
      </c>
      <c r="AY612" t="s">
        <v>74</v>
      </c>
      <c r="AZ612" t="s">
        <v>860</v>
      </c>
      <c r="BA612" t="s">
        <v>74</v>
      </c>
      <c r="BB612">
        <v>919</v>
      </c>
      <c r="BC612">
        <v>939</v>
      </c>
      <c r="BD612" t="s">
        <v>74</v>
      </c>
      <c r="BE612" t="s">
        <v>10619</v>
      </c>
      <c r="BF612" t="str">
        <f>HYPERLINK("http://dx.doi.org/10.1108/CMS-09-2020-0418","http://dx.doi.org/10.1108/CMS-09-2020-0418")</f>
        <v>http://dx.doi.org/10.1108/CMS-09-2020-0418</v>
      </c>
      <c r="BG612" t="s">
        <v>74</v>
      </c>
      <c r="BH612" t="s">
        <v>10620</v>
      </c>
      <c r="BI612">
        <v>21</v>
      </c>
      <c r="BJ612" t="s">
        <v>442</v>
      </c>
      <c r="BK612" t="s">
        <v>94</v>
      </c>
      <c r="BL612" t="s">
        <v>95</v>
      </c>
      <c r="BM612" t="s">
        <v>10621</v>
      </c>
      <c r="BN612" t="s">
        <v>74</v>
      </c>
      <c r="BO612" t="s">
        <v>74</v>
      </c>
      <c r="BP612" t="s">
        <v>74</v>
      </c>
      <c r="BQ612" t="s">
        <v>74</v>
      </c>
      <c r="BR612" t="s">
        <v>97</v>
      </c>
      <c r="BS612" t="s">
        <v>10622</v>
      </c>
      <c r="BT612" t="str">
        <f>HYPERLINK("https%3A%2F%2Fwww.webofscience.com%2Fwos%2Fwoscc%2Ffull-record%2FWOS:000663247800001","View Full Record in Web of Science")</f>
        <v>View Full Record in Web of Science</v>
      </c>
    </row>
    <row r="613" spans="1:72" x14ac:dyDescent="0.25">
      <c r="A613" t="s">
        <v>72</v>
      </c>
      <c r="B613" t="s">
        <v>10623</v>
      </c>
      <c r="C613" t="s">
        <v>74</v>
      </c>
      <c r="D613" t="s">
        <v>74</v>
      </c>
      <c r="E613" t="s">
        <v>74</v>
      </c>
      <c r="F613" t="s">
        <v>10624</v>
      </c>
      <c r="G613" t="s">
        <v>74</v>
      </c>
      <c r="H613" t="s">
        <v>74</v>
      </c>
      <c r="I613" t="s">
        <v>10625</v>
      </c>
      <c r="J613" t="s">
        <v>4134</v>
      </c>
      <c r="K613" t="s">
        <v>74</v>
      </c>
      <c r="L613" t="s">
        <v>74</v>
      </c>
      <c r="M613" t="s">
        <v>77</v>
      </c>
      <c r="N613" t="s">
        <v>78</v>
      </c>
      <c r="O613" t="s">
        <v>74</v>
      </c>
      <c r="P613" t="s">
        <v>74</v>
      </c>
      <c r="Q613" t="s">
        <v>74</v>
      </c>
      <c r="R613" t="s">
        <v>74</v>
      </c>
      <c r="S613" t="s">
        <v>74</v>
      </c>
      <c r="T613" t="s">
        <v>10626</v>
      </c>
      <c r="U613" t="s">
        <v>10627</v>
      </c>
      <c r="V613" t="s">
        <v>10628</v>
      </c>
      <c r="W613" t="s">
        <v>10629</v>
      </c>
      <c r="X613" t="s">
        <v>10630</v>
      </c>
      <c r="Y613" t="s">
        <v>10631</v>
      </c>
      <c r="Z613" t="s">
        <v>10632</v>
      </c>
      <c r="AA613" t="s">
        <v>10633</v>
      </c>
      <c r="AB613" t="s">
        <v>10634</v>
      </c>
      <c r="AC613" t="s">
        <v>10635</v>
      </c>
      <c r="AD613" t="s">
        <v>10636</v>
      </c>
      <c r="AE613" t="s">
        <v>10637</v>
      </c>
      <c r="AF613" t="s">
        <v>74</v>
      </c>
      <c r="AG613">
        <v>129</v>
      </c>
      <c r="AH613">
        <v>10</v>
      </c>
      <c r="AI613">
        <v>10</v>
      </c>
      <c r="AJ613">
        <v>8</v>
      </c>
      <c r="AK613">
        <v>35</v>
      </c>
      <c r="AL613" t="s">
        <v>665</v>
      </c>
      <c r="AM613" t="s">
        <v>666</v>
      </c>
      <c r="AN613" t="s">
        <v>667</v>
      </c>
      <c r="AO613" t="s">
        <v>4144</v>
      </c>
      <c r="AP613" t="s">
        <v>4145</v>
      </c>
      <c r="AQ613" t="s">
        <v>74</v>
      </c>
      <c r="AR613" t="s">
        <v>4146</v>
      </c>
      <c r="AS613" t="s">
        <v>4147</v>
      </c>
      <c r="AT613" t="s">
        <v>10638</v>
      </c>
      <c r="AU613">
        <v>2022</v>
      </c>
      <c r="AV613">
        <v>25</v>
      </c>
      <c r="AW613">
        <v>3</v>
      </c>
      <c r="AX613" t="s">
        <v>74</v>
      </c>
      <c r="AY613" t="s">
        <v>74</v>
      </c>
      <c r="AZ613" t="s">
        <v>74</v>
      </c>
      <c r="BA613" t="s">
        <v>74</v>
      </c>
      <c r="BB613">
        <v>791</v>
      </c>
      <c r="BC613">
        <v>812</v>
      </c>
      <c r="BD613" t="s">
        <v>74</v>
      </c>
      <c r="BE613" t="s">
        <v>10639</v>
      </c>
      <c r="BF613" t="str">
        <f>HYPERLINK("http://dx.doi.org/10.1108/EJIM-11-2020-0448","http://dx.doi.org/10.1108/EJIM-11-2020-0448")</f>
        <v>http://dx.doi.org/10.1108/EJIM-11-2020-0448</v>
      </c>
      <c r="BG613" t="s">
        <v>74</v>
      </c>
      <c r="BH613" t="s">
        <v>5544</v>
      </c>
      <c r="BI613">
        <v>22</v>
      </c>
      <c r="BJ613" t="s">
        <v>93</v>
      </c>
      <c r="BK613" t="s">
        <v>94</v>
      </c>
      <c r="BL613" t="s">
        <v>95</v>
      </c>
      <c r="BM613" t="s">
        <v>10640</v>
      </c>
      <c r="BN613" t="s">
        <v>74</v>
      </c>
      <c r="BO613" t="s">
        <v>74</v>
      </c>
      <c r="BP613" t="s">
        <v>74</v>
      </c>
      <c r="BQ613" t="s">
        <v>74</v>
      </c>
      <c r="BR613" t="s">
        <v>97</v>
      </c>
      <c r="BS613" t="s">
        <v>10641</v>
      </c>
      <c r="BT613" t="str">
        <f>HYPERLINK("https%3A%2F%2Fwww.webofscience.com%2Fwos%2Fwoscc%2Ffull-record%2FWOS:000628663100001","View Full Record in Web of Science")</f>
        <v>View Full Record in Web of Science</v>
      </c>
    </row>
    <row r="614" spans="1:72" x14ac:dyDescent="0.25">
      <c r="A614" t="s">
        <v>72</v>
      </c>
      <c r="B614" t="s">
        <v>10642</v>
      </c>
      <c r="C614" t="s">
        <v>74</v>
      </c>
      <c r="D614" t="s">
        <v>74</v>
      </c>
      <c r="E614" t="s">
        <v>74</v>
      </c>
      <c r="F614" t="s">
        <v>10643</v>
      </c>
      <c r="G614" t="s">
        <v>74</v>
      </c>
      <c r="H614" t="s">
        <v>74</v>
      </c>
      <c r="I614" t="s">
        <v>10644</v>
      </c>
      <c r="J614" t="s">
        <v>5442</v>
      </c>
      <c r="K614" t="s">
        <v>74</v>
      </c>
      <c r="L614" t="s">
        <v>74</v>
      </c>
      <c r="M614" t="s">
        <v>77</v>
      </c>
      <c r="N614" t="s">
        <v>78</v>
      </c>
      <c r="O614" t="s">
        <v>74</v>
      </c>
      <c r="P614" t="s">
        <v>74</v>
      </c>
      <c r="Q614" t="s">
        <v>74</v>
      </c>
      <c r="R614" t="s">
        <v>74</v>
      </c>
      <c r="S614" t="s">
        <v>74</v>
      </c>
      <c r="T614" t="s">
        <v>10645</v>
      </c>
      <c r="U614" t="s">
        <v>10646</v>
      </c>
      <c r="V614" t="s">
        <v>10647</v>
      </c>
      <c r="W614" t="s">
        <v>10648</v>
      </c>
      <c r="X614" t="s">
        <v>10649</v>
      </c>
      <c r="Y614" t="s">
        <v>5951</v>
      </c>
      <c r="Z614" t="s">
        <v>10650</v>
      </c>
      <c r="AA614" t="s">
        <v>74</v>
      </c>
      <c r="AB614" t="s">
        <v>74</v>
      </c>
      <c r="AC614" t="s">
        <v>74</v>
      </c>
      <c r="AD614" t="s">
        <v>74</v>
      </c>
      <c r="AE614" t="s">
        <v>74</v>
      </c>
      <c r="AF614" t="s">
        <v>74</v>
      </c>
      <c r="AG614">
        <v>78</v>
      </c>
      <c r="AH614">
        <v>10</v>
      </c>
      <c r="AI614">
        <v>10</v>
      </c>
      <c r="AJ614">
        <v>8</v>
      </c>
      <c r="AK614">
        <v>45</v>
      </c>
      <c r="AL614" t="s">
        <v>5452</v>
      </c>
      <c r="AM614" t="s">
        <v>5453</v>
      </c>
      <c r="AN614" t="s">
        <v>5454</v>
      </c>
      <c r="AO614" t="s">
        <v>5455</v>
      </c>
      <c r="AP614" t="s">
        <v>5456</v>
      </c>
      <c r="AQ614" t="s">
        <v>74</v>
      </c>
      <c r="AR614" t="s">
        <v>5457</v>
      </c>
      <c r="AS614" t="s">
        <v>5458</v>
      </c>
      <c r="AT614" t="s">
        <v>200</v>
      </c>
      <c r="AU614">
        <v>2021</v>
      </c>
      <c r="AV614">
        <v>27</v>
      </c>
      <c r="AW614">
        <v>2</v>
      </c>
      <c r="AX614" t="s">
        <v>74</v>
      </c>
      <c r="AY614" t="s">
        <v>74</v>
      </c>
      <c r="AZ614" t="s">
        <v>74</v>
      </c>
      <c r="BA614" t="s">
        <v>74</v>
      </c>
      <c r="BB614">
        <v>382</v>
      </c>
      <c r="BC614">
        <v>396</v>
      </c>
      <c r="BD614" t="s">
        <v>10651</v>
      </c>
      <c r="BE614" t="s">
        <v>10652</v>
      </c>
      <c r="BF614" t="str">
        <f>HYPERLINK("http://dx.doi.org/10.1017/jmo.2018.28","http://dx.doi.org/10.1017/jmo.2018.28")</f>
        <v>http://dx.doi.org/10.1017/jmo.2018.28</v>
      </c>
      <c r="BG614" t="s">
        <v>74</v>
      </c>
      <c r="BH614" t="s">
        <v>74</v>
      </c>
      <c r="BI614">
        <v>15</v>
      </c>
      <c r="BJ614" t="s">
        <v>442</v>
      </c>
      <c r="BK614" t="s">
        <v>94</v>
      </c>
      <c r="BL614" t="s">
        <v>95</v>
      </c>
      <c r="BM614" t="s">
        <v>10653</v>
      </c>
      <c r="BN614" t="s">
        <v>74</v>
      </c>
      <c r="BO614" t="s">
        <v>74</v>
      </c>
      <c r="BP614" t="s">
        <v>74</v>
      </c>
      <c r="BQ614" t="s">
        <v>74</v>
      </c>
      <c r="BR614" t="s">
        <v>97</v>
      </c>
      <c r="BS614" t="s">
        <v>10654</v>
      </c>
      <c r="BT614" t="str">
        <f>HYPERLINK("https%3A%2F%2Fwww.webofscience.com%2Fwos%2Fwoscc%2Ffull-record%2FWOS:000678595300010","View Full Record in Web of Science")</f>
        <v>View Full Record in Web of Science</v>
      </c>
    </row>
    <row r="615" spans="1:72" x14ac:dyDescent="0.25">
      <c r="A615" t="s">
        <v>72</v>
      </c>
      <c r="B615" t="s">
        <v>10655</v>
      </c>
      <c r="C615" t="s">
        <v>74</v>
      </c>
      <c r="D615" t="s">
        <v>74</v>
      </c>
      <c r="E615" t="s">
        <v>74</v>
      </c>
      <c r="F615" t="s">
        <v>10656</v>
      </c>
      <c r="G615" t="s">
        <v>74</v>
      </c>
      <c r="H615" t="s">
        <v>74</v>
      </c>
      <c r="I615" t="s">
        <v>10657</v>
      </c>
      <c r="J615" t="s">
        <v>5262</v>
      </c>
      <c r="K615" t="s">
        <v>74</v>
      </c>
      <c r="L615" t="s">
        <v>74</v>
      </c>
      <c r="M615" t="s">
        <v>77</v>
      </c>
      <c r="N615" t="s">
        <v>78</v>
      </c>
      <c r="O615" t="s">
        <v>74</v>
      </c>
      <c r="P615" t="s">
        <v>74</v>
      </c>
      <c r="Q615" t="s">
        <v>74</v>
      </c>
      <c r="R615" t="s">
        <v>74</v>
      </c>
      <c r="S615" t="s">
        <v>74</v>
      </c>
      <c r="T615" t="s">
        <v>10658</v>
      </c>
      <c r="U615" t="s">
        <v>10659</v>
      </c>
      <c r="V615" t="s">
        <v>10660</v>
      </c>
      <c r="W615" t="s">
        <v>10661</v>
      </c>
      <c r="X615" t="s">
        <v>10662</v>
      </c>
      <c r="Y615" t="s">
        <v>10663</v>
      </c>
      <c r="Z615" t="s">
        <v>10664</v>
      </c>
      <c r="AA615" t="s">
        <v>74</v>
      </c>
      <c r="AB615" t="s">
        <v>74</v>
      </c>
      <c r="AC615" t="s">
        <v>74</v>
      </c>
      <c r="AD615" t="s">
        <v>74</v>
      </c>
      <c r="AE615" t="s">
        <v>74</v>
      </c>
      <c r="AF615" t="s">
        <v>74</v>
      </c>
      <c r="AG615">
        <v>100</v>
      </c>
      <c r="AH615">
        <v>10</v>
      </c>
      <c r="AI615">
        <v>10</v>
      </c>
      <c r="AJ615">
        <v>5</v>
      </c>
      <c r="AK615">
        <v>22</v>
      </c>
      <c r="AL615" t="s">
        <v>665</v>
      </c>
      <c r="AM615" t="s">
        <v>666</v>
      </c>
      <c r="AN615" t="s">
        <v>667</v>
      </c>
      <c r="AO615" t="s">
        <v>5274</v>
      </c>
      <c r="AP615" t="s">
        <v>5275</v>
      </c>
      <c r="AQ615" t="s">
        <v>74</v>
      </c>
      <c r="AR615" t="s">
        <v>5276</v>
      </c>
      <c r="AS615" t="s">
        <v>5277</v>
      </c>
      <c r="AT615" t="s">
        <v>74</v>
      </c>
      <c r="AU615">
        <v>2021</v>
      </c>
      <c r="AV615">
        <v>34</v>
      </c>
      <c r="AW615">
        <v>1</v>
      </c>
      <c r="AX615" t="s">
        <v>74</v>
      </c>
      <c r="AY615" t="s">
        <v>74</v>
      </c>
      <c r="AZ615" t="s">
        <v>74</v>
      </c>
      <c r="BA615" t="s">
        <v>74</v>
      </c>
      <c r="BB615">
        <v>252</v>
      </c>
      <c r="BC615">
        <v>270</v>
      </c>
      <c r="BD615" t="s">
        <v>74</v>
      </c>
      <c r="BE615" t="s">
        <v>10665</v>
      </c>
      <c r="BF615" t="str">
        <f>HYPERLINK("http://dx.doi.org/10.1108/JOCM-01-2017-0017","http://dx.doi.org/10.1108/JOCM-01-2017-0017")</f>
        <v>http://dx.doi.org/10.1108/JOCM-01-2017-0017</v>
      </c>
      <c r="BG615" t="s">
        <v>74</v>
      </c>
      <c r="BH615" t="s">
        <v>74</v>
      </c>
      <c r="BI615">
        <v>19</v>
      </c>
      <c r="BJ615" t="s">
        <v>442</v>
      </c>
      <c r="BK615" t="s">
        <v>94</v>
      </c>
      <c r="BL615" t="s">
        <v>95</v>
      </c>
      <c r="BM615" t="s">
        <v>10666</v>
      </c>
      <c r="BN615" t="s">
        <v>74</v>
      </c>
      <c r="BO615" t="s">
        <v>74</v>
      </c>
      <c r="BP615" t="s">
        <v>74</v>
      </c>
      <c r="BQ615" t="s">
        <v>74</v>
      </c>
      <c r="BR615" t="s">
        <v>97</v>
      </c>
      <c r="BS615" t="s">
        <v>10667</v>
      </c>
      <c r="BT615" t="str">
        <f>HYPERLINK("https%3A%2F%2Fwww.webofscience.com%2Fwos%2Fwoscc%2Ffull-record%2FWOS:000615096600001","View Full Record in Web of Science")</f>
        <v>View Full Record in Web of Science</v>
      </c>
    </row>
    <row r="616" spans="1:72" x14ac:dyDescent="0.25">
      <c r="A616" t="s">
        <v>72</v>
      </c>
      <c r="B616" t="s">
        <v>10668</v>
      </c>
      <c r="C616" t="s">
        <v>74</v>
      </c>
      <c r="D616" t="s">
        <v>74</v>
      </c>
      <c r="E616" t="s">
        <v>74</v>
      </c>
      <c r="F616" t="s">
        <v>10669</v>
      </c>
      <c r="G616" t="s">
        <v>74</v>
      </c>
      <c r="H616" t="s">
        <v>74</v>
      </c>
      <c r="I616" t="s">
        <v>10670</v>
      </c>
      <c r="J616" t="s">
        <v>1421</v>
      </c>
      <c r="K616" t="s">
        <v>74</v>
      </c>
      <c r="L616" t="s">
        <v>74</v>
      </c>
      <c r="M616" t="s">
        <v>77</v>
      </c>
      <c r="N616" t="s">
        <v>78</v>
      </c>
      <c r="O616" t="s">
        <v>74</v>
      </c>
      <c r="P616" t="s">
        <v>74</v>
      </c>
      <c r="Q616" t="s">
        <v>74</v>
      </c>
      <c r="R616" t="s">
        <v>74</v>
      </c>
      <c r="S616" t="s">
        <v>74</v>
      </c>
      <c r="T616" t="s">
        <v>10671</v>
      </c>
      <c r="U616" t="s">
        <v>10672</v>
      </c>
      <c r="V616" t="s">
        <v>10673</v>
      </c>
      <c r="W616" t="s">
        <v>10674</v>
      </c>
      <c r="X616" t="s">
        <v>10675</v>
      </c>
      <c r="Y616" t="s">
        <v>10676</v>
      </c>
      <c r="Z616" t="s">
        <v>10677</v>
      </c>
      <c r="AA616" t="s">
        <v>10678</v>
      </c>
      <c r="AB616" t="s">
        <v>10679</v>
      </c>
      <c r="AC616" t="s">
        <v>10680</v>
      </c>
      <c r="AD616" t="s">
        <v>10681</v>
      </c>
      <c r="AE616" t="s">
        <v>10682</v>
      </c>
      <c r="AF616" t="s">
        <v>74</v>
      </c>
      <c r="AG616">
        <v>90</v>
      </c>
      <c r="AH616">
        <v>10</v>
      </c>
      <c r="AI616">
        <v>10</v>
      </c>
      <c r="AJ616">
        <v>16</v>
      </c>
      <c r="AK616">
        <v>87</v>
      </c>
      <c r="AL616" t="s">
        <v>218</v>
      </c>
      <c r="AM616" t="s">
        <v>219</v>
      </c>
      <c r="AN616" t="s">
        <v>220</v>
      </c>
      <c r="AO616" t="s">
        <v>1433</v>
      </c>
      <c r="AP616" t="s">
        <v>1434</v>
      </c>
      <c r="AQ616" t="s">
        <v>74</v>
      </c>
      <c r="AR616" t="s">
        <v>1435</v>
      </c>
      <c r="AS616" t="s">
        <v>1436</v>
      </c>
      <c r="AT616" t="s">
        <v>375</v>
      </c>
      <c r="AU616">
        <v>2021</v>
      </c>
      <c r="AV616">
        <v>74</v>
      </c>
      <c r="AW616">
        <v>4</v>
      </c>
      <c r="AX616" t="s">
        <v>74</v>
      </c>
      <c r="AY616" t="s">
        <v>74</v>
      </c>
      <c r="AZ616" t="s">
        <v>74</v>
      </c>
      <c r="BA616" t="s">
        <v>74</v>
      </c>
      <c r="BB616">
        <v>751</v>
      </c>
      <c r="BC616">
        <v>772</v>
      </c>
      <c r="BD616" t="s">
        <v>74</v>
      </c>
      <c r="BE616" t="s">
        <v>10683</v>
      </c>
      <c r="BF616" t="str">
        <f>HYPERLINK("http://dx.doi.org/10.1111/peps.12435","http://dx.doi.org/10.1111/peps.12435")</f>
        <v>http://dx.doi.org/10.1111/peps.12435</v>
      </c>
      <c r="BG616" t="s">
        <v>74</v>
      </c>
      <c r="BH616" t="s">
        <v>6349</v>
      </c>
      <c r="BI616">
        <v>22</v>
      </c>
      <c r="BJ616" t="s">
        <v>202</v>
      </c>
      <c r="BK616" t="s">
        <v>94</v>
      </c>
      <c r="BL616" t="s">
        <v>203</v>
      </c>
      <c r="BM616" t="s">
        <v>10684</v>
      </c>
      <c r="BN616" t="s">
        <v>74</v>
      </c>
      <c r="BO616" t="s">
        <v>74</v>
      </c>
      <c r="BP616" t="s">
        <v>74</v>
      </c>
      <c r="BQ616" t="s">
        <v>74</v>
      </c>
      <c r="BR616" t="s">
        <v>97</v>
      </c>
      <c r="BS616" t="s">
        <v>10685</v>
      </c>
      <c r="BT616" t="str">
        <f>HYPERLINK("https%3A%2F%2Fwww.webofscience.com%2Fwos%2Fwoscc%2Ffull-record%2FWOS:000592250700001","View Full Record in Web of Science")</f>
        <v>View Full Record in Web of Science</v>
      </c>
    </row>
    <row r="617" spans="1:72" x14ac:dyDescent="0.25">
      <c r="A617" t="s">
        <v>72</v>
      </c>
      <c r="B617" t="s">
        <v>10686</v>
      </c>
      <c r="C617" t="s">
        <v>74</v>
      </c>
      <c r="D617" t="s">
        <v>74</v>
      </c>
      <c r="E617" t="s">
        <v>74</v>
      </c>
      <c r="F617" t="s">
        <v>10687</v>
      </c>
      <c r="G617" t="s">
        <v>74</v>
      </c>
      <c r="H617" t="s">
        <v>74</v>
      </c>
      <c r="I617" t="s">
        <v>10688</v>
      </c>
      <c r="J617" t="s">
        <v>10689</v>
      </c>
      <c r="K617" t="s">
        <v>74</v>
      </c>
      <c r="L617" t="s">
        <v>74</v>
      </c>
      <c r="M617" t="s">
        <v>77</v>
      </c>
      <c r="N617" t="s">
        <v>78</v>
      </c>
      <c r="O617" t="s">
        <v>74</v>
      </c>
      <c r="P617" t="s">
        <v>74</v>
      </c>
      <c r="Q617" t="s">
        <v>74</v>
      </c>
      <c r="R617" t="s">
        <v>74</v>
      </c>
      <c r="S617" t="s">
        <v>74</v>
      </c>
      <c r="T617" t="s">
        <v>10690</v>
      </c>
      <c r="U617" t="s">
        <v>10691</v>
      </c>
      <c r="V617" t="s">
        <v>10692</v>
      </c>
      <c r="W617" t="s">
        <v>10693</v>
      </c>
      <c r="X617" t="s">
        <v>10694</v>
      </c>
      <c r="Y617" t="s">
        <v>10695</v>
      </c>
      <c r="Z617" t="s">
        <v>10696</v>
      </c>
      <c r="AA617" t="s">
        <v>74</v>
      </c>
      <c r="AB617" t="s">
        <v>74</v>
      </c>
      <c r="AC617" t="s">
        <v>74</v>
      </c>
      <c r="AD617" t="s">
        <v>74</v>
      </c>
      <c r="AE617" t="s">
        <v>74</v>
      </c>
      <c r="AF617" t="s">
        <v>74</v>
      </c>
      <c r="AG617">
        <v>81</v>
      </c>
      <c r="AH617">
        <v>10</v>
      </c>
      <c r="AI617">
        <v>10</v>
      </c>
      <c r="AJ617">
        <v>7</v>
      </c>
      <c r="AK617">
        <v>29</v>
      </c>
      <c r="AL617" t="s">
        <v>1099</v>
      </c>
      <c r="AM617" t="s">
        <v>305</v>
      </c>
      <c r="AN617" t="s">
        <v>1100</v>
      </c>
      <c r="AO617" t="s">
        <v>10697</v>
      </c>
      <c r="AP617" t="s">
        <v>10698</v>
      </c>
      <c r="AQ617" t="s">
        <v>74</v>
      </c>
      <c r="AR617" t="s">
        <v>10699</v>
      </c>
      <c r="AS617" t="s">
        <v>10700</v>
      </c>
      <c r="AT617" t="s">
        <v>6311</v>
      </c>
      <c r="AU617">
        <v>2020</v>
      </c>
      <c r="AV617">
        <v>5</v>
      </c>
      <c r="AW617">
        <v>4</v>
      </c>
      <c r="AX617" t="s">
        <v>74</v>
      </c>
      <c r="AY617" t="s">
        <v>74</v>
      </c>
      <c r="AZ617" t="s">
        <v>860</v>
      </c>
      <c r="BA617" t="s">
        <v>74</v>
      </c>
      <c r="BB617">
        <v>503</v>
      </c>
      <c r="BC617">
        <v>524</v>
      </c>
      <c r="BD617" t="s">
        <v>74</v>
      </c>
      <c r="BE617" t="s">
        <v>10701</v>
      </c>
      <c r="BF617" t="str">
        <f>HYPERLINK("http://dx.doi.org/10.1080/23812346.2020.1751947","http://dx.doi.org/10.1080/23812346.2020.1751947")</f>
        <v>http://dx.doi.org/10.1080/23812346.2020.1751947</v>
      </c>
      <c r="BG617" t="s">
        <v>74</v>
      </c>
      <c r="BH617" t="s">
        <v>2840</v>
      </c>
      <c r="BI617">
        <v>22</v>
      </c>
      <c r="BJ617" t="s">
        <v>1013</v>
      </c>
      <c r="BK617" t="s">
        <v>94</v>
      </c>
      <c r="BL617" t="s">
        <v>1014</v>
      </c>
      <c r="BM617" t="s">
        <v>10702</v>
      </c>
      <c r="BN617" t="s">
        <v>74</v>
      </c>
      <c r="BO617" t="s">
        <v>74</v>
      </c>
      <c r="BP617" t="s">
        <v>74</v>
      </c>
      <c r="BQ617" t="s">
        <v>74</v>
      </c>
      <c r="BR617" t="s">
        <v>97</v>
      </c>
      <c r="BS617" t="s">
        <v>10703</v>
      </c>
      <c r="BT617" t="str">
        <f>HYPERLINK("https%3A%2F%2Fwww.webofscience.com%2Fwos%2Fwoscc%2Ffull-record%2FWOS:000533223800001","View Full Record in Web of Science")</f>
        <v>View Full Record in Web of Science</v>
      </c>
    </row>
    <row r="618" spans="1:72" x14ac:dyDescent="0.25">
      <c r="A618" t="s">
        <v>72</v>
      </c>
      <c r="B618" t="s">
        <v>10704</v>
      </c>
      <c r="C618" t="s">
        <v>74</v>
      </c>
      <c r="D618" t="s">
        <v>74</v>
      </c>
      <c r="E618" t="s">
        <v>74</v>
      </c>
      <c r="F618" t="s">
        <v>10705</v>
      </c>
      <c r="G618" t="s">
        <v>74</v>
      </c>
      <c r="H618" t="s">
        <v>74</v>
      </c>
      <c r="I618" t="s">
        <v>10706</v>
      </c>
      <c r="J618" t="s">
        <v>10707</v>
      </c>
      <c r="K618" t="s">
        <v>74</v>
      </c>
      <c r="L618" t="s">
        <v>74</v>
      </c>
      <c r="M618" t="s">
        <v>77</v>
      </c>
      <c r="N618" t="s">
        <v>78</v>
      </c>
      <c r="O618" t="s">
        <v>74</v>
      </c>
      <c r="P618" t="s">
        <v>74</v>
      </c>
      <c r="Q618" t="s">
        <v>74</v>
      </c>
      <c r="R618" t="s">
        <v>74</v>
      </c>
      <c r="S618" t="s">
        <v>74</v>
      </c>
      <c r="T618" t="s">
        <v>10708</v>
      </c>
      <c r="U618" t="s">
        <v>10709</v>
      </c>
      <c r="V618" t="s">
        <v>10710</v>
      </c>
      <c r="W618" t="s">
        <v>10711</v>
      </c>
      <c r="X618" t="s">
        <v>10712</v>
      </c>
      <c r="Y618" t="s">
        <v>10713</v>
      </c>
      <c r="Z618" t="s">
        <v>10714</v>
      </c>
      <c r="AA618" t="s">
        <v>74</v>
      </c>
      <c r="AB618" t="s">
        <v>10715</v>
      </c>
      <c r="AC618" t="s">
        <v>74</v>
      </c>
      <c r="AD618" t="s">
        <v>74</v>
      </c>
      <c r="AE618" t="s">
        <v>74</v>
      </c>
      <c r="AF618" t="s">
        <v>74</v>
      </c>
      <c r="AG618">
        <v>29</v>
      </c>
      <c r="AH618">
        <v>10</v>
      </c>
      <c r="AI618">
        <v>10</v>
      </c>
      <c r="AJ618">
        <v>3</v>
      </c>
      <c r="AK618">
        <v>25</v>
      </c>
      <c r="AL618" t="s">
        <v>1099</v>
      </c>
      <c r="AM618" t="s">
        <v>305</v>
      </c>
      <c r="AN618" t="s">
        <v>1100</v>
      </c>
      <c r="AO618" t="s">
        <v>10716</v>
      </c>
      <c r="AP618" t="s">
        <v>10717</v>
      </c>
      <c r="AQ618" t="s">
        <v>74</v>
      </c>
      <c r="AR618" t="s">
        <v>10718</v>
      </c>
      <c r="AS618" t="s">
        <v>10719</v>
      </c>
      <c r="AT618" t="s">
        <v>8473</v>
      </c>
      <c r="AU618">
        <v>2020</v>
      </c>
      <c r="AV618">
        <v>45</v>
      </c>
      <c r="AW618">
        <v>2</v>
      </c>
      <c r="AX618" t="s">
        <v>74</v>
      </c>
      <c r="AY618" t="s">
        <v>74</v>
      </c>
      <c r="AZ618" t="s">
        <v>74</v>
      </c>
      <c r="BA618" t="s">
        <v>74</v>
      </c>
      <c r="BB618">
        <v>212</v>
      </c>
      <c r="BC618">
        <v>223</v>
      </c>
      <c r="BD618" t="s">
        <v>74</v>
      </c>
      <c r="BE618" t="s">
        <v>10720</v>
      </c>
      <c r="BF618" t="str">
        <f>HYPERLINK("http://dx.doi.org/10.1080/02602938.2019.1620680","http://dx.doi.org/10.1080/02602938.2019.1620680")</f>
        <v>http://dx.doi.org/10.1080/02602938.2019.1620680</v>
      </c>
      <c r="BG618" t="s">
        <v>74</v>
      </c>
      <c r="BH618" t="s">
        <v>74</v>
      </c>
      <c r="BI618">
        <v>12</v>
      </c>
      <c r="BJ618" t="s">
        <v>815</v>
      </c>
      <c r="BK618" t="s">
        <v>94</v>
      </c>
      <c r="BL618" t="s">
        <v>815</v>
      </c>
      <c r="BM618" t="s">
        <v>10721</v>
      </c>
      <c r="BN618" t="s">
        <v>74</v>
      </c>
      <c r="BO618" t="s">
        <v>74</v>
      </c>
      <c r="BP618" t="s">
        <v>74</v>
      </c>
      <c r="BQ618" t="s">
        <v>74</v>
      </c>
      <c r="BR618" t="s">
        <v>97</v>
      </c>
      <c r="BS618" t="s">
        <v>10722</v>
      </c>
      <c r="BT618" t="str">
        <f>HYPERLINK("https%3A%2F%2Fwww.webofscience.com%2Fwos%2Fwoscc%2Ffull-record%2FWOS:000506460000004","View Full Record in Web of Science")</f>
        <v>View Full Record in Web of Science</v>
      </c>
    </row>
    <row r="619" spans="1:72" x14ac:dyDescent="0.25">
      <c r="A619" t="s">
        <v>72</v>
      </c>
      <c r="B619" t="s">
        <v>10723</v>
      </c>
      <c r="C619" t="s">
        <v>74</v>
      </c>
      <c r="D619" t="s">
        <v>74</v>
      </c>
      <c r="E619" t="s">
        <v>74</v>
      </c>
      <c r="F619" t="s">
        <v>10724</v>
      </c>
      <c r="G619" t="s">
        <v>74</v>
      </c>
      <c r="H619" t="s">
        <v>74</v>
      </c>
      <c r="I619" t="s">
        <v>10725</v>
      </c>
      <c r="J619" t="s">
        <v>3585</v>
      </c>
      <c r="K619" t="s">
        <v>74</v>
      </c>
      <c r="L619" t="s">
        <v>74</v>
      </c>
      <c r="M619" t="s">
        <v>77</v>
      </c>
      <c r="N619" t="s">
        <v>78</v>
      </c>
      <c r="O619" t="s">
        <v>74</v>
      </c>
      <c r="P619" t="s">
        <v>74</v>
      </c>
      <c r="Q619" t="s">
        <v>74</v>
      </c>
      <c r="R619" t="s">
        <v>74</v>
      </c>
      <c r="S619" t="s">
        <v>74</v>
      </c>
      <c r="T619" t="s">
        <v>10726</v>
      </c>
      <c r="U619" t="s">
        <v>10727</v>
      </c>
      <c r="V619" t="s">
        <v>10728</v>
      </c>
      <c r="W619" t="s">
        <v>10729</v>
      </c>
      <c r="X619" t="s">
        <v>10730</v>
      </c>
      <c r="Y619" t="s">
        <v>10731</v>
      </c>
      <c r="Z619" t="s">
        <v>10732</v>
      </c>
      <c r="AA619" t="s">
        <v>74</v>
      </c>
      <c r="AB619" t="s">
        <v>10733</v>
      </c>
      <c r="AC619" t="s">
        <v>74</v>
      </c>
      <c r="AD619" t="s">
        <v>74</v>
      </c>
      <c r="AE619" t="s">
        <v>74</v>
      </c>
      <c r="AF619" t="s">
        <v>74</v>
      </c>
      <c r="AG619">
        <v>66</v>
      </c>
      <c r="AH619">
        <v>10</v>
      </c>
      <c r="AI619">
        <v>10</v>
      </c>
      <c r="AJ619">
        <v>1</v>
      </c>
      <c r="AK619">
        <v>47</v>
      </c>
      <c r="AL619" t="s">
        <v>665</v>
      </c>
      <c r="AM619" t="s">
        <v>666</v>
      </c>
      <c r="AN619" t="s">
        <v>667</v>
      </c>
      <c r="AO619" t="s">
        <v>3597</v>
      </c>
      <c r="AP619" t="s">
        <v>3598</v>
      </c>
      <c r="AQ619" t="s">
        <v>74</v>
      </c>
      <c r="AR619" t="s">
        <v>3599</v>
      </c>
      <c r="AS619" t="s">
        <v>3600</v>
      </c>
      <c r="AT619" t="s">
        <v>9844</v>
      </c>
      <c r="AU619">
        <v>2019</v>
      </c>
      <c r="AV619">
        <v>24</v>
      </c>
      <c r="AW619">
        <v>6</v>
      </c>
      <c r="AX619" t="s">
        <v>74</v>
      </c>
      <c r="AY619" t="s">
        <v>74</v>
      </c>
      <c r="AZ619" t="s">
        <v>860</v>
      </c>
      <c r="BA619" t="s">
        <v>74</v>
      </c>
      <c r="BB619">
        <v>580</v>
      </c>
      <c r="BC619">
        <v>595</v>
      </c>
      <c r="BD619" t="s">
        <v>74</v>
      </c>
      <c r="BE619" t="s">
        <v>10734</v>
      </c>
      <c r="BF619" t="str">
        <f>HYPERLINK("http://dx.doi.org/10.1108/CDI-04-2018-0109","http://dx.doi.org/10.1108/CDI-04-2018-0109")</f>
        <v>http://dx.doi.org/10.1108/CDI-04-2018-0109</v>
      </c>
      <c r="BG619" t="s">
        <v>74</v>
      </c>
      <c r="BH619" t="s">
        <v>74</v>
      </c>
      <c r="BI619">
        <v>16</v>
      </c>
      <c r="BJ619" t="s">
        <v>202</v>
      </c>
      <c r="BK619" t="s">
        <v>94</v>
      </c>
      <c r="BL619" t="s">
        <v>203</v>
      </c>
      <c r="BM619" t="s">
        <v>10735</v>
      </c>
      <c r="BN619" t="s">
        <v>74</v>
      </c>
      <c r="BO619" t="s">
        <v>74</v>
      </c>
      <c r="BP619" t="s">
        <v>74</v>
      </c>
      <c r="BQ619" t="s">
        <v>74</v>
      </c>
      <c r="BR619" t="s">
        <v>97</v>
      </c>
      <c r="BS619" t="s">
        <v>10736</v>
      </c>
      <c r="BT619" t="str">
        <f>HYPERLINK("https%3A%2F%2Fwww.webofscience.com%2Fwos%2Fwoscc%2Ffull-record%2FWOS:000490187800005","View Full Record in Web of Science")</f>
        <v>View Full Record in Web of Science</v>
      </c>
    </row>
    <row r="620" spans="1:72" x14ac:dyDescent="0.25">
      <c r="A620" t="s">
        <v>72</v>
      </c>
      <c r="B620" t="s">
        <v>10737</v>
      </c>
      <c r="C620" t="s">
        <v>74</v>
      </c>
      <c r="D620" t="s">
        <v>74</v>
      </c>
      <c r="E620" t="s">
        <v>74</v>
      </c>
      <c r="F620" t="s">
        <v>10738</v>
      </c>
      <c r="G620" t="s">
        <v>74</v>
      </c>
      <c r="H620" t="s">
        <v>74</v>
      </c>
      <c r="I620" t="s">
        <v>10739</v>
      </c>
      <c r="J620" t="s">
        <v>3142</v>
      </c>
      <c r="K620" t="s">
        <v>74</v>
      </c>
      <c r="L620" t="s">
        <v>74</v>
      </c>
      <c r="M620" t="s">
        <v>77</v>
      </c>
      <c r="N620" t="s">
        <v>78</v>
      </c>
      <c r="O620" t="s">
        <v>74</v>
      </c>
      <c r="P620" t="s">
        <v>74</v>
      </c>
      <c r="Q620" t="s">
        <v>74</v>
      </c>
      <c r="R620" t="s">
        <v>74</v>
      </c>
      <c r="S620" t="s">
        <v>74</v>
      </c>
      <c r="T620" t="s">
        <v>10740</v>
      </c>
      <c r="U620" t="s">
        <v>10741</v>
      </c>
      <c r="V620" t="s">
        <v>10742</v>
      </c>
      <c r="W620" t="s">
        <v>10743</v>
      </c>
      <c r="X620" t="s">
        <v>10744</v>
      </c>
      <c r="Y620" t="s">
        <v>10745</v>
      </c>
      <c r="Z620" t="s">
        <v>4843</v>
      </c>
      <c r="AA620" t="s">
        <v>5493</v>
      </c>
      <c r="AB620" t="s">
        <v>74</v>
      </c>
      <c r="AC620" t="s">
        <v>10746</v>
      </c>
      <c r="AD620" t="s">
        <v>10746</v>
      </c>
      <c r="AE620" t="s">
        <v>10747</v>
      </c>
      <c r="AF620" t="s">
        <v>74</v>
      </c>
      <c r="AG620">
        <v>76</v>
      </c>
      <c r="AH620">
        <v>10</v>
      </c>
      <c r="AI620">
        <v>10</v>
      </c>
      <c r="AJ620">
        <v>3</v>
      </c>
      <c r="AK620">
        <v>35</v>
      </c>
      <c r="AL620" t="s">
        <v>3149</v>
      </c>
      <c r="AM620" t="s">
        <v>195</v>
      </c>
      <c r="AN620" t="s">
        <v>3150</v>
      </c>
      <c r="AO620" t="s">
        <v>3151</v>
      </c>
      <c r="AP620" t="s">
        <v>3152</v>
      </c>
      <c r="AQ620" t="s">
        <v>74</v>
      </c>
      <c r="AR620" t="s">
        <v>3153</v>
      </c>
      <c r="AS620" t="s">
        <v>3154</v>
      </c>
      <c r="AT620" t="s">
        <v>405</v>
      </c>
      <c r="AU620">
        <v>2018</v>
      </c>
      <c r="AV620">
        <v>12</v>
      </c>
      <c r="AW620">
        <v>1</v>
      </c>
      <c r="AX620" t="s">
        <v>74</v>
      </c>
      <c r="AY620" t="s">
        <v>74</v>
      </c>
      <c r="AZ620" t="s">
        <v>74</v>
      </c>
      <c r="BA620" t="s">
        <v>74</v>
      </c>
      <c r="BB620">
        <v>79</v>
      </c>
      <c r="BC620">
        <v>88</v>
      </c>
      <c r="BD620" t="s">
        <v>74</v>
      </c>
      <c r="BE620" t="s">
        <v>10748</v>
      </c>
      <c r="BF620" t="str">
        <f>HYPERLINK("http://dx.doi.org/10.1037/aca0000129","http://dx.doi.org/10.1037/aca0000129")</f>
        <v>http://dx.doi.org/10.1037/aca0000129</v>
      </c>
      <c r="BG620" t="s">
        <v>74</v>
      </c>
      <c r="BH620" t="s">
        <v>74</v>
      </c>
      <c r="BI620">
        <v>10</v>
      </c>
      <c r="BJ620" t="s">
        <v>3156</v>
      </c>
      <c r="BK620" t="s">
        <v>3157</v>
      </c>
      <c r="BL620" t="s">
        <v>3158</v>
      </c>
      <c r="BM620" t="s">
        <v>10749</v>
      </c>
      <c r="BN620" t="s">
        <v>74</v>
      </c>
      <c r="BO620" t="s">
        <v>74</v>
      </c>
      <c r="BP620" t="s">
        <v>74</v>
      </c>
      <c r="BQ620" t="s">
        <v>74</v>
      </c>
      <c r="BR620" t="s">
        <v>97</v>
      </c>
      <c r="BS620" t="s">
        <v>10750</v>
      </c>
      <c r="BT620" t="str">
        <f>HYPERLINK("https%3A%2F%2Fwww.webofscience.com%2Fwos%2Fwoscc%2Ffull-record%2FWOS:000431562600008","View Full Record in Web of Science")</f>
        <v>View Full Record in Web of Science</v>
      </c>
    </row>
    <row r="621" spans="1:72" x14ac:dyDescent="0.25">
      <c r="A621" t="s">
        <v>72</v>
      </c>
      <c r="B621" t="s">
        <v>10751</v>
      </c>
      <c r="C621" t="s">
        <v>74</v>
      </c>
      <c r="D621" t="s">
        <v>74</v>
      </c>
      <c r="E621" t="s">
        <v>74</v>
      </c>
      <c r="F621" t="s">
        <v>10752</v>
      </c>
      <c r="G621" t="s">
        <v>74</v>
      </c>
      <c r="H621" t="s">
        <v>74</v>
      </c>
      <c r="I621" t="s">
        <v>10753</v>
      </c>
      <c r="J621" t="s">
        <v>447</v>
      </c>
      <c r="K621" t="s">
        <v>74</v>
      </c>
      <c r="L621" t="s">
        <v>74</v>
      </c>
      <c r="M621" t="s">
        <v>77</v>
      </c>
      <c r="N621" t="s">
        <v>78</v>
      </c>
      <c r="O621" t="s">
        <v>74</v>
      </c>
      <c r="P621" t="s">
        <v>74</v>
      </c>
      <c r="Q621" t="s">
        <v>74</v>
      </c>
      <c r="R621" t="s">
        <v>74</v>
      </c>
      <c r="S621" t="s">
        <v>74</v>
      </c>
      <c r="T621" t="s">
        <v>74</v>
      </c>
      <c r="U621" t="s">
        <v>10754</v>
      </c>
      <c r="V621" t="s">
        <v>10755</v>
      </c>
      <c r="W621" t="s">
        <v>10756</v>
      </c>
      <c r="X621" t="s">
        <v>10757</v>
      </c>
      <c r="Y621" t="s">
        <v>10758</v>
      </c>
      <c r="Z621" t="s">
        <v>10759</v>
      </c>
      <c r="AA621" t="s">
        <v>1428</v>
      </c>
      <c r="AB621" t="s">
        <v>1429</v>
      </c>
      <c r="AC621" t="s">
        <v>10760</v>
      </c>
      <c r="AD621" t="s">
        <v>10761</v>
      </c>
      <c r="AE621" t="s">
        <v>10762</v>
      </c>
      <c r="AF621" t="s">
        <v>74</v>
      </c>
      <c r="AG621">
        <v>63</v>
      </c>
      <c r="AH621">
        <v>10</v>
      </c>
      <c r="AI621">
        <v>11</v>
      </c>
      <c r="AJ621">
        <v>8</v>
      </c>
      <c r="AK621">
        <v>71</v>
      </c>
      <c r="AL621" t="s">
        <v>218</v>
      </c>
      <c r="AM621" t="s">
        <v>219</v>
      </c>
      <c r="AN621" t="s">
        <v>220</v>
      </c>
      <c r="AO621" t="s">
        <v>453</v>
      </c>
      <c r="AP621" t="s">
        <v>454</v>
      </c>
      <c r="AQ621" t="s">
        <v>74</v>
      </c>
      <c r="AR621" t="s">
        <v>455</v>
      </c>
      <c r="AS621" t="s">
        <v>456</v>
      </c>
      <c r="AT621" t="s">
        <v>405</v>
      </c>
      <c r="AU621">
        <v>2018</v>
      </c>
      <c r="AV621">
        <v>48</v>
      </c>
      <c r="AW621">
        <v>2</v>
      </c>
      <c r="AX621" t="s">
        <v>74</v>
      </c>
      <c r="AY621" t="s">
        <v>74</v>
      </c>
      <c r="AZ621" t="s">
        <v>74</v>
      </c>
      <c r="BA621" t="s">
        <v>74</v>
      </c>
      <c r="BB621">
        <v>101</v>
      </c>
      <c r="BC621">
        <v>113</v>
      </c>
      <c r="BD621" t="s">
        <v>74</v>
      </c>
      <c r="BE621" t="s">
        <v>10763</v>
      </c>
      <c r="BF621" t="str">
        <f>HYPERLINK("http://dx.doi.org/10.1111/jasp.12494","http://dx.doi.org/10.1111/jasp.12494")</f>
        <v>http://dx.doi.org/10.1111/jasp.12494</v>
      </c>
      <c r="BG621" t="s">
        <v>74</v>
      </c>
      <c r="BH621" t="s">
        <v>74</v>
      </c>
      <c r="BI621">
        <v>13</v>
      </c>
      <c r="BJ621" t="s">
        <v>459</v>
      </c>
      <c r="BK621" t="s">
        <v>94</v>
      </c>
      <c r="BL621" t="s">
        <v>460</v>
      </c>
      <c r="BM621" t="s">
        <v>10764</v>
      </c>
      <c r="BN621" t="s">
        <v>74</v>
      </c>
      <c r="BO621" t="s">
        <v>74</v>
      </c>
      <c r="BP621" t="s">
        <v>74</v>
      </c>
      <c r="BQ621" t="s">
        <v>74</v>
      </c>
      <c r="BR621" t="s">
        <v>97</v>
      </c>
      <c r="BS621" t="s">
        <v>10765</v>
      </c>
      <c r="BT621" t="str">
        <f>HYPERLINK("https%3A%2F%2Fwww.webofscience.com%2Fwos%2Fwoscc%2Ffull-record%2FWOS:000425187900005","View Full Record in Web of Science")</f>
        <v>View Full Record in Web of Science</v>
      </c>
    </row>
    <row r="622" spans="1:72" x14ac:dyDescent="0.25">
      <c r="A622" t="s">
        <v>72</v>
      </c>
      <c r="B622" t="s">
        <v>10766</v>
      </c>
      <c r="C622" t="s">
        <v>74</v>
      </c>
      <c r="D622" t="s">
        <v>74</v>
      </c>
      <c r="E622" t="s">
        <v>74</v>
      </c>
      <c r="F622" t="s">
        <v>10767</v>
      </c>
      <c r="G622" t="s">
        <v>74</v>
      </c>
      <c r="H622" t="s">
        <v>74</v>
      </c>
      <c r="I622" t="s">
        <v>10768</v>
      </c>
      <c r="J622" t="s">
        <v>10769</v>
      </c>
      <c r="K622" t="s">
        <v>74</v>
      </c>
      <c r="L622" t="s">
        <v>74</v>
      </c>
      <c r="M622" t="s">
        <v>77</v>
      </c>
      <c r="N622" t="s">
        <v>78</v>
      </c>
      <c r="O622" t="s">
        <v>74</v>
      </c>
      <c r="P622" t="s">
        <v>74</v>
      </c>
      <c r="Q622" t="s">
        <v>74</v>
      </c>
      <c r="R622" t="s">
        <v>74</v>
      </c>
      <c r="S622" t="s">
        <v>74</v>
      </c>
      <c r="T622" t="s">
        <v>10770</v>
      </c>
      <c r="U622" t="s">
        <v>10771</v>
      </c>
      <c r="V622" t="s">
        <v>10772</v>
      </c>
      <c r="W622" t="s">
        <v>10773</v>
      </c>
      <c r="X622" t="s">
        <v>10774</v>
      </c>
      <c r="Y622" t="s">
        <v>10775</v>
      </c>
      <c r="Z622" t="s">
        <v>10776</v>
      </c>
      <c r="AA622" t="s">
        <v>74</v>
      </c>
      <c r="AB622" t="s">
        <v>74</v>
      </c>
      <c r="AC622" t="s">
        <v>74</v>
      </c>
      <c r="AD622" t="s">
        <v>74</v>
      </c>
      <c r="AE622" t="s">
        <v>74</v>
      </c>
      <c r="AF622" t="s">
        <v>74</v>
      </c>
      <c r="AG622">
        <v>35</v>
      </c>
      <c r="AH622">
        <v>10</v>
      </c>
      <c r="AI622">
        <v>11</v>
      </c>
      <c r="AJ622">
        <v>4</v>
      </c>
      <c r="AK622">
        <v>36</v>
      </c>
      <c r="AL622" t="s">
        <v>10777</v>
      </c>
      <c r="AM622" t="s">
        <v>541</v>
      </c>
      <c r="AN622" t="s">
        <v>10778</v>
      </c>
      <c r="AO622" t="s">
        <v>10779</v>
      </c>
      <c r="AP622" t="s">
        <v>10780</v>
      </c>
      <c r="AQ622" t="s">
        <v>74</v>
      </c>
      <c r="AR622" t="s">
        <v>10781</v>
      </c>
      <c r="AS622" t="s">
        <v>10782</v>
      </c>
      <c r="AT622" t="s">
        <v>792</v>
      </c>
      <c r="AU622">
        <v>2017</v>
      </c>
      <c r="AV622">
        <v>13</v>
      </c>
      <c r="AW622">
        <v>7</v>
      </c>
      <c r="AX622" t="s">
        <v>74</v>
      </c>
      <c r="AY622" t="s">
        <v>74</v>
      </c>
      <c r="AZ622" t="s">
        <v>74</v>
      </c>
      <c r="BA622" t="s">
        <v>74</v>
      </c>
      <c r="BB622">
        <v>3463</v>
      </c>
      <c r="BC622">
        <v>3478</v>
      </c>
      <c r="BD622" t="s">
        <v>74</v>
      </c>
      <c r="BE622" t="s">
        <v>10783</v>
      </c>
      <c r="BF622" t="str">
        <f>HYPERLINK("http://dx.doi.org/10.12973/eurasia.2017.00738a","http://dx.doi.org/10.12973/eurasia.2017.00738a")</f>
        <v>http://dx.doi.org/10.12973/eurasia.2017.00738a</v>
      </c>
      <c r="BG622" t="s">
        <v>74</v>
      </c>
      <c r="BH622" t="s">
        <v>74</v>
      </c>
      <c r="BI622">
        <v>16</v>
      </c>
      <c r="BJ622" t="s">
        <v>815</v>
      </c>
      <c r="BK622" t="s">
        <v>94</v>
      </c>
      <c r="BL622" t="s">
        <v>815</v>
      </c>
      <c r="BM622" t="s">
        <v>10784</v>
      </c>
      <c r="BN622" t="s">
        <v>74</v>
      </c>
      <c r="BO622" t="s">
        <v>2482</v>
      </c>
      <c r="BP622" t="s">
        <v>74</v>
      </c>
      <c r="BQ622" t="s">
        <v>74</v>
      </c>
      <c r="BR622" t="s">
        <v>97</v>
      </c>
      <c r="BS622" t="s">
        <v>10785</v>
      </c>
      <c r="BT622" t="str">
        <f>HYPERLINK("https%3A%2F%2Fwww.webofscience.com%2Fwos%2Fwoscc%2Ffull-record%2FWOS:000404607800038","View Full Record in Web of Science")</f>
        <v>View Full Record in Web of Science</v>
      </c>
    </row>
    <row r="623" spans="1:72" x14ac:dyDescent="0.25">
      <c r="A623" t="s">
        <v>72</v>
      </c>
      <c r="B623" t="s">
        <v>10786</v>
      </c>
      <c r="C623" t="s">
        <v>74</v>
      </c>
      <c r="D623" t="s">
        <v>74</v>
      </c>
      <c r="E623" t="s">
        <v>74</v>
      </c>
      <c r="F623" t="s">
        <v>10787</v>
      </c>
      <c r="G623" t="s">
        <v>74</v>
      </c>
      <c r="H623" t="s">
        <v>74</v>
      </c>
      <c r="I623" t="s">
        <v>10788</v>
      </c>
      <c r="J623" t="s">
        <v>6058</v>
      </c>
      <c r="K623" t="s">
        <v>74</v>
      </c>
      <c r="L623" t="s">
        <v>74</v>
      </c>
      <c r="M623" t="s">
        <v>77</v>
      </c>
      <c r="N623" t="s">
        <v>319</v>
      </c>
      <c r="O623" t="s">
        <v>10789</v>
      </c>
      <c r="P623" t="s">
        <v>10790</v>
      </c>
      <c r="Q623" t="s">
        <v>10791</v>
      </c>
      <c r="R623" t="s">
        <v>10792</v>
      </c>
      <c r="S623" t="s">
        <v>74</v>
      </c>
      <c r="T623" t="s">
        <v>10793</v>
      </c>
      <c r="U623" t="s">
        <v>10794</v>
      </c>
      <c r="V623" t="s">
        <v>10795</v>
      </c>
      <c r="W623" t="s">
        <v>10796</v>
      </c>
      <c r="X623" t="s">
        <v>10797</v>
      </c>
      <c r="Y623" t="s">
        <v>10798</v>
      </c>
      <c r="Z623" t="s">
        <v>10799</v>
      </c>
      <c r="AA623" t="s">
        <v>10800</v>
      </c>
      <c r="AB623" t="s">
        <v>10801</v>
      </c>
      <c r="AC623" t="s">
        <v>10802</v>
      </c>
      <c r="AD623" t="s">
        <v>10803</v>
      </c>
      <c r="AE623" t="s">
        <v>74</v>
      </c>
      <c r="AF623" t="s">
        <v>74</v>
      </c>
      <c r="AG623">
        <v>85</v>
      </c>
      <c r="AH623">
        <v>10</v>
      </c>
      <c r="AI623">
        <v>10</v>
      </c>
      <c r="AJ623">
        <v>1</v>
      </c>
      <c r="AK623">
        <v>18</v>
      </c>
      <c r="AL623" t="s">
        <v>6068</v>
      </c>
      <c r="AM623" t="s">
        <v>6069</v>
      </c>
      <c r="AN623" t="s">
        <v>6070</v>
      </c>
      <c r="AO623" t="s">
        <v>6071</v>
      </c>
      <c r="AP623" t="s">
        <v>74</v>
      </c>
      <c r="AQ623" t="s">
        <v>74</v>
      </c>
      <c r="AR623" t="s">
        <v>6072</v>
      </c>
      <c r="AS623" t="s">
        <v>6073</v>
      </c>
      <c r="AT623" t="s">
        <v>74</v>
      </c>
      <c r="AU623">
        <v>2016</v>
      </c>
      <c r="AV623">
        <v>32</v>
      </c>
      <c r="AW623">
        <v>3</v>
      </c>
      <c r="AX623" t="s">
        <v>10804</v>
      </c>
      <c r="AY623" t="s">
        <v>74</v>
      </c>
      <c r="AZ623" t="s">
        <v>860</v>
      </c>
      <c r="BA623" t="s">
        <v>74</v>
      </c>
      <c r="BB623">
        <v>1236</v>
      </c>
      <c r="BC623">
        <v>1249</v>
      </c>
      <c r="BD623" t="s">
        <v>74</v>
      </c>
      <c r="BE623" t="s">
        <v>74</v>
      </c>
      <c r="BF623" t="s">
        <v>74</v>
      </c>
      <c r="BG623" t="s">
        <v>74</v>
      </c>
      <c r="BH623" t="s">
        <v>74</v>
      </c>
      <c r="BI623">
        <v>14</v>
      </c>
      <c r="BJ623" t="s">
        <v>6074</v>
      </c>
      <c r="BK623" t="s">
        <v>10805</v>
      </c>
      <c r="BL623" t="s">
        <v>6075</v>
      </c>
      <c r="BM623" t="s">
        <v>10806</v>
      </c>
      <c r="BN623" t="s">
        <v>74</v>
      </c>
      <c r="BO623" t="s">
        <v>74</v>
      </c>
      <c r="BP623" t="s">
        <v>74</v>
      </c>
      <c r="BQ623" t="s">
        <v>74</v>
      </c>
      <c r="BR623" t="s">
        <v>97</v>
      </c>
      <c r="BS623" t="s">
        <v>10807</v>
      </c>
      <c r="BT623" t="str">
        <f>HYPERLINK("https%3A%2F%2Fwww.webofscience.com%2Fwos%2Fwoscc%2Ffull-record%2FWOS:000378700600018","View Full Record in Web of Science")</f>
        <v>View Full Record in Web of Science</v>
      </c>
    </row>
    <row r="624" spans="1:72" x14ac:dyDescent="0.25">
      <c r="A624" t="s">
        <v>72</v>
      </c>
      <c r="B624" t="s">
        <v>10808</v>
      </c>
      <c r="C624" t="s">
        <v>74</v>
      </c>
      <c r="D624" t="s">
        <v>74</v>
      </c>
      <c r="E624" t="s">
        <v>74</v>
      </c>
      <c r="F624" t="s">
        <v>10809</v>
      </c>
      <c r="G624" t="s">
        <v>74</v>
      </c>
      <c r="H624" t="s">
        <v>74</v>
      </c>
      <c r="I624" t="s">
        <v>10810</v>
      </c>
      <c r="J624" t="s">
        <v>3561</v>
      </c>
      <c r="K624" t="s">
        <v>74</v>
      </c>
      <c r="L624" t="s">
        <v>74</v>
      </c>
      <c r="M624" t="s">
        <v>77</v>
      </c>
      <c r="N624" t="s">
        <v>78</v>
      </c>
      <c r="O624" t="s">
        <v>74</v>
      </c>
      <c r="P624" t="s">
        <v>74</v>
      </c>
      <c r="Q624" t="s">
        <v>74</v>
      </c>
      <c r="R624" t="s">
        <v>74</v>
      </c>
      <c r="S624" t="s">
        <v>74</v>
      </c>
      <c r="T624" t="s">
        <v>10811</v>
      </c>
      <c r="U624" t="s">
        <v>10812</v>
      </c>
      <c r="V624" t="s">
        <v>10813</v>
      </c>
      <c r="W624" t="s">
        <v>10814</v>
      </c>
      <c r="X624" t="s">
        <v>10815</v>
      </c>
      <c r="Y624" t="s">
        <v>10816</v>
      </c>
      <c r="Z624" t="s">
        <v>10817</v>
      </c>
      <c r="AA624" t="s">
        <v>74</v>
      </c>
      <c r="AB624" t="s">
        <v>10818</v>
      </c>
      <c r="AC624" t="s">
        <v>74</v>
      </c>
      <c r="AD624" t="s">
        <v>74</v>
      </c>
      <c r="AE624" t="s">
        <v>74</v>
      </c>
      <c r="AF624" t="s">
        <v>74</v>
      </c>
      <c r="AG624">
        <v>82</v>
      </c>
      <c r="AH624">
        <v>10</v>
      </c>
      <c r="AI624">
        <v>11</v>
      </c>
      <c r="AJ624">
        <v>0</v>
      </c>
      <c r="AK624">
        <v>51</v>
      </c>
      <c r="AL624" t="s">
        <v>665</v>
      </c>
      <c r="AM624" t="s">
        <v>666</v>
      </c>
      <c r="AN624" t="s">
        <v>667</v>
      </c>
      <c r="AO624" t="s">
        <v>3574</v>
      </c>
      <c r="AP624" t="s">
        <v>3575</v>
      </c>
      <c r="AQ624" t="s">
        <v>74</v>
      </c>
      <c r="AR624" t="s">
        <v>3576</v>
      </c>
      <c r="AS624" t="s">
        <v>3577</v>
      </c>
      <c r="AT624" t="s">
        <v>74</v>
      </c>
      <c r="AU624">
        <v>2015</v>
      </c>
      <c r="AV624">
        <v>10</v>
      </c>
      <c r="AW624">
        <v>4</v>
      </c>
      <c r="AX624" t="s">
        <v>74</v>
      </c>
      <c r="AY624" t="s">
        <v>74</v>
      </c>
      <c r="AZ624" t="s">
        <v>860</v>
      </c>
      <c r="BA624" t="s">
        <v>74</v>
      </c>
      <c r="BB624">
        <v>478</v>
      </c>
      <c r="BC624">
        <v>496</v>
      </c>
      <c r="BD624" t="s">
        <v>74</v>
      </c>
      <c r="BE624" t="s">
        <v>10819</v>
      </c>
      <c r="BF624" t="str">
        <f>HYPERLINK("http://dx.doi.org/10.1108/BJM-10-2014-0152","http://dx.doi.org/10.1108/BJM-10-2014-0152")</f>
        <v>http://dx.doi.org/10.1108/BJM-10-2014-0152</v>
      </c>
      <c r="BG624" t="s">
        <v>74</v>
      </c>
      <c r="BH624" t="s">
        <v>74</v>
      </c>
      <c r="BI624">
        <v>19</v>
      </c>
      <c r="BJ624" t="s">
        <v>442</v>
      </c>
      <c r="BK624" t="s">
        <v>94</v>
      </c>
      <c r="BL624" t="s">
        <v>95</v>
      </c>
      <c r="BM624" t="s">
        <v>10820</v>
      </c>
      <c r="BN624" t="s">
        <v>74</v>
      </c>
      <c r="BO624" t="s">
        <v>74</v>
      </c>
      <c r="BP624" t="s">
        <v>74</v>
      </c>
      <c r="BQ624" t="s">
        <v>74</v>
      </c>
      <c r="BR624" t="s">
        <v>97</v>
      </c>
      <c r="BS624" t="s">
        <v>10821</v>
      </c>
      <c r="BT624" t="str">
        <f>HYPERLINK("https%3A%2F%2Fwww.webofscience.com%2Fwos%2Fwoscc%2Ffull-record%2FWOS:000369414600006","View Full Record in Web of Science")</f>
        <v>View Full Record in Web of Science</v>
      </c>
    </row>
    <row r="625" spans="1:72" x14ac:dyDescent="0.25">
      <c r="A625" t="s">
        <v>72</v>
      </c>
      <c r="B625" t="s">
        <v>10822</v>
      </c>
      <c r="C625" t="s">
        <v>74</v>
      </c>
      <c r="D625" t="s">
        <v>74</v>
      </c>
      <c r="E625" t="s">
        <v>74</v>
      </c>
      <c r="F625" t="s">
        <v>10823</v>
      </c>
      <c r="G625" t="s">
        <v>74</v>
      </c>
      <c r="H625" t="s">
        <v>74</v>
      </c>
      <c r="I625" t="s">
        <v>10824</v>
      </c>
      <c r="J625" t="s">
        <v>3561</v>
      </c>
      <c r="K625" t="s">
        <v>74</v>
      </c>
      <c r="L625" t="s">
        <v>74</v>
      </c>
      <c r="M625" t="s">
        <v>77</v>
      </c>
      <c r="N625" t="s">
        <v>78</v>
      </c>
      <c r="O625" t="s">
        <v>74</v>
      </c>
      <c r="P625" t="s">
        <v>74</v>
      </c>
      <c r="Q625" t="s">
        <v>74</v>
      </c>
      <c r="R625" t="s">
        <v>74</v>
      </c>
      <c r="S625" t="s">
        <v>74</v>
      </c>
      <c r="T625" t="s">
        <v>10825</v>
      </c>
      <c r="U625" t="s">
        <v>10826</v>
      </c>
      <c r="V625" t="s">
        <v>10827</v>
      </c>
      <c r="W625" t="s">
        <v>10828</v>
      </c>
      <c r="X625" t="s">
        <v>10829</v>
      </c>
      <c r="Y625" t="s">
        <v>10830</v>
      </c>
      <c r="Z625" t="s">
        <v>10831</v>
      </c>
      <c r="AA625" t="s">
        <v>74</v>
      </c>
      <c r="AB625" t="s">
        <v>10832</v>
      </c>
      <c r="AC625" t="s">
        <v>74</v>
      </c>
      <c r="AD625" t="s">
        <v>74</v>
      </c>
      <c r="AE625" t="s">
        <v>74</v>
      </c>
      <c r="AF625" t="s">
        <v>74</v>
      </c>
      <c r="AG625">
        <v>94</v>
      </c>
      <c r="AH625">
        <v>10</v>
      </c>
      <c r="AI625">
        <v>10</v>
      </c>
      <c r="AJ625">
        <v>1</v>
      </c>
      <c r="AK625">
        <v>17</v>
      </c>
      <c r="AL625" t="s">
        <v>665</v>
      </c>
      <c r="AM625" t="s">
        <v>666</v>
      </c>
      <c r="AN625" t="s">
        <v>667</v>
      </c>
      <c r="AO625" t="s">
        <v>3574</v>
      </c>
      <c r="AP625" t="s">
        <v>3575</v>
      </c>
      <c r="AQ625" t="s">
        <v>74</v>
      </c>
      <c r="AR625" t="s">
        <v>3576</v>
      </c>
      <c r="AS625" t="s">
        <v>3577</v>
      </c>
      <c r="AT625" t="s">
        <v>74</v>
      </c>
      <c r="AU625">
        <v>2015</v>
      </c>
      <c r="AV625">
        <v>10</v>
      </c>
      <c r="AW625">
        <v>4</v>
      </c>
      <c r="AX625" t="s">
        <v>74</v>
      </c>
      <c r="AY625" t="s">
        <v>74</v>
      </c>
      <c r="AZ625" t="s">
        <v>860</v>
      </c>
      <c r="BA625" t="s">
        <v>74</v>
      </c>
      <c r="BB625">
        <v>497</v>
      </c>
      <c r="BC625">
        <v>518</v>
      </c>
      <c r="BD625" t="s">
        <v>74</v>
      </c>
      <c r="BE625" t="s">
        <v>10833</v>
      </c>
      <c r="BF625" t="str">
        <f>HYPERLINK("http://dx.doi.org/10.1108/BJM-01-2015-0015","http://dx.doi.org/10.1108/BJM-01-2015-0015")</f>
        <v>http://dx.doi.org/10.1108/BJM-01-2015-0015</v>
      </c>
      <c r="BG625" t="s">
        <v>74</v>
      </c>
      <c r="BH625" t="s">
        <v>74</v>
      </c>
      <c r="BI625">
        <v>22</v>
      </c>
      <c r="BJ625" t="s">
        <v>442</v>
      </c>
      <c r="BK625" t="s">
        <v>94</v>
      </c>
      <c r="BL625" t="s">
        <v>95</v>
      </c>
      <c r="BM625" t="s">
        <v>10820</v>
      </c>
      <c r="BN625" t="s">
        <v>74</v>
      </c>
      <c r="BO625" t="s">
        <v>74</v>
      </c>
      <c r="BP625" t="s">
        <v>74</v>
      </c>
      <c r="BQ625" t="s">
        <v>74</v>
      </c>
      <c r="BR625" t="s">
        <v>97</v>
      </c>
      <c r="BS625" t="s">
        <v>10834</v>
      </c>
      <c r="BT625" t="str">
        <f>HYPERLINK("https%3A%2F%2Fwww.webofscience.com%2Fwos%2Fwoscc%2Ffull-record%2FWOS:000369414600007","View Full Record in Web of Science")</f>
        <v>View Full Record in Web of Science</v>
      </c>
    </row>
    <row r="626" spans="1:72" x14ac:dyDescent="0.25">
      <c r="A626" t="s">
        <v>72</v>
      </c>
      <c r="B626" t="s">
        <v>10835</v>
      </c>
      <c r="C626" t="s">
        <v>74</v>
      </c>
      <c r="D626" t="s">
        <v>74</v>
      </c>
      <c r="E626" t="s">
        <v>74</v>
      </c>
      <c r="F626" t="s">
        <v>10836</v>
      </c>
      <c r="G626" t="s">
        <v>74</v>
      </c>
      <c r="H626" t="s">
        <v>74</v>
      </c>
      <c r="I626" t="s">
        <v>10837</v>
      </c>
      <c r="J626" t="s">
        <v>10838</v>
      </c>
      <c r="K626" t="s">
        <v>74</v>
      </c>
      <c r="L626" t="s">
        <v>74</v>
      </c>
      <c r="M626" t="s">
        <v>77</v>
      </c>
      <c r="N626" t="s">
        <v>78</v>
      </c>
      <c r="O626" t="s">
        <v>74</v>
      </c>
      <c r="P626" t="s">
        <v>74</v>
      </c>
      <c r="Q626" t="s">
        <v>74</v>
      </c>
      <c r="R626" t="s">
        <v>74</v>
      </c>
      <c r="S626" t="s">
        <v>74</v>
      </c>
      <c r="T626" t="s">
        <v>10839</v>
      </c>
      <c r="U626" t="s">
        <v>74</v>
      </c>
      <c r="V626" t="s">
        <v>10840</v>
      </c>
      <c r="W626" t="s">
        <v>10841</v>
      </c>
      <c r="X626" t="s">
        <v>10842</v>
      </c>
      <c r="Y626" t="s">
        <v>10843</v>
      </c>
      <c r="Z626" t="s">
        <v>10844</v>
      </c>
      <c r="AA626" t="s">
        <v>74</v>
      </c>
      <c r="AB626" t="s">
        <v>10845</v>
      </c>
      <c r="AC626" t="s">
        <v>74</v>
      </c>
      <c r="AD626" t="s">
        <v>74</v>
      </c>
      <c r="AE626" t="s">
        <v>74</v>
      </c>
      <c r="AF626" t="s">
        <v>74</v>
      </c>
      <c r="AG626">
        <v>34</v>
      </c>
      <c r="AH626">
        <v>10</v>
      </c>
      <c r="AI626">
        <v>11</v>
      </c>
      <c r="AJ626">
        <v>1</v>
      </c>
      <c r="AK626">
        <v>30</v>
      </c>
      <c r="AL626" t="s">
        <v>10846</v>
      </c>
      <c r="AM626" t="s">
        <v>330</v>
      </c>
      <c r="AN626" t="s">
        <v>767</v>
      </c>
      <c r="AO626" t="s">
        <v>10847</v>
      </c>
      <c r="AP626" t="s">
        <v>10848</v>
      </c>
      <c r="AQ626" t="s">
        <v>74</v>
      </c>
      <c r="AR626" t="s">
        <v>10849</v>
      </c>
      <c r="AS626" t="s">
        <v>10850</v>
      </c>
      <c r="AT626" t="s">
        <v>91</v>
      </c>
      <c r="AU626">
        <v>2012</v>
      </c>
      <c r="AV626">
        <v>25</v>
      </c>
      <c r="AW626">
        <v>3</v>
      </c>
      <c r="AX626" t="s">
        <v>74</v>
      </c>
      <c r="AY626" t="s">
        <v>74</v>
      </c>
      <c r="AZ626" t="s">
        <v>74</v>
      </c>
      <c r="BA626" t="s">
        <v>74</v>
      </c>
      <c r="BB626">
        <v>261</v>
      </c>
      <c r="BC626">
        <v>272</v>
      </c>
      <c r="BD626" t="s">
        <v>74</v>
      </c>
      <c r="BE626" t="s">
        <v>10851</v>
      </c>
      <c r="BF626" t="str">
        <f>HYPERLINK("http://dx.doi.org/10.1007/s11213-011-9221-9","http://dx.doi.org/10.1007/s11213-011-9221-9")</f>
        <v>http://dx.doi.org/10.1007/s11213-011-9221-9</v>
      </c>
      <c r="BG626" t="s">
        <v>74</v>
      </c>
      <c r="BH626" t="s">
        <v>74</v>
      </c>
      <c r="BI626">
        <v>12</v>
      </c>
      <c r="BJ626" t="s">
        <v>442</v>
      </c>
      <c r="BK626" t="s">
        <v>94</v>
      </c>
      <c r="BL626" t="s">
        <v>95</v>
      </c>
      <c r="BM626" t="s">
        <v>10852</v>
      </c>
      <c r="BN626" t="s">
        <v>74</v>
      </c>
      <c r="BO626" t="s">
        <v>74</v>
      </c>
      <c r="BP626" t="s">
        <v>74</v>
      </c>
      <c r="BQ626" t="s">
        <v>74</v>
      </c>
      <c r="BR626" t="s">
        <v>97</v>
      </c>
      <c r="BS626" t="s">
        <v>10853</v>
      </c>
      <c r="BT626" t="str">
        <f>HYPERLINK("https%3A%2F%2Fwww.webofscience.com%2Fwos%2Fwoscc%2Ffull-record%2FWOS:000304397700004","View Full Record in Web of Science")</f>
        <v>View Full Record in Web of Science</v>
      </c>
    </row>
    <row r="627" spans="1:72" x14ac:dyDescent="0.25">
      <c r="A627" t="s">
        <v>72</v>
      </c>
      <c r="B627" t="s">
        <v>10854</v>
      </c>
      <c r="C627" t="s">
        <v>74</v>
      </c>
      <c r="D627" t="s">
        <v>74</v>
      </c>
      <c r="E627" t="s">
        <v>74</v>
      </c>
      <c r="F627" t="s">
        <v>10855</v>
      </c>
      <c r="G627" t="s">
        <v>74</v>
      </c>
      <c r="H627" t="s">
        <v>74</v>
      </c>
      <c r="I627" t="s">
        <v>10856</v>
      </c>
      <c r="J627" t="s">
        <v>9190</v>
      </c>
      <c r="K627" t="s">
        <v>74</v>
      </c>
      <c r="L627" t="s">
        <v>74</v>
      </c>
      <c r="M627" t="s">
        <v>77</v>
      </c>
      <c r="N627" t="s">
        <v>78</v>
      </c>
      <c r="O627" t="s">
        <v>74</v>
      </c>
      <c r="P627" t="s">
        <v>74</v>
      </c>
      <c r="Q627" t="s">
        <v>74</v>
      </c>
      <c r="R627" t="s">
        <v>74</v>
      </c>
      <c r="S627" t="s">
        <v>74</v>
      </c>
      <c r="T627" t="s">
        <v>10857</v>
      </c>
      <c r="U627" t="s">
        <v>10858</v>
      </c>
      <c r="V627" t="s">
        <v>10859</v>
      </c>
      <c r="W627" t="s">
        <v>10860</v>
      </c>
      <c r="X627" t="s">
        <v>10861</v>
      </c>
      <c r="Y627" t="s">
        <v>10862</v>
      </c>
      <c r="Z627" t="s">
        <v>10863</v>
      </c>
      <c r="AA627" t="s">
        <v>74</v>
      </c>
      <c r="AB627" t="s">
        <v>10864</v>
      </c>
      <c r="AC627" t="s">
        <v>10865</v>
      </c>
      <c r="AD627" t="s">
        <v>10866</v>
      </c>
      <c r="AE627" t="s">
        <v>10867</v>
      </c>
      <c r="AF627" t="s">
        <v>74</v>
      </c>
      <c r="AG627">
        <v>30</v>
      </c>
      <c r="AH627">
        <v>10</v>
      </c>
      <c r="AI627">
        <v>10</v>
      </c>
      <c r="AJ627">
        <v>0</v>
      </c>
      <c r="AK627">
        <v>30</v>
      </c>
      <c r="AL627" t="s">
        <v>766</v>
      </c>
      <c r="AM627" t="s">
        <v>1193</v>
      </c>
      <c r="AN627" t="s">
        <v>1498</v>
      </c>
      <c r="AO627" t="s">
        <v>9197</v>
      </c>
      <c r="AP627" t="s">
        <v>10868</v>
      </c>
      <c r="AQ627" t="s">
        <v>74</v>
      </c>
      <c r="AR627" t="s">
        <v>9190</v>
      </c>
      <c r="AS627" t="s">
        <v>9198</v>
      </c>
      <c r="AT627" t="s">
        <v>892</v>
      </c>
      <c r="AU627">
        <v>2011</v>
      </c>
      <c r="AV627">
        <v>86</v>
      </c>
      <c r="AW627">
        <v>1</v>
      </c>
      <c r="AX627" t="s">
        <v>74</v>
      </c>
      <c r="AY627" t="s">
        <v>74</v>
      </c>
      <c r="AZ627" t="s">
        <v>74</v>
      </c>
      <c r="BA627" t="s">
        <v>74</v>
      </c>
      <c r="BB627">
        <v>65</v>
      </c>
      <c r="BC627">
        <v>76</v>
      </c>
      <c r="BD627" t="s">
        <v>74</v>
      </c>
      <c r="BE627" t="s">
        <v>10869</v>
      </c>
      <c r="BF627" t="str">
        <f>HYPERLINK("http://dx.doi.org/10.1007/s11192-010-0247-z","http://dx.doi.org/10.1007/s11192-010-0247-z")</f>
        <v>http://dx.doi.org/10.1007/s11192-010-0247-z</v>
      </c>
      <c r="BG627" t="s">
        <v>74</v>
      </c>
      <c r="BH627" t="s">
        <v>74</v>
      </c>
      <c r="BI627">
        <v>12</v>
      </c>
      <c r="BJ627" t="s">
        <v>9200</v>
      </c>
      <c r="BK627" t="s">
        <v>147</v>
      </c>
      <c r="BL627" t="s">
        <v>9201</v>
      </c>
      <c r="BM627" t="s">
        <v>10870</v>
      </c>
      <c r="BN627" t="s">
        <v>74</v>
      </c>
      <c r="BO627" t="s">
        <v>111</v>
      </c>
      <c r="BP627" t="s">
        <v>74</v>
      </c>
      <c r="BQ627" t="s">
        <v>74</v>
      </c>
      <c r="BR627" t="s">
        <v>97</v>
      </c>
      <c r="BS627" t="s">
        <v>10871</v>
      </c>
      <c r="BT627" t="str">
        <f>HYPERLINK("https%3A%2F%2Fwww.webofscience.com%2Fwos%2Fwoscc%2Ffull-record%2FWOS:000284888600005","View Full Record in Web of Science")</f>
        <v>View Full Record in Web of Science</v>
      </c>
    </row>
    <row r="628" spans="1:72" x14ac:dyDescent="0.25">
      <c r="A628" t="s">
        <v>72</v>
      </c>
      <c r="B628" t="s">
        <v>10872</v>
      </c>
      <c r="C628" t="s">
        <v>74</v>
      </c>
      <c r="D628" t="s">
        <v>74</v>
      </c>
      <c r="E628" t="s">
        <v>74</v>
      </c>
      <c r="F628" t="s">
        <v>10872</v>
      </c>
      <c r="G628" t="s">
        <v>74</v>
      </c>
      <c r="H628" t="s">
        <v>74</v>
      </c>
      <c r="I628" t="s">
        <v>10873</v>
      </c>
      <c r="J628" t="s">
        <v>10874</v>
      </c>
      <c r="K628" t="s">
        <v>74</v>
      </c>
      <c r="L628" t="s">
        <v>74</v>
      </c>
      <c r="M628" t="s">
        <v>77</v>
      </c>
      <c r="N628" t="s">
        <v>78</v>
      </c>
      <c r="O628" t="s">
        <v>74</v>
      </c>
      <c r="P628" t="s">
        <v>74</v>
      </c>
      <c r="Q628" t="s">
        <v>74</v>
      </c>
      <c r="R628" t="s">
        <v>74</v>
      </c>
      <c r="S628" t="s">
        <v>74</v>
      </c>
      <c r="T628" t="s">
        <v>10875</v>
      </c>
      <c r="U628" t="s">
        <v>10876</v>
      </c>
      <c r="V628" t="s">
        <v>10877</v>
      </c>
      <c r="W628" t="s">
        <v>10878</v>
      </c>
      <c r="X628" t="s">
        <v>10879</v>
      </c>
      <c r="Y628" t="s">
        <v>10880</v>
      </c>
      <c r="Z628" t="s">
        <v>10881</v>
      </c>
      <c r="AA628" t="s">
        <v>74</v>
      </c>
      <c r="AB628" t="s">
        <v>74</v>
      </c>
      <c r="AC628" t="s">
        <v>74</v>
      </c>
      <c r="AD628" t="s">
        <v>74</v>
      </c>
      <c r="AE628" t="s">
        <v>74</v>
      </c>
      <c r="AF628" t="s">
        <v>74</v>
      </c>
      <c r="AG628">
        <v>67</v>
      </c>
      <c r="AH628">
        <v>10</v>
      </c>
      <c r="AI628">
        <v>10</v>
      </c>
      <c r="AJ628">
        <v>1</v>
      </c>
      <c r="AK628">
        <v>10</v>
      </c>
      <c r="AL628" t="s">
        <v>766</v>
      </c>
      <c r="AM628" t="s">
        <v>1193</v>
      </c>
      <c r="AN628" t="s">
        <v>1498</v>
      </c>
      <c r="AO628" t="s">
        <v>10882</v>
      </c>
      <c r="AP628" t="s">
        <v>10883</v>
      </c>
      <c r="AQ628" t="s">
        <v>74</v>
      </c>
      <c r="AR628" t="s">
        <v>10884</v>
      </c>
      <c r="AS628" t="s">
        <v>10885</v>
      </c>
      <c r="AT628" t="s">
        <v>256</v>
      </c>
      <c r="AU628">
        <v>2000</v>
      </c>
      <c r="AV628">
        <v>19</v>
      </c>
      <c r="AW628">
        <v>5</v>
      </c>
      <c r="AX628" t="s">
        <v>74</v>
      </c>
      <c r="AY628" t="s">
        <v>74</v>
      </c>
      <c r="AZ628" t="s">
        <v>74</v>
      </c>
      <c r="BA628" t="s">
        <v>74</v>
      </c>
      <c r="BB628">
        <v>421</v>
      </c>
      <c r="BC628">
        <v>457</v>
      </c>
      <c r="BD628" t="s">
        <v>74</v>
      </c>
      <c r="BE628" t="s">
        <v>10886</v>
      </c>
      <c r="BF628" t="str">
        <f>HYPERLINK("http://dx.doi.org/10.1023/A:1010676303313","http://dx.doi.org/10.1023/A:1010676303313")</f>
        <v>http://dx.doi.org/10.1023/A:1010676303313</v>
      </c>
      <c r="BG628" t="s">
        <v>74</v>
      </c>
      <c r="BH628" t="s">
        <v>74</v>
      </c>
      <c r="BI628">
        <v>37</v>
      </c>
      <c r="BJ628" t="s">
        <v>5146</v>
      </c>
      <c r="BK628" t="s">
        <v>94</v>
      </c>
      <c r="BL628" t="s">
        <v>5146</v>
      </c>
      <c r="BM628" t="s">
        <v>10887</v>
      </c>
      <c r="BN628" t="s">
        <v>74</v>
      </c>
      <c r="BO628" t="s">
        <v>74</v>
      </c>
      <c r="BP628" t="s">
        <v>74</v>
      </c>
      <c r="BQ628" t="s">
        <v>74</v>
      </c>
      <c r="BR628" t="s">
        <v>97</v>
      </c>
      <c r="BS628" t="s">
        <v>10888</v>
      </c>
      <c r="BT628" t="str">
        <f>HYPERLINK("https%3A%2F%2Fwww.webofscience.com%2Fwos%2Fwoscc%2Ffull-record%2FWOS:000168522900002","View Full Record in Web of Science")</f>
        <v>View Full Record in Web of Science</v>
      </c>
    </row>
    <row r="629" spans="1:72" x14ac:dyDescent="0.25">
      <c r="A629" t="s">
        <v>72</v>
      </c>
      <c r="B629" t="s">
        <v>10889</v>
      </c>
      <c r="C629" t="s">
        <v>74</v>
      </c>
      <c r="D629" t="s">
        <v>74</v>
      </c>
      <c r="E629" t="s">
        <v>74</v>
      </c>
      <c r="F629" t="s">
        <v>10889</v>
      </c>
      <c r="G629" t="s">
        <v>74</v>
      </c>
      <c r="H629" t="s">
        <v>74</v>
      </c>
      <c r="I629" t="s">
        <v>10890</v>
      </c>
      <c r="J629" t="s">
        <v>2094</v>
      </c>
      <c r="K629" t="s">
        <v>74</v>
      </c>
      <c r="L629" t="s">
        <v>74</v>
      </c>
      <c r="M629" t="s">
        <v>77</v>
      </c>
      <c r="N629" t="s">
        <v>78</v>
      </c>
      <c r="O629" t="s">
        <v>74</v>
      </c>
      <c r="P629" t="s">
        <v>74</v>
      </c>
      <c r="Q629" t="s">
        <v>74</v>
      </c>
      <c r="R629" t="s">
        <v>74</v>
      </c>
      <c r="S629" t="s">
        <v>74</v>
      </c>
      <c r="T629" t="s">
        <v>10891</v>
      </c>
      <c r="U629" t="s">
        <v>10892</v>
      </c>
      <c r="V629" t="s">
        <v>74</v>
      </c>
      <c r="W629" t="s">
        <v>10893</v>
      </c>
      <c r="X629" t="s">
        <v>74</v>
      </c>
      <c r="Y629" t="s">
        <v>10894</v>
      </c>
      <c r="Z629" t="s">
        <v>74</v>
      </c>
      <c r="AA629" t="s">
        <v>10895</v>
      </c>
      <c r="AB629" t="s">
        <v>10896</v>
      </c>
      <c r="AC629" t="s">
        <v>74</v>
      </c>
      <c r="AD629" t="s">
        <v>74</v>
      </c>
      <c r="AE629" t="s">
        <v>74</v>
      </c>
      <c r="AF629" t="s">
        <v>74</v>
      </c>
      <c r="AG629">
        <v>13</v>
      </c>
      <c r="AH629">
        <v>10</v>
      </c>
      <c r="AI629">
        <v>10</v>
      </c>
      <c r="AJ629">
        <v>1</v>
      </c>
      <c r="AK629">
        <v>4</v>
      </c>
      <c r="AL629" t="s">
        <v>2101</v>
      </c>
      <c r="AM629" t="s">
        <v>2102</v>
      </c>
      <c r="AN629" t="s">
        <v>2103</v>
      </c>
      <c r="AO629" t="s">
        <v>2104</v>
      </c>
      <c r="AP629" t="s">
        <v>74</v>
      </c>
      <c r="AQ629" t="s">
        <v>74</v>
      </c>
      <c r="AR629" t="s">
        <v>2105</v>
      </c>
      <c r="AS629" t="s">
        <v>2106</v>
      </c>
      <c r="AT629" t="s">
        <v>4815</v>
      </c>
      <c r="AU629">
        <v>2000</v>
      </c>
      <c r="AV629">
        <v>71</v>
      </c>
      <c r="AW629">
        <v>5</v>
      </c>
      <c r="AX629" t="s">
        <v>74</v>
      </c>
      <c r="AY629" t="s">
        <v>74</v>
      </c>
      <c r="AZ629" t="s">
        <v>74</v>
      </c>
      <c r="BA629" t="s">
        <v>74</v>
      </c>
      <c r="BB629">
        <v>350</v>
      </c>
      <c r="BC629">
        <v>352</v>
      </c>
      <c r="BD629" t="s">
        <v>74</v>
      </c>
      <c r="BE629" t="s">
        <v>10897</v>
      </c>
      <c r="BF629" t="str">
        <f>HYPERLINK("http://dx.doi.org/10.1159/000021759","http://dx.doi.org/10.1159/000021759")</f>
        <v>http://dx.doi.org/10.1159/000021759</v>
      </c>
      <c r="BG629" t="s">
        <v>74</v>
      </c>
      <c r="BH629" t="s">
        <v>74</v>
      </c>
      <c r="BI629">
        <v>3</v>
      </c>
      <c r="BJ629" t="s">
        <v>2108</v>
      </c>
      <c r="BK629" t="s">
        <v>283</v>
      </c>
      <c r="BL629" t="s">
        <v>2108</v>
      </c>
      <c r="BM629" t="s">
        <v>10898</v>
      </c>
      <c r="BN629">
        <v>11093040</v>
      </c>
      <c r="BO629" t="s">
        <v>74</v>
      </c>
      <c r="BP629" t="s">
        <v>74</v>
      </c>
      <c r="BQ629" t="s">
        <v>74</v>
      </c>
      <c r="BR629" t="s">
        <v>97</v>
      </c>
      <c r="BS629" t="s">
        <v>10899</v>
      </c>
      <c r="BT629" t="str">
        <f>HYPERLINK("https%3A%2F%2Fwww.webofscience.com%2Fwos%2Fwoscc%2Ffull-record%2FWOS:000165597600006","View Full Record in Web of Science")</f>
        <v>View Full Record in Web of Science</v>
      </c>
    </row>
    <row r="630" spans="1:72" x14ac:dyDescent="0.25">
      <c r="A630" t="s">
        <v>72</v>
      </c>
      <c r="B630" t="s">
        <v>10900</v>
      </c>
      <c r="C630" t="s">
        <v>74</v>
      </c>
      <c r="D630" t="s">
        <v>74</v>
      </c>
      <c r="E630" t="s">
        <v>74</v>
      </c>
      <c r="F630" t="s">
        <v>10900</v>
      </c>
      <c r="G630" t="s">
        <v>74</v>
      </c>
      <c r="H630" t="s">
        <v>74</v>
      </c>
      <c r="I630" t="s">
        <v>10901</v>
      </c>
      <c r="J630" t="s">
        <v>5135</v>
      </c>
      <c r="K630" t="s">
        <v>74</v>
      </c>
      <c r="L630" t="s">
        <v>74</v>
      </c>
      <c r="M630" t="s">
        <v>77</v>
      </c>
      <c r="N630" t="s">
        <v>78</v>
      </c>
      <c r="O630" t="s">
        <v>74</v>
      </c>
      <c r="P630" t="s">
        <v>74</v>
      </c>
      <c r="Q630" t="s">
        <v>74</v>
      </c>
      <c r="R630" t="s">
        <v>74</v>
      </c>
      <c r="S630" t="s">
        <v>74</v>
      </c>
      <c r="T630" t="s">
        <v>74</v>
      </c>
      <c r="U630" t="s">
        <v>10902</v>
      </c>
      <c r="V630" t="s">
        <v>10903</v>
      </c>
      <c r="W630" t="s">
        <v>74</v>
      </c>
      <c r="X630" t="s">
        <v>74</v>
      </c>
      <c r="Y630" t="s">
        <v>10904</v>
      </c>
      <c r="Z630" t="s">
        <v>74</v>
      </c>
      <c r="AA630" t="s">
        <v>5139</v>
      </c>
      <c r="AB630" t="s">
        <v>5140</v>
      </c>
      <c r="AC630" t="s">
        <v>74</v>
      </c>
      <c r="AD630" t="s">
        <v>74</v>
      </c>
      <c r="AE630" t="s">
        <v>74</v>
      </c>
      <c r="AF630" t="s">
        <v>74</v>
      </c>
      <c r="AG630">
        <v>43</v>
      </c>
      <c r="AH630">
        <v>10</v>
      </c>
      <c r="AI630">
        <v>10</v>
      </c>
      <c r="AJ630">
        <v>1</v>
      </c>
      <c r="AK630">
        <v>1</v>
      </c>
      <c r="AL630" t="s">
        <v>10905</v>
      </c>
      <c r="AM630" t="s">
        <v>541</v>
      </c>
      <c r="AN630" t="s">
        <v>10906</v>
      </c>
      <c r="AO630" t="s">
        <v>5141</v>
      </c>
      <c r="AP630" t="s">
        <v>74</v>
      </c>
      <c r="AQ630" t="s">
        <v>74</v>
      </c>
      <c r="AR630" t="s">
        <v>5143</v>
      </c>
      <c r="AS630" t="s">
        <v>5144</v>
      </c>
      <c r="AT630" t="s">
        <v>584</v>
      </c>
      <c r="AU630">
        <v>1997</v>
      </c>
      <c r="AV630">
        <v>51</v>
      </c>
      <c r="AW630">
        <v>3</v>
      </c>
      <c r="AX630" t="s">
        <v>74</v>
      </c>
      <c r="AY630" t="s">
        <v>74</v>
      </c>
      <c r="AZ630" t="s">
        <v>74</v>
      </c>
      <c r="BA630" t="s">
        <v>74</v>
      </c>
      <c r="BB630">
        <v>317</v>
      </c>
      <c r="BC630" t="s">
        <v>1345</v>
      </c>
      <c r="BD630" t="s">
        <v>74</v>
      </c>
      <c r="BE630" t="s">
        <v>10907</v>
      </c>
      <c r="BF630" t="str">
        <f>HYPERLINK("http://dx.doi.org/10.1080/0032472031000150086","http://dx.doi.org/10.1080/0032472031000150086")</f>
        <v>http://dx.doi.org/10.1080/0032472031000150086</v>
      </c>
      <c r="BG630" t="s">
        <v>74</v>
      </c>
      <c r="BH630" t="s">
        <v>74</v>
      </c>
      <c r="BI630">
        <v>20</v>
      </c>
      <c r="BJ630" t="s">
        <v>5146</v>
      </c>
      <c r="BK630" t="s">
        <v>94</v>
      </c>
      <c r="BL630" t="s">
        <v>5146</v>
      </c>
      <c r="BM630" t="s">
        <v>10908</v>
      </c>
      <c r="BN630" t="s">
        <v>74</v>
      </c>
      <c r="BO630" t="s">
        <v>74</v>
      </c>
      <c r="BP630" t="s">
        <v>74</v>
      </c>
      <c r="BQ630" t="s">
        <v>74</v>
      </c>
      <c r="BR630" t="s">
        <v>97</v>
      </c>
      <c r="BS630" t="s">
        <v>10909</v>
      </c>
      <c r="BT630" t="str">
        <f>HYPERLINK("https%3A%2F%2Fwww.webofscience.com%2Fwos%2Fwoscc%2Ffull-record%2FWOS:A1997YH20500006","View Full Record in Web of Science")</f>
        <v>View Full Record in Web of Science</v>
      </c>
    </row>
    <row r="631" spans="1:72" x14ac:dyDescent="0.25">
      <c r="A631" t="s">
        <v>72</v>
      </c>
      <c r="B631" t="s">
        <v>10910</v>
      </c>
      <c r="C631" t="s">
        <v>74</v>
      </c>
      <c r="D631" t="s">
        <v>74</v>
      </c>
      <c r="E631" t="s">
        <v>74</v>
      </c>
      <c r="F631" t="s">
        <v>10911</v>
      </c>
      <c r="G631" t="s">
        <v>74</v>
      </c>
      <c r="H631" t="s">
        <v>74</v>
      </c>
      <c r="I631" t="s">
        <v>10912</v>
      </c>
      <c r="J631" t="s">
        <v>4325</v>
      </c>
      <c r="K631" t="s">
        <v>74</v>
      </c>
      <c r="L631" t="s">
        <v>74</v>
      </c>
      <c r="M631" t="s">
        <v>77</v>
      </c>
      <c r="N631" t="s">
        <v>78</v>
      </c>
      <c r="O631" t="s">
        <v>74</v>
      </c>
      <c r="P631" t="s">
        <v>74</v>
      </c>
      <c r="Q631" t="s">
        <v>74</v>
      </c>
      <c r="R631" t="s">
        <v>74</v>
      </c>
      <c r="S631" t="s">
        <v>74</v>
      </c>
      <c r="T631" t="s">
        <v>10913</v>
      </c>
      <c r="U631" t="s">
        <v>10914</v>
      </c>
      <c r="V631" t="s">
        <v>10915</v>
      </c>
      <c r="W631" t="s">
        <v>10916</v>
      </c>
      <c r="X631" t="s">
        <v>1891</v>
      </c>
      <c r="Y631" t="s">
        <v>10917</v>
      </c>
      <c r="Z631" t="s">
        <v>10918</v>
      </c>
      <c r="AA631" t="s">
        <v>10919</v>
      </c>
      <c r="AB631" t="s">
        <v>10920</v>
      </c>
      <c r="AC631" t="s">
        <v>74</v>
      </c>
      <c r="AD631" t="s">
        <v>74</v>
      </c>
      <c r="AE631" t="s">
        <v>74</v>
      </c>
      <c r="AF631" t="s">
        <v>74</v>
      </c>
      <c r="AG631">
        <v>99</v>
      </c>
      <c r="AH631">
        <v>9</v>
      </c>
      <c r="AI631">
        <v>9</v>
      </c>
      <c r="AJ631">
        <v>21</v>
      </c>
      <c r="AK631">
        <v>53</v>
      </c>
      <c r="AL631" t="s">
        <v>218</v>
      </c>
      <c r="AM631" t="s">
        <v>219</v>
      </c>
      <c r="AN631" t="s">
        <v>220</v>
      </c>
      <c r="AO631" t="s">
        <v>4332</v>
      </c>
      <c r="AP631" t="s">
        <v>4333</v>
      </c>
      <c r="AQ631" t="s">
        <v>74</v>
      </c>
      <c r="AR631" t="s">
        <v>4334</v>
      </c>
      <c r="AS631" t="s">
        <v>4335</v>
      </c>
      <c r="AT631" t="s">
        <v>375</v>
      </c>
      <c r="AU631">
        <v>2021</v>
      </c>
      <c r="AV631">
        <v>30</v>
      </c>
      <c r="AW631">
        <v>4</v>
      </c>
      <c r="AX631" t="s">
        <v>74</v>
      </c>
      <c r="AY631" t="s">
        <v>74</v>
      </c>
      <c r="AZ631" t="s">
        <v>74</v>
      </c>
      <c r="BA631" t="s">
        <v>74</v>
      </c>
      <c r="BB631">
        <v>697</v>
      </c>
      <c r="BC631">
        <v>712</v>
      </c>
      <c r="BD631" t="s">
        <v>74</v>
      </c>
      <c r="BE631" t="s">
        <v>10921</v>
      </c>
      <c r="BF631" t="str">
        <f>HYPERLINK("http://dx.doi.org/10.1111/caim.12462","http://dx.doi.org/10.1111/caim.12462")</f>
        <v>http://dx.doi.org/10.1111/caim.12462</v>
      </c>
      <c r="BG631" t="s">
        <v>74</v>
      </c>
      <c r="BH631" t="s">
        <v>74</v>
      </c>
      <c r="BI631">
        <v>16</v>
      </c>
      <c r="BJ631" t="s">
        <v>442</v>
      </c>
      <c r="BK631" t="s">
        <v>94</v>
      </c>
      <c r="BL631" t="s">
        <v>95</v>
      </c>
      <c r="BM631" t="s">
        <v>10922</v>
      </c>
      <c r="BN631" t="s">
        <v>74</v>
      </c>
      <c r="BO631" t="s">
        <v>4225</v>
      </c>
      <c r="BP631" t="s">
        <v>74</v>
      </c>
      <c r="BQ631" t="s">
        <v>74</v>
      </c>
      <c r="BR631" t="s">
        <v>97</v>
      </c>
      <c r="BS631" t="s">
        <v>10923</v>
      </c>
      <c r="BT631" t="str">
        <f>HYPERLINK("https%3A%2F%2Fwww.webofscience.com%2Fwos%2Fwoscc%2Ffull-record%2FWOS:000720373500004","View Full Record in Web of Science")</f>
        <v>View Full Record in Web of Science</v>
      </c>
    </row>
    <row r="632" spans="1:72" x14ac:dyDescent="0.25">
      <c r="A632" t="s">
        <v>72</v>
      </c>
      <c r="B632" t="s">
        <v>10924</v>
      </c>
      <c r="C632" t="s">
        <v>74</v>
      </c>
      <c r="D632" t="s">
        <v>74</v>
      </c>
      <c r="E632" t="s">
        <v>74</v>
      </c>
      <c r="F632" t="s">
        <v>10925</v>
      </c>
      <c r="G632" t="s">
        <v>74</v>
      </c>
      <c r="H632" t="s">
        <v>74</v>
      </c>
      <c r="I632" t="s">
        <v>10926</v>
      </c>
      <c r="J632" t="s">
        <v>657</v>
      </c>
      <c r="K632" t="s">
        <v>74</v>
      </c>
      <c r="L632" t="s">
        <v>74</v>
      </c>
      <c r="M632" t="s">
        <v>77</v>
      </c>
      <c r="N632" t="s">
        <v>78</v>
      </c>
      <c r="O632" t="s">
        <v>74</v>
      </c>
      <c r="P632" t="s">
        <v>74</v>
      </c>
      <c r="Q632" t="s">
        <v>74</v>
      </c>
      <c r="R632" t="s">
        <v>74</v>
      </c>
      <c r="S632" t="s">
        <v>74</v>
      </c>
      <c r="T632" t="s">
        <v>10927</v>
      </c>
      <c r="U632" t="s">
        <v>10928</v>
      </c>
      <c r="V632" t="s">
        <v>10929</v>
      </c>
      <c r="W632" t="s">
        <v>10930</v>
      </c>
      <c r="X632" t="s">
        <v>10931</v>
      </c>
      <c r="Y632" t="s">
        <v>10932</v>
      </c>
      <c r="Z632" t="s">
        <v>10933</v>
      </c>
      <c r="AA632" t="s">
        <v>10934</v>
      </c>
      <c r="AB632" t="s">
        <v>10935</v>
      </c>
      <c r="AC632" t="s">
        <v>10936</v>
      </c>
      <c r="AD632" t="s">
        <v>10937</v>
      </c>
      <c r="AE632" t="s">
        <v>10938</v>
      </c>
      <c r="AF632" t="s">
        <v>74</v>
      </c>
      <c r="AG632">
        <v>68</v>
      </c>
      <c r="AH632">
        <v>9</v>
      </c>
      <c r="AI632">
        <v>9</v>
      </c>
      <c r="AJ632">
        <v>82</v>
      </c>
      <c r="AK632">
        <v>246</v>
      </c>
      <c r="AL632" t="s">
        <v>665</v>
      </c>
      <c r="AM632" t="s">
        <v>666</v>
      </c>
      <c r="AN632" t="s">
        <v>667</v>
      </c>
      <c r="AO632" t="s">
        <v>668</v>
      </c>
      <c r="AP632" t="s">
        <v>669</v>
      </c>
      <c r="AQ632" t="s">
        <v>74</v>
      </c>
      <c r="AR632" t="s">
        <v>670</v>
      </c>
      <c r="AS632" t="s">
        <v>671</v>
      </c>
      <c r="AT632" t="s">
        <v>10939</v>
      </c>
      <c r="AU632">
        <v>2022</v>
      </c>
      <c r="AV632">
        <v>43</v>
      </c>
      <c r="AW632">
        <v>2</v>
      </c>
      <c r="AX632" t="s">
        <v>74</v>
      </c>
      <c r="AY632" t="s">
        <v>74</v>
      </c>
      <c r="AZ632" t="s">
        <v>860</v>
      </c>
      <c r="BA632" t="s">
        <v>74</v>
      </c>
      <c r="BB632">
        <v>395</v>
      </c>
      <c r="BC632">
        <v>410</v>
      </c>
      <c r="BD632" t="s">
        <v>74</v>
      </c>
      <c r="BE632" t="s">
        <v>10940</v>
      </c>
      <c r="BF632" t="str">
        <f>HYPERLINK("http://dx.doi.org/10.1108/IJM-03-2021-0176","http://dx.doi.org/10.1108/IJM-03-2021-0176")</f>
        <v>http://dx.doi.org/10.1108/IJM-03-2021-0176</v>
      </c>
      <c r="BG632" t="s">
        <v>74</v>
      </c>
      <c r="BH632" t="s">
        <v>7655</v>
      </c>
      <c r="BI632">
        <v>16</v>
      </c>
      <c r="BJ632" t="s">
        <v>673</v>
      </c>
      <c r="BK632" t="s">
        <v>94</v>
      </c>
      <c r="BL632" t="s">
        <v>95</v>
      </c>
      <c r="BM632" t="s">
        <v>10941</v>
      </c>
      <c r="BN632" t="s">
        <v>74</v>
      </c>
      <c r="BO632" t="s">
        <v>74</v>
      </c>
      <c r="BP632" t="s">
        <v>74</v>
      </c>
      <c r="BQ632" t="s">
        <v>74</v>
      </c>
      <c r="BR632" t="s">
        <v>97</v>
      </c>
      <c r="BS632" t="s">
        <v>10942</v>
      </c>
      <c r="BT632" t="str">
        <f>HYPERLINK("https%3A%2F%2Fwww.webofscience.com%2Fwos%2Fwoscc%2Ffull-record%2FWOS:000712485600001","View Full Record in Web of Science")</f>
        <v>View Full Record in Web of Science</v>
      </c>
    </row>
    <row r="633" spans="1:72" x14ac:dyDescent="0.25">
      <c r="A633" t="s">
        <v>72</v>
      </c>
      <c r="B633" t="s">
        <v>10943</v>
      </c>
      <c r="C633" t="s">
        <v>74</v>
      </c>
      <c r="D633" t="s">
        <v>74</v>
      </c>
      <c r="E633" t="s">
        <v>74</v>
      </c>
      <c r="F633" t="s">
        <v>10944</v>
      </c>
      <c r="G633" t="s">
        <v>74</v>
      </c>
      <c r="H633" t="s">
        <v>74</v>
      </c>
      <c r="I633" t="s">
        <v>10945</v>
      </c>
      <c r="J633" t="s">
        <v>2463</v>
      </c>
      <c r="K633" t="s">
        <v>74</v>
      </c>
      <c r="L633" t="s">
        <v>74</v>
      </c>
      <c r="M633" t="s">
        <v>77</v>
      </c>
      <c r="N633" t="s">
        <v>78</v>
      </c>
      <c r="O633" t="s">
        <v>74</v>
      </c>
      <c r="P633" t="s">
        <v>74</v>
      </c>
      <c r="Q633" t="s">
        <v>74</v>
      </c>
      <c r="R633" t="s">
        <v>74</v>
      </c>
      <c r="S633" t="s">
        <v>74</v>
      </c>
      <c r="T633" t="s">
        <v>10946</v>
      </c>
      <c r="U633" t="s">
        <v>10947</v>
      </c>
      <c r="V633" t="s">
        <v>10948</v>
      </c>
      <c r="W633" t="s">
        <v>10949</v>
      </c>
      <c r="X633" t="s">
        <v>10950</v>
      </c>
      <c r="Y633" t="s">
        <v>10951</v>
      </c>
      <c r="Z633" t="s">
        <v>10952</v>
      </c>
      <c r="AA633" t="s">
        <v>10953</v>
      </c>
      <c r="AB633" t="s">
        <v>10954</v>
      </c>
      <c r="AC633" t="s">
        <v>10955</v>
      </c>
      <c r="AD633" t="s">
        <v>10956</v>
      </c>
      <c r="AE633" t="s">
        <v>10957</v>
      </c>
      <c r="AF633" t="s">
        <v>74</v>
      </c>
      <c r="AG633">
        <v>121</v>
      </c>
      <c r="AH633">
        <v>9</v>
      </c>
      <c r="AI633">
        <v>9</v>
      </c>
      <c r="AJ633">
        <v>11</v>
      </c>
      <c r="AK633">
        <v>26</v>
      </c>
      <c r="AL633" t="s">
        <v>2473</v>
      </c>
      <c r="AM633" t="s">
        <v>2102</v>
      </c>
      <c r="AN633" t="s">
        <v>2474</v>
      </c>
      <c r="AO633" t="s">
        <v>74</v>
      </c>
      <c r="AP633" t="s">
        <v>2475</v>
      </c>
      <c r="AQ633" t="s">
        <v>74</v>
      </c>
      <c r="AR633" t="s">
        <v>2476</v>
      </c>
      <c r="AS633" t="s">
        <v>2477</v>
      </c>
      <c r="AT633" t="s">
        <v>256</v>
      </c>
      <c r="AU633">
        <v>2021</v>
      </c>
      <c r="AV633">
        <v>13</v>
      </c>
      <c r="AW633">
        <v>19</v>
      </c>
      <c r="AX633" t="s">
        <v>74</v>
      </c>
      <c r="AY633" t="s">
        <v>74</v>
      </c>
      <c r="AZ633" t="s">
        <v>74</v>
      </c>
      <c r="BA633" t="s">
        <v>74</v>
      </c>
      <c r="BB633" t="s">
        <v>74</v>
      </c>
      <c r="BC633" t="s">
        <v>74</v>
      </c>
      <c r="BD633">
        <v>11050</v>
      </c>
      <c r="BE633" t="s">
        <v>10958</v>
      </c>
      <c r="BF633" t="str">
        <f>HYPERLINK("http://dx.doi.org/10.3390/su131911050","http://dx.doi.org/10.3390/su131911050")</f>
        <v>http://dx.doi.org/10.3390/su131911050</v>
      </c>
      <c r="BG633" t="s">
        <v>74</v>
      </c>
      <c r="BH633" t="s">
        <v>74</v>
      </c>
      <c r="BI633">
        <v>19</v>
      </c>
      <c r="BJ633" t="s">
        <v>2479</v>
      </c>
      <c r="BK633" t="s">
        <v>147</v>
      </c>
      <c r="BL633" t="s">
        <v>2480</v>
      </c>
      <c r="BM633" t="s">
        <v>10959</v>
      </c>
      <c r="BN633" t="s">
        <v>74</v>
      </c>
      <c r="BO633" t="s">
        <v>2482</v>
      </c>
      <c r="BP633" t="s">
        <v>74</v>
      </c>
      <c r="BQ633" t="s">
        <v>74</v>
      </c>
      <c r="BR633" t="s">
        <v>97</v>
      </c>
      <c r="BS633" t="s">
        <v>10960</v>
      </c>
      <c r="BT633" t="str">
        <f>HYPERLINK("https%3A%2F%2Fwww.webofscience.com%2Fwos%2Fwoscc%2Ffull-record%2FWOS:000709547300001","View Full Record in Web of Science")</f>
        <v>View Full Record in Web of Science</v>
      </c>
    </row>
    <row r="634" spans="1:72" x14ac:dyDescent="0.25">
      <c r="A634" t="s">
        <v>72</v>
      </c>
      <c r="B634" t="s">
        <v>10961</v>
      </c>
      <c r="C634" t="s">
        <v>74</v>
      </c>
      <c r="D634" t="s">
        <v>74</v>
      </c>
      <c r="E634" t="s">
        <v>74</v>
      </c>
      <c r="F634" t="s">
        <v>10962</v>
      </c>
      <c r="G634" t="s">
        <v>74</v>
      </c>
      <c r="H634" t="s">
        <v>74</v>
      </c>
      <c r="I634" t="s">
        <v>10963</v>
      </c>
      <c r="J634" t="s">
        <v>3184</v>
      </c>
      <c r="K634" t="s">
        <v>74</v>
      </c>
      <c r="L634" t="s">
        <v>74</v>
      </c>
      <c r="M634" t="s">
        <v>77</v>
      </c>
      <c r="N634" t="s">
        <v>78</v>
      </c>
      <c r="O634" t="s">
        <v>74</v>
      </c>
      <c r="P634" t="s">
        <v>74</v>
      </c>
      <c r="Q634" t="s">
        <v>74</v>
      </c>
      <c r="R634" t="s">
        <v>74</v>
      </c>
      <c r="S634" t="s">
        <v>74</v>
      </c>
      <c r="T634" t="s">
        <v>10964</v>
      </c>
      <c r="U634" t="s">
        <v>10965</v>
      </c>
      <c r="V634" t="s">
        <v>10966</v>
      </c>
      <c r="W634" t="s">
        <v>10967</v>
      </c>
      <c r="X634" t="s">
        <v>10968</v>
      </c>
      <c r="Y634" t="s">
        <v>10969</v>
      </c>
      <c r="Z634" t="s">
        <v>10970</v>
      </c>
      <c r="AA634" t="s">
        <v>74</v>
      </c>
      <c r="AB634" t="s">
        <v>74</v>
      </c>
      <c r="AC634" t="s">
        <v>10971</v>
      </c>
      <c r="AD634" t="s">
        <v>10972</v>
      </c>
      <c r="AE634" t="s">
        <v>10973</v>
      </c>
      <c r="AF634" t="s">
        <v>74</v>
      </c>
      <c r="AG634">
        <v>90</v>
      </c>
      <c r="AH634">
        <v>9</v>
      </c>
      <c r="AI634">
        <v>9</v>
      </c>
      <c r="AJ634">
        <v>27</v>
      </c>
      <c r="AK634">
        <v>96</v>
      </c>
      <c r="AL634" t="s">
        <v>3195</v>
      </c>
      <c r="AM634" t="s">
        <v>3196</v>
      </c>
      <c r="AN634" t="s">
        <v>3197</v>
      </c>
      <c r="AO634" t="s">
        <v>3198</v>
      </c>
      <c r="AP634" t="s">
        <v>74</v>
      </c>
      <c r="AQ634" t="s">
        <v>74</v>
      </c>
      <c r="AR634" t="s">
        <v>3199</v>
      </c>
      <c r="AS634" t="s">
        <v>3200</v>
      </c>
      <c r="AT634" t="s">
        <v>10974</v>
      </c>
      <c r="AU634">
        <v>2021</v>
      </c>
      <c r="AV634">
        <v>12</v>
      </c>
      <c r="AW634" t="s">
        <v>74</v>
      </c>
      <c r="AX634" t="s">
        <v>74</v>
      </c>
      <c r="AY634" t="s">
        <v>74</v>
      </c>
      <c r="AZ634" t="s">
        <v>74</v>
      </c>
      <c r="BA634" t="s">
        <v>74</v>
      </c>
      <c r="BB634" t="s">
        <v>74</v>
      </c>
      <c r="BC634" t="s">
        <v>74</v>
      </c>
      <c r="BD634">
        <v>666477</v>
      </c>
      <c r="BE634" t="s">
        <v>10975</v>
      </c>
      <c r="BF634" t="str">
        <f>HYPERLINK("http://dx.doi.org/10.3389/fpsyg.2021.666477","http://dx.doi.org/10.3389/fpsyg.2021.666477")</f>
        <v>http://dx.doi.org/10.3389/fpsyg.2021.666477</v>
      </c>
      <c r="BG634" t="s">
        <v>74</v>
      </c>
      <c r="BH634" t="s">
        <v>74</v>
      </c>
      <c r="BI634">
        <v>18</v>
      </c>
      <c r="BJ634" t="s">
        <v>3203</v>
      </c>
      <c r="BK634" t="s">
        <v>94</v>
      </c>
      <c r="BL634" t="s">
        <v>460</v>
      </c>
      <c r="BM634" t="s">
        <v>10976</v>
      </c>
      <c r="BN634">
        <v>34456787</v>
      </c>
      <c r="BO634" t="s">
        <v>4398</v>
      </c>
      <c r="BP634" t="s">
        <v>74</v>
      </c>
      <c r="BQ634" t="s">
        <v>74</v>
      </c>
      <c r="BR634" t="s">
        <v>97</v>
      </c>
      <c r="BS634" t="s">
        <v>10977</v>
      </c>
      <c r="BT634" t="str">
        <f>HYPERLINK("https%3A%2F%2Fwww.webofscience.com%2Fwos%2Fwoscc%2Ffull-record%2FWOS:000690224100001","View Full Record in Web of Science")</f>
        <v>View Full Record in Web of Science</v>
      </c>
    </row>
    <row r="635" spans="1:72" x14ac:dyDescent="0.25">
      <c r="A635" t="s">
        <v>72</v>
      </c>
      <c r="B635" t="s">
        <v>10978</v>
      </c>
      <c r="C635" t="s">
        <v>74</v>
      </c>
      <c r="D635" t="s">
        <v>74</v>
      </c>
      <c r="E635" t="s">
        <v>74</v>
      </c>
      <c r="F635" t="s">
        <v>10979</v>
      </c>
      <c r="G635" t="s">
        <v>74</v>
      </c>
      <c r="H635" t="s">
        <v>74</v>
      </c>
      <c r="I635" t="s">
        <v>10980</v>
      </c>
      <c r="J635" t="s">
        <v>3184</v>
      </c>
      <c r="K635" t="s">
        <v>74</v>
      </c>
      <c r="L635" t="s">
        <v>74</v>
      </c>
      <c r="M635" t="s">
        <v>77</v>
      </c>
      <c r="N635" t="s">
        <v>78</v>
      </c>
      <c r="O635" t="s">
        <v>74</v>
      </c>
      <c r="P635" t="s">
        <v>74</v>
      </c>
      <c r="Q635" t="s">
        <v>74</v>
      </c>
      <c r="R635" t="s">
        <v>74</v>
      </c>
      <c r="S635" t="s">
        <v>74</v>
      </c>
      <c r="T635" t="s">
        <v>10981</v>
      </c>
      <c r="U635" t="s">
        <v>10982</v>
      </c>
      <c r="V635" t="s">
        <v>10983</v>
      </c>
      <c r="W635" t="s">
        <v>10984</v>
      </c>
      <c r="X635" t="s">
        <v>10985</v>
      </c>
      <c r="Y635" t="s">
        <v>10986</v>
      </c>
      <c r="Z635" t="s">
        <v>10987</v>
      </c>
      <c r="AA635" t="s">
        <v>10988</v>
      </c>
      <c r="AB635" t="s">
        <v>10989</v>
      </c>
      <c r="AC635" t="s">
        <v>10990</v>
      </c>
      <c r="AD635" t="s">
        <v>575</v>
      </c>
      <c r="AE635" t="s">
        <v>10991</v>
      </c>
      <c r="AF635" t="s">
        <v>74</v>
      </c>
      <c r="AG635">
        <v>86</v>
      </c>
      <c r="AH635">
        <v>9</v>
      </c>
      <c r="AI635">
        <v>9</v>
      </c>
      <c r="AJ635">
        <v>5</v>
      </c>
      <c r="AK635">
        <v>34</v>
      </c>
      <c r="AL635" t="s">
        <v>3195</v>
      </c>
      <c r="AM635" t="s">
        <v>3196</v>
      </c>
      <c r="AN635" t="s">
        <v>3197</v>
      </c>
      <c r="AO635" t="s">
        <v>3198</v>
      </c>
      <c r="AP635" t="s">
        <v>74</v>
      </c>
      <c r="AQ635" t="s">
        <v>74</v>
      </c>
      <c r="AR635" t="s">
        <v>3199</v>
      </c>
      <c r="AS635" t="s">
        <v>3200</v>
      </c>
      <c r="AT635" t="s">
        <v>5018</v>
      </c>
      <c r="AU635">
        <v>2021</v>
      </c>
      <c r="AV635">
        <v>12</v>
      </c>
      <c r="AW635" t="s">
        <v>74</v>
      </c>
      <c r="AX635" t="s">
        <v>74</v>
      </c>
      <c r="AY635" t="s">
        <v>74</v>
      </c>
      <c r="AZ635" t="s">
        <v>74</v>
      </c>
      <c r="BA635" t="s">
        <v>74</v>
      </c>
      <c r="BB635" t="s">
        <v>74</v>
      </c>
      <c r="BC635" t="s">
        <v>74</v>
      </c>
      <c r="BD635">
        <v>710266</v>
      </c>
      <c r="BE635" t="s">
        <v>10992</v>
      </c>
      <c r="BF635" t="str">
        <f>HYPERLINK("http://dx.doi.org/10.3389/fpsyg.2021.710266","http://dx.doi.org/10.3389/fpsyg.2021.710266")</f>
        <v>http://dx.doi.org/10.3389/fpsyg.2021.710266</v>
      </c>
      <c r="BG635" t="s">
        <v>74</v>
      </c>
      <c r="BH635" t="s">
        <v>74</v>
      </c>
      <c r="BI635">
        <v>10</v>
      </c>
      <c r="BJ635" t="s">
        <v>3203</v>
      </c>
      <c r="BK635" t="s">
        <v>94</v>
      </c>
      <c r="BL635" t="s">
        <v>460</v>
      </c>
      <c r="BM635" t="s">
        <v>10993</v>
      </c>
      <c r="BN635">
        <v>34305764</v>
      </c>
      <c r="BO635" t="s">
        <v>3205</v>
      </c>
      <c r="BP635" t="s">
        <v>74</v>
      </c>
      <c r="BQ635" t="s">
        <v>74</v>
      </c>
      <c r="BR635" t="s">
        <v>97</v>
      </c>
      <c r="BS635" t="s">
        <v>10994</v>
      </c>
      <c r="BT635" t="str">
        <f>HYPERLINK("https%3A%2F%2Fwww.webofscience.com%2Fwos%2Fwoscc%2Ffull-record%2FWOS:000675862100001","View Full Record in Web of Science")</f>
        <v>View Full Record in Web of Science</v>
      </c>
    </row>
    <row r="636" spans="1:72" x14ac:dyDescent="0.25">
      <c r="A636" t="s">
        <v>72</v>
      </c>
      <c r="B636" t="s">
        <v>10995</v>
      </c>
      <c r="C636" t="s">
        <v>74</v>
      </c>
      <c r="D636" t="s">
        <v>74</v>
      </c>
      <c r="E636" t="s">
        <v>74</v>
      </c>
      <c r="F636" t="s">
        <v>10996</v>
      </c>
      <c r="G636" t="s">
        <v>74</v>
      </c>
      <c r="H636" t="s">
        <v>74</v>
      </c>
      <c r="I636" t="s">
        <v>10997</v>
      </c>
      <c r="J636" t="s">
        <v>4081</v>
      </c>
      <c r="K636" t="s">
        <v>74</v>
      </c>
      <c r="L636" t="s">
        <v>74</v>
      </c>
      <c r="M636" t="s">
        <v>77</v>
      </c>
      <c r="N636" t="s">
        <v>78</v>
      </c>
      <c r="O636" t="s">
        <v>74</v>
      </c>
      <c r="P636" t="s">
        <v>74</v>
      </c>
      <c r="Q636" t="s">
        <v>74</v>
      </c>
      <c r="R636" t="s">
        <v>74</v>
      </c>
      <c r="S636" t="s">
        <v>74</v>
      </c>
      <c r="T636" t="s">
        <v>10998</v>
      </c>
      <c r="U636" t="s">
        <v>10999</v>
      </c>
      <c r="V636" t="s">
        <v>11000</v>
      </c>
      <c r="W636" t="s">
        <v>11001</v>
      </c>
      <c r="X636" t="s">
        <v>11002</v>
      </c>
      <c r="Y636" t="s">
        <v>11003</v>
      </c>
      <c r="Z636" t="s">
        <v>11004</v>
      </c>
      <c r="AA636" t="s">
        <v>11005</v>
      </c>
      <c r="AB636" t="s">
        <v>11006</v>
      </c>
      <c r="AC636" t="s">
        <v>11007</v>
      </c>
      <c r="AD636" t="s">
        <v>11008</v>
      </c>
      <c r="AE636" t="s">
        <v>11009</v>
      </c>
      <c r="AF636" t="s">
        <v>74</v>
      </c>
      <c r="AG636">
        <v>71</v>
      </c>
      <c r="AH636">
        <v>9</v>
      </c>
      <c r="AI636">
        <v>9</v>
      </c>
      <c r="AJ636">
        <v>7</v>
      </c>
      <c r="AK636">
        <v>32</v>
      </c>
      <c r="AL636" t="s">
        <v>218</v>
      </c>
      <c r="AM636" t="s">
        <v>219</v>
      </c>
      <c r="AN636" t="s">
        <v>220</v>
      </c>
      <c r="AO636" t="s">
        <v>4093</v>
      </c>
      <c r="AP636" t="s">
        <v>4094</v>
      </c>
      <c r="AQ636" t="s">
        <v>74</v>
      </c>
      <c r="AR636" t="s">
        <v>4095</v>
      </c>
      <c r="AS636" t="s">
        <v>4096</v>
      </c>
      <c r="AT636" t="s">
        <v>584</v>
      </c>
      <c r="AU636">
        <v>2021</v>
      </c>
      <c r="AV636">
        <v>29</v>
      </c>
      <c r="AW636">
        <v>8</v>
      </c>
      <c r="AX636" t="s">
        <v>74</v>
      </c>
      <c r="AY636" t="s">
        <v>74</v>
      </c>
      <c r="AZ636" t="s">
        <v>74</v>
      </c>
      <c r="BA636" t="s">
        <v>74</v>
      </c>
      <c r="BB636">
        <v>2499</v>
      </c>
      <c r="BC636">
        <v>2514</v>
      </c>
      <c r="BD636" t="s">
        <v>74</v>
      </c>
      <c r="BE636" t="s">
        <v>11010</v>
      </c>
      <c r="BF636" t="str">
        <f>HYPERLINK("http://dx.doi.org/10.1111/jonm.13390","http://dx.doi.org/10.1111/jonm.13390")</f>
        <v>http://dx.doi.org/10.1111/jonm.13390</v>
      </c>
      <c r="BG636" t="s">
        <v>74</v>
      </c>
      <c r="BH636" t="s">
        <v>10620</v>
      </c>
      <c r="BI636">
        <v>16</v>
      </c>
      <c r="BJ636" t="s">
        <v>4098</v>
      </c>
      <c r="BK636" t="s">
        <v>147</v>
      </c>
      <c r="BL636" t="s">
        <v>4099</v>
      </c>
      <c r="BM636" t="s">
        <v>11011</v>
      </c>
      <c r="BN636">
        <v>34062030</v>
      </c>
      <c r="BO636" t="s">
        <v>3205</v>
      </c>
      <c r="BP636" t="s">
        <v>74</v>
      </c>
      <c r="BQ636" t="s">
        <v>74</v>
      </c>
      <c r="BR636" t="s">
        <v>97</v>
      </c>
      <c r="BS636" t="s">
        <v>11012</v>
      </c>
      <c r="BT636" t="str">
        <f>HYPERLINK("https%3A%2F%2Fwww.webofscience.com%2Fwos%2Fwoscc%2Ffull-record%2FWOS:000667971500001","View Full Record in Web of Science")</f>
        <v>View Full Record in Web of Science</v>
      </c>
    </row>
    <row r="637" spans="1:72" x14ac:dyDescent="0.25">
      <c r="A637" t="s">
        <v>72</v>
      </c>
      <c r="B637" t="s">
        <v>11013</v>
      </c>
      <c r="C637" t="s">
        <v>74</v>
      </c>
      <c r="D637" t="s">
        <v>74</v>
      </c>
      <c r="E637" t="s">
        <v>74</v>
      </c>
      <c r="F637" t="s">
        <v>11014</v>
      </c>
      <c r="G637" t="s">
        <v>74</v>
      </c>
      <c r="H637" t="s">
        <v>74</v>
      </c>
      <c r="I637" t="s">
        <v>11015</v>
      </c>
      <c r="J637" t="s">
        <v>6168</v>
      </c>
      <c r="K637" t="s">
        <v>74</v>
      </c>
      <c r="L637" t="s">
        <v>74</v>
      </c>
      <c r="M637" t="s">
        <v>77</v>
      </c>
      <c r="N637" t="s">
        <v>78</v>
      </c>
      <c r="O637" t="s">
        <v>74</v>
      </c>
      <c r="P637" t="s">
        <v>74</v>
      </c>
      <c r="Q637" t="s">
        <v>74</v>
      </c>
      <c r="R637" t="s">
        <v>74</v>
      </c>
      <c r="S637" t="s">
        <v>74</v>
      </c>
      <c r="T637" t="s">
        <v>11016</v>
      </c>
      <c r="U637" t="s">
        <v>11017</v>
      </c>
      <c r="V637" t="s">
        <v>11018</v>
      </c>
      <c r="W637" t="s">
        <v>11019</v>
      </c>
      <c r="X637" t="s">
        <v>11020</v>
      </c>
      <c r="Y637" t="s">
        <v>11021</v>
      </c>
      <c r="Z637" t="s">
        <v>11022</v>
      </c>
      <c r="AA637" t="s">
        <v>11023</v>
      </c>
      <c r="AB637" t="s">
        <v>11024</v>
      </c>
      <c r="AC637" t="s">
        <v>11025</v>
      </c>
      <c r="AD637" t="s">
        <v>11026</v>
      </c>
      <c r="AE637" t="s">
        <v>11027</v>
      </c>
      <c r="AF637" t="s">
        <v>74</v>
      </c>
      <c r="AG637">
        <v>79</v>
      </c>
      <c r="AH637">
        <v>9</v>
      </c>
      <c r="AI637">
        <v>9</v>
      </c>
      <c r="AJ637">
        <v>12</v>
      </c>
      <c r="AK637">
        <v>29</v>
      </c>
      <c r="AL637" t="s">
        <v>350</v>
      </c>
      <c r="AM637" t="s">
        <v>351</v>
      </c>
      <c r="AN637" t="s">
        <v>352</v>
      </c>
      <c r="AO637" t="s">
        <v>6180</v>
      </c>
      <c r="AP637" t="s">
        <v>6181</v>
      </c>
      <c r="AQ637" t="s">
        <v>74</v>
      </c>
      <c r="AR637" t="s">
        <v>6182</v>
      </c>
      <c r="AS637" t="s">
        <v>6183</v>
      </c>
      <c r="AT637" t="s">
        <v>392</v>
      </c>
      <c r="AU637">
        <v>2022</v>
      </c>
      <c r="AV637">
        <v>46</v>
      </c>
      <c r="AW637">
        <v>6</v>
      </c>
      <c r="AX637" t="s">
        <v>74</v>
      </c>
      <c r="AY637" t="s">
        <v>74</v>
      </c>
      <c r="AZ637" t="s">
        <v>74</v>
      </c>
      <c r="BA637" t="s">
        <v>74</v>
      </c>
      <c r="BB637">
        <v>1122</v>
      </c>
      <c r="BC637">
        <v>1146</v>
      </c>
      <c r="BD637">
        <v>1.0963480211011628E+16</v>
      </c>
      <c r="BE637" t="s">
        <v>11028</v>
      </c>
      <c r="BF637" t="str">
        <f>HYPERLINK("http://dx.doi.org/10.1177/10963480211011629","http://dx.doi.org/10.1177/10963480211011629")</f>
        <v>http://dx.doi.org/10.1177/10963480211011629</v>
      </c>
      <c r="BG637" t="s">
        <v>74</v>
      </c>
      <c r="BH637" t="s">
        <v>4580</v>
      </c>
      <c r="BI637">
        <v>25</v>
      </c>
      <c r="BJ637" t="s">
        <v>630</v>
      </c>
      <c r="BK637" t="s">
        <v>94</v>
      </c>
      <c r="BL637" t="s">
        <v>631</v>
      </c>
      <c r="BM637" t="s">
        <v>11029</v>
      </c>
      <c r="BN637" t="s">
        <v>74</v>
      </c>
      <c r="BO637" t="s">
        <v>378</v>
      </c>
      <c r="BP637" t="s">
        <v>74</v>
      </c>
      <c r="BQ637" t="s">
        <v>74</v>
      </c>
      <c r="BR637" t="s">
        <v>97</v>
      </c>
      <c r="BS637" t="s">
        <v>11030</v>
      </c>
      <c r="BT637" t="str">
        <f>HYPERLINK("https%3A%2F%2Fwww.webofscience.com%2Fwos%2Fwoscc%2Ffull-record%2FWOS:000649501200001","View Full Record in Web of Science")</f>
        <v>View Full Record in Web of Science</v>
      </c>
    </row>
    <row r="638" spans="1:72" x14ac:dyDescent="0.25">
      <c r="A638" t="s">
        <v>72</v>
      </c>
      <c r="B638" t="s">
        <v>11031</v>
      </c>
      <c r="C638" t="s">
        <v>74</v>
      </c>
      <c r="D638" t="s">
        <v>74</v>
      </c>
      <c r="E638" t="s">
        <v>74</v>
      </c>
      <c r="F638" t="s">
        <v>11032</v>
      </c>
      <c r="G638" t="s">
        <v>74</v>
      </c>
      <c r="H638" t="s">
        <v>74</v>
      </c>
      <c r="I638" t="s">
        <v>11033</v>
      </c>
      <c r="J638" t="s">
        <v>8851</v>
      </c>
      <c r="K638" t="s">
        <v>74</v>
      </c>
      <c r="L638" t="s">
        <v>74</v>
      </c>
      <c r="M638" t="s">
        <v>77</v>
      </c>
      <c r="N638" t="s">
        <v>78</v>
      </c>
      <c r="O638" t="s">
        <v>74</v>
      </c>
      <c r="P638" t="s">
        <v>74</v>
      </c>
      <c r="Q638" t="s">
        <v>74</v>
      </c>
      <c r="R638" t="s">
        <v>74</v>
      </c>
      <c r="S638" t="s">
        <v>74</v>
      </c>
      <c r="T638" t="s">
        <v>11034</v>
      </c>
      <c r="U638" t="s">
        <v>11035</v>
      </c>
      <c r="V638" t="s">
        <v>11036</v>
      </c>
      <c r="W638" t="s">
        <v>11037</v>
      </c>
      <c r="X638" t="s">
        <v>11038</v>
      </c>
      <c r="Y638" t="s">
        <v>11039</v>
      </c>
      <c r="Z638" t="s">
        <v>11040</v>
      </c>
      <c r="AA638" t="s">
        <v>74</v>
      </c>
      <c r="AB638" t="s">
        <v>11041</v>
      </c>
      <c r="AC638" t="s">
        <v>74</v>
      </c>
      <c r="AD638" t="s">
        <v>74</v>
      </c>
      <c r="AE638" t="s">
        <v>74</v>
      </c>
      <c r="AF638" t="s">
        <v>74</v>
      </c>
      <c r="AG638">
        <v>133</v>
      </c>
      <c r="AH638">
        <v>9</v>
      </c>
      <c r="AI638">
        <v>9</v>
      </c>
      <c r="AJ638">
        <v>2</v>
      </c>
      <c r="AK638">
        <v>12</v>
      </c>
      <c r="AL638" t="s">
        <v>350</v>
      </c>
      <c r="AM638" t="s">
        <v>351</v>
      </c>
      <c r="AN638" t="s">
        <v>352</v>
      </c>
      <c r="AO638" t="s">
        <v>8864</v>
      </c>
      <c r="AP638" t="s">
        <v>74</v>
      </c>
      <c r="AQ638" t="s">
        <v>74</v>
      </c>
      <c r="AR638" t="s">
        <v>8851</v>
      </c>
      <c r="AS638" t="s">
        <v>8865</v>
      </c>
      <c r="AT638" t="s">
        <v>122</v>
      </c>
      <c r="AU638">
        <v>2021</v>
      </c>
      <c r="AV638">
        <v>11</v>
      </c>
      <c r="AW638">
        <v>2</v>
      </c>
      <c r="AX638" t="s">
        <v>74</v>
      </c>
      <c r="AY638" t="s">
        <v>74</v>
      </c>
      <c r="AZ638" t="s">
        <v>74</v>
      </c>
      <c r="BA638" t="s">
        <v>74</v>
      </c>
      <c r="BB638" t="s">
        <v>74</v>
      </c>
      <c r="BC638" t="s">
        <v>74</v>
      </c>
      <c r="BD638">
        <v>2.1582440211008896E+16</v>
      </c>
      <c r="BE638" t="s">
        <v>11042</v>
      </c>
      <c r="BF638" t="str">
        <f>HYPERLINK("http://dx.doi.org/10.1177/21582440211008894","http://dx.doi.org/10.1177/21582440211008894")</f>
        <v>http://dx.doi.org/10.1177/21582440211008894</v>
      </c>
      <c r="BG638" t="s">
        <v>74</v>
      </c>
      <c r="BH638" t="s">
        <v>74</v>
      </c>
      <c r="BI638">
        <v>17</v>
      </c>
      <c r="BJ638" t="s">
        <v>8867</v>
      </c>
      <c r="BK638" t="s">
        <v>94</v>
      </c>
      <c r="BL638" t="s">
        <v>631</v>
      </c>
      <c r="BM638" t="s">
        <v>11043</v>
      </c>
      <c r="BN638" t="s">
        <v>74</v>
      </c>
      <c r="BO638" t="s">
        <v>2482</v>
      </c>
      <c r="BP638" t="s">
        <v>74</v>
      </c>
      <c r="BQ638" t="s">
        <v>74</v>
      </c>
      <c r="BR638" t="s">
        <v>97</v>
      </c>
      <c r="BS638" t="s">
        <v>11044</v>
      </c>
      <c r="BT638" t="str">
        <f>HYPERLINK("https%3A%2F%2Fwww.webofscience.com%2Fwos%2Fwoscc%2Ffull-record%2FWOS:000755656400001","View Full Record in Web of Science")</f>
        <v>View Full Record in Web of Science</v>
      </c>
    </row>
    <row r="639" spans="1:72" x14ac:dyDescent="0.25">
      <c r="A639" t="s">
        <v>72</v>
      </c>
      <c r="B639" t="s">
        <v>11045</v>
      </c>
      <c r="C639" t="s">
        <v>74</v>
      </c>
      <c r="D639" t="s">
        <v>74</v>
      </c>
      <c r="E639" t="s">
        <v>74</v>
      </c>
      <c r="F639" t="s">
        <v>11046</v>
      </c>
      <c r="G639" t="s">
        <v>74</v>
      </c>
      <c r="H639" t="s">
        <v>74</v>
      </c>
      <c r="I639" t="s">
        <v>11047</v>
      </c>
      <c r="J639" t="s">
        <v>8298</v>
      </c>
      <c r="K639" t="s">
        <v>74</v>
      </c>
      <c r="L639" t="s">
        <v>74</v>
      </c>
      <c r="M639" t="s">
        <v>77</v>
      </c>
      <c r="N639" t="s">
        <v>78</v>
      </c>
      <c r="O639" t="s">
        <v>74</v>
      </c>
      <c r="P639" t="s">
        <v>74</v>
      </c>
      <c r="Q639" t="s">
        <v>74</v>
      </c>
      <c r="R639" t="s">
        <v>74</v>
      </c>
      <c r="S639" t="s">
        <v>74</v>
      </c>
      <c r="T639" t="s">
        <v>11048</v>
      </c>
      <c r="U639" t="s">
        <v>11049</v>
      </c>
      <c r="V639" t="s">
        <v>11050</v>
      </c>
      <c r="W639" t="s">
        <v>11051</v>
      </c>
      <c r="X639" t="s">
        <v>11052</v>
      </c>
      <c r="Y639" t="s">
        <v>11053</v>
      </c>
      <c r="Z639" t="s">
        <v>11054</v>
      </c>
      <c r="AA639" t="s">
        <v>11055</v>
      </c>
      <c r="AB639" t="s">
        <v>11056</v>
      </c>
      <c r="AC639" t="s">
        <v>11057</v>
      </c>
      <c r="AD639" t="s">
        <v>11057</v>
      </c>
      <c r="AE639" t="s">
        <v>11058</v>
      </c>
      <c r="AF639" t="s">
        <v>74</v>
      </c>
      <c r="AG639">
        <v>108</v>
      </c>
      <c r="AH639">
        <v>9</v>
      </c>
      <c r="AI639">
        <v>9</v>
      </c>
      <c r="AJ639">
        <v>6</v>
      </c>
      <c r="AK639">
        <v>26</v>
      </c>
      <c r="AL639" t="s">
        <v>6878</v>
      </c>
      <c r="AM639" t="s">
        <v>541</v>
      </c>
      <c r="AN639" t="s">
        <v>6879</v>
      </c>
      <c r="AO639" t="s">
        <v>8311</v>
      </c>
      <c r="AP639" t="s">
        <v>8312</v>
      </c>
      <c r="AQ639" t="s">
        <v>74</v>
      </c>
      <c r="AR639" t="s">
        <v>8313</v>
      </c>
      <c r="AS639" t="s">
        <v>8314</v>
      </c>
      <c r="AT639" t="s">
        <v>405</v>
      </c>
      <c r="AU639">
        <v>2021</v>
      </c>
      <c r="AV639">
        <v>172</v>
      </c>
      <c r="AW639" t="s">
        <v>74</v>
      </c>
      <c r="AX639" t="s">
        <v>74</v>
      </c>
      <c r="AY639" t="s">
        <v>74</v>
      </c>
      <c r="AZ639" t="s">
        <v>74</v>
      </c>
      <c r="BA639" t="s">
        <v>74</v>
      </c>
      <c r="BB639">
        <v>197</v>
      </c>
      <c r="BC639">
        <v>210</v>
      </c>
      <c r="BD639" t="s">
        <v>74</v>
      </c>
      <c r="BE639" t="s">
        <v>11059</v>
      </c>
      <c r="BF639" t="str">
        <f>HYPERLINK("http://dx.doi.org/10.1016/j.anbehav.2020.12.007","http://dx.doi.org/10.1016/j.anbehav.2020.12.007")</f>
        <v>http://dx.doi.org/10.1016/j.anbehav.2020.12.007</v>
      </c>
      <c r="BG639" t="s">
        <v>74</v>
      </c>
      <c r="BH639" t="s">
        <v>6664</v>
      </c>
      <c r="BI639">
        <v>14</v>
      </c>
      <c r="BJ639" t="s">
        <v>6099</v>
      </c>
      <c r="BK639" t="s">
        <v>283</v>
      </c>
      <c r="BL639" t="s">
        <v>6099</v>
      </c>
      <c r="BM639" t="s">
        <v>11060</v>
      </c>
      <c r="BN639" t="s">
        <v>74</v>
      </c>
      <c r="BO639" t="s">
        <v>74</v>
      </c>
      <c r="BP639" t="s">
        <v>74</v>
      </c>
      <c r="BQ639" t="s">
        <v>74</v>
      </c>
      <c r="BR639" t="s">
        <v>97</v>
      </c>
      <c r="BS639" t="s">
        <v>11061</v>
      </c>
      <c r="BT639" t="str">
        <f>HYPERLINK("https%3A%2F%2Fwww.webofscience.com%2Fwos%2Fwoscc%2Ffull-record%2FWOS:000614560500019","View Full Record in Web of Science")</f>
        <v>View Full Record in Web of Science</v>
      </c>
    </row>
    <row r="640" spans="1:72" x14ac:dyDescent="0.25">
      <c r="A640" t="s">
        <v>72</v>
      </c>
      <c r="B640" t="s">
        <v>5547</v>
      </c>
      <c r="C640" t="s">
        <v>74</v>
      </c>
      <c r="D640" t="s">
        <v>74</v>
      </c>
      <c r="E640" t="s">
        <v>74</v>
      </c>
      <c r="F640" t="s">
        <v>5548</v>
      </c>
      <c r="G640" t="s">
        <v>74</v>
      </c>
      <c r="H640" t="s">
        <v>74</v>
      </c>
      <c r="I640" t="s">
        <v>11062</v>
      </c>
      <c r="J640" t="s">
        <v>4134</v>
      </c>
      <c r="K640" t="s">
        <v>74</v>
      </c>
      <c r="L640" t="s">
        <v>74</v>
      </c>
      <c r="M640" t="s">
        <v>77</v>
      </c>
      <c r="N640" t="s">
        <v>10095</v>
      </c>
      <c r="O640" t="s">
        <v>74</v>
      </c>
      <c r="P640" t="s">
        <v>74</v>
      </c>
      <c r="Q640" t="s">
        <v>74</v>
      </c>
      <c r="R640" t="s">
        <v>74</v>
      </c>
      <c r="S640" t="s">
        <v>74</v>
      </c>
      <c r="T640" t="s">
        <v>11063</v>
      </c>
      <c r="U640" t="s">
        <v>11064</v>
      </c>
      <c r="V640" t="s">
        <v>11065</v>
      </c>
      <c r="W640" t="s">
        <v>11066</v>
      </c>
      <c r="X640" t="s">
        <v>11067</v>
      </c>
      <c r="Y640" t="s">
        <v>11068</v>
      </c>
      <c r="Z640" t="s">
        <v>5556</v>
      </c>
      <c r="AA640" t="s">
        <v>5557</v>
      </c>
      <c r="AB640" t="s">
        <v>5558</v>
      </c>
      <c r="AC640" t="s">
        <v>11069</v>
      </c>
      <c r="AD640" t="s">
        <v>7706</v>
      </c>
      <c r="AE640" t="s">
        <v>11070</v>
      </c>
      <c r="AF640" t="s">
        <v>74</v>
      </c>
      <c r="AG640">
        <v>135</v>
      </c>
      <c r="AH640">
        <v>9</v>
      </c>
      <c r="AI640">
        <v>9</v>
      </c>
      <c r="AJ640">
        <v>11</v>
      </c>
      <c r="AK640">
        <v>60</v>
      </c>
      <c r="AL640" t="s">
        <v>665</v>
      </c>
      <c r="AM640" t="s">
        <v>666</v>
      </c>
      <c r="AN640" t="s">
        <v>667</v>
      </c>
      <c r="AO640" t="s">
        <v>4144</v>
      </c>
      <c r="AP640" t="s">
        <v>4145</v>
      </c>
      <c r="AQ640" t="s">
        <v>74</v>
      </c>
      <c r="AR640" t="s">
        <v>4146</v>
      </c>
      <c r="AS640" t="s">
        <v>4147</v>
      </c>
      <c r="AT640" t="s">
        <v>74</v>
      </c>
      <c r="AU640" t="s">
        <v>74</v>
      </c>
      <c r="AV640" t="s">
        <v>74</v>
      </c>
      <c r="AW640" t="s">
        <v>74</v>
      </c>
      <c r="AX640" t="s">
        <v>74</v>
      </c>
      <c r="AY640" t="s">
        <v>74</v>
      </c>
      <c r="AZ640" t="s">
        <v>74</v>
      </c>
      <c r="BA640" t="s">
        <v>74</v>
      </c>
      <c r="BB640" t="s">
        <v>74</v>
      </c>
      <c r="BC640" t="s">
        <v>74</v>
      </c>
      <c r="BD640" t="s">
        <v>74</v>
      </c>
      <c r="BE640" t="s">
        <v>11071</v>
      </c>
      <c r="BF640" t="str">
        <f>HYPERLINK("http://dx.doi.org/10.1108/EJIM-03-2020-0107","http://dx.doi.org/10.1108/EJIM-03-2020-0107")</f>
        <v>http://dx.doi.org/10.1108/EJIM-03-2020-0107</v>
      </c>
      <c r="BG640" t="s">
        <v>74</v>
      </c>
      <c r="BH640" t="s">
        <v>5770</v>
      </c>
      <c r="BI640">
        <v>30</v>
      </c>
      <c r="BJ640" t="s">
        <v>93</v>
      </c>
      <c r="BK640" t="s">
        <v>94</v>
      </c>
      <c r="BL640" t="s">
        <v>95</v>
      </c>
      <c r="BM640" t="s">
        <v>11072</v>
      </c>
      <c r="BN640" t="s">
        <v>74</v>
      </c>
      <c r="BO640" t="s">
        <v>74</v>
      </c>
      <c r="BP640" t="s">
        <v>74</v>
      </c>
      <c r="BQ640" t="s">
        <v>74</v>
      </c>
      <c r="BR640" t="s">
        <v>97</v>
      </c>
      <c r="BS640" t="s">
        <v>11073</v>
      </c>
      <c r="BT640" t="str">
        <f>HYPERLINK("https%3A%2F%2Fwww.webofscience.com%2Fwos%2Fwoscc%2Ffull-record%2FWOS:000573725000001","View Full Record in Web of Science")</f>
        <v>View Full Record in Web of Science</v>
      </c>
    </row>
    <row r="641" spans="1:72" x14ac:dyDescent="0.25">
      <c r="A641" t="s">
        <v>72</v>
      </c>
      <c r="B641" t="s">
        <v>11074</v>
      </c>
      <c r="C641" t="s">
        <v>74</v>
      </c>
      <c r="D641" t="s">
        <v>74</v>
      </c>
      <c r="E641" t="s">
        <v>74</v>
      </c>
      <c r="F641" t="s">
        <v>11075</v>
      </c>
      <c r="G641" t="s">
        <v>74</v>
      </c>
      <c r="H641" t="s">
        <v>74</v>
      </c>
      <c r="I641" t="s">
        <v>11076</v>
      </c>
      <c r="J641" t="s">
        <v>2771</v>
      </c>
      <c r="K641" t="s">
        <v>74</v>
      </c>
      <c r="L641" t="s">
        <v>74</v>
      </c>
      <c r="M641" t="s">
        <v>77</v>
      </c>
      <c r="N641" t="s">
        <v>78</v>
      </c>
      <c r="O641" t="s">
        <v>74</v>
      </c>
      <c r="P641" t="s">
        <v>74</v>
      </c>
      <c r="Q641" t="s">
        <v>74</v>
      </c>
      <c r="R641" t="s">
        <v>74</v>
      </c>
      <c r="S641" t="s">
        <v>74</v>
      </c>
      <c r="T641" t="s">
        <v>11077</v>
      </c>
      <c r="U641" t="s">
        <v>11078</v>
      </c>
      <c r="V641" t="s">
        <v>11079</v>
      </c>
      <c r="W641" t="s">
        <v>11080</v>
      </c>
      <c r="X641" t="s">
        <v>11081</v>
      </c>
      <c r="Y641" t="s">
        <v>11082</v>
      </c>
      <c r="Z641" t="s">
        <v>11083</v>
      </c>
      <c r="AA641" t="s">
        <v>74</v>
      </c>
      <c r="AB641" t="s">
        <v>74</v>
      </c>
      <c r="AC641" t="s">
        <v>11084</v>
      </c>
      <c r="AD641" t="s">
        <v>11085</v>
      </c>
      <c r="AE641" t="s">
        <v>11086</v>
      </c>
      <c r="AF641" t="s">
        <v>74</v>
      </c>
      <c r="AG641">
        <v>53</v>
      </c>
      <c r="AH641">
        <v>9</v>
      </c>
      <c r="AI641">
        <v>9</v>
      </c>
      <c r="AJ641">
        <v>3</v>
      </c>
      <c r="AK641">
        <v>57</v>
      </c>
      <c r="AL641" t="s">
        <v>665</v>
      </c>
      <c r="AM641" t="s">
        <v>666</v>
      </c>
      <c r="AN641" t="s">
        <v>667</v>
      </c>
      <c r="AO641" t="s">
        <v>2781</v>
      </c>
      <c r="AP641" t="s">
        <v>2782</v>
      </c>
      <c r="AQ641" t="s">
        <v>74</v>
      </c>
      <c r="AR641" t="s">
        <v>2771</v>
      </c>
      <c r="AS641" t="s">
        <v>2783</v>
      </c>
      <c r="AT641" t="s">
        <v>3714</v>
      </c>
      <c r="AU641">
        <v>2021</v>
      </c>
      <c r="AV641">
        <v>50</v>
      </c>
      <c r="AW641">
        <v>6</v>
      </c>
      <c r="AX641" t="s">
        <v>74</v>
      </c>
      <c r="AY641" t="s">
        <v>74</v>
      </c>
      <c r="AZ641" t="s">
        <v>74</v>
      </c>
      <c r="BA641" t="s">
        <v>74</v>
      </c>
      <c r="BB641">
        <v>1951</v>
      </c>
      <c r="BC641">
        <v>1968</v>
      </c>
      <c r="BD641" t="s">
        <v>74</v>
      </c>
      <c r="BE641" t="s">
        <v>11087</v>
      </c>
      <c r="BF641" t="str">
        <f>HYPERLINK("http://dx.doi.org/10.1108/K-04-2020-0228","http://dx.doi.org/10.1108/K-04-2020-0228")</f>
        <v>http://dx.doi.org/10.1108/K-04-2020-0228</v>
      </c>
      <c r="BG641" t="s">
        <v>74</v>
      </c>
      <c r="BH641" t="s">
        <v>5770</v>
      </c>
      <c r="BI641">
        <v>18</v>
      </c>
      <c r="BJ641" t="s">
        <v>2785</v>
      </c>
      <c r="BK641" t="s">
        <v>147</v>
      </c>
      <c r="BL641" t="s">
        <v>2786</v>
      </c>
      <c r="BM641" t="s">
        <v>11088</v>
      </c>
      <c r="BN641" t="s">
        <v>74</v>
      </c>
      <c r="BO641" t="s">
        <v>74</v>
      </c>
      <c r="BP641" t="s">
        <v>74</v>
      </c>
      <c r="BQ641" t="s">
        <v>74</v>
      </c>
      <c r="BR641" t="s">
        <v>97</v>
      </c>
      <c r="BS641" t="s">
        <v>11089</v>
      </c>
      <c r="BT641" t="str">
        <f>HYPERLINK("https%3A%2F%2Fwww.webofscience.com%2Fwos%2Fwoscc%2Ffull-record%2FWOS:000572144100001","View Full Record in Web of Science")</f>
        <v>View Full Record in Web of Science</v>
      </c>
    </row>
    <row r="642" spans="1:72" x14ac:dyDescent="0.25">
      <c r="A642" t="s">
        <v>72</v>
      </c>
      <c r="B642" t="s">
        <v>7990</v>
      </c>
      <c r="C642" t="s">
        <v>74</v>
      </c>
      <c r="D642" t="s">
        <v>74</v>
      </c>
      <c r="E642" t="s">
        <v>74</v>
      </c>
      <c r="F642" t="s">
        <v>7991</v>
      </c>
      <c r="G642" t="s">
        <v>74</v>
      </c>
      <c r="H642" t="s">
        <v>74</v>
      </c>
      <c r="I642" t="s">
        <v>11090</v>
      </c>
      <c r="J642" t="s">
        <v>3931</v>
      </c>
      <c r="K642" t="s">
        <v>74</v>
      </c>
      <c r="L642" t="s">
        <v>74</v>
      </c>
      <c r="M642" t="s">
        <v>77</v>
      </c>
      <c r="N642" t="s">
        <v>78</v>
      </c>
      <c r="O642" t="s">
        <v>74</v>
      </c>
      <c r="P642" t="s">
        <v>74</v>
      </c>
      <c r="Q642" t="s">
        <v>74</v>
      </c>
      <c r="R642" t="s">
        <v>74</v>
      </c>
      <c r="S642" t="s">
        <v>74</v>
      </c>
      <c r="T642" t="s">
        <v>11091</v>
      </c>
      <c r="U642" t="s">
        <v>11092</v>
      </c>
      <c r="V642" t="s">
        <v>11093</v>
      </c>
      <c r="W642" t="s">
        <v>11094</v>
      </c>
      <c r="X642" t="s">
        <v>7998</v>
      </c>
      <c r="Y642" t="s">
        <v>11095</v>
      </c>
      <c r="Z642" t="s">
        <v>11096</v>
      </c>
      <c r="AA642" t="s">
        <v>11097</v>
      </c>
      <c r="AB642" t="s">
        <v>74</v>
      </c>
      <c r="AC642" t="s">
        <v>11098</v>
      </c>
      <c r="AD642" t="s">
        <v>8685</v>
      </c>
      <c r="AE642" t="s">
        <v>11099</v>
      </c>
      <c r="AF642" t="s">
        <v>74</v>
      </c>
      <c r="AG642">
        <v>60</v>
      </c>
      <c r="AH642">
        <v>9</v>
      </c>
      <c r="AI642">
        <v>9</v>
      </c>
      <c r="AJ642">
        <v>10</v>
      </c>
      <c r="AK642">
        <v>45</v>
      </c>
      <c r="AL642" t="s">
        <v>665</v>
      </c>
      <c r="AM642" t="s">
        <v>666</v>
      </c>
      <c r="AN642" t="s">
        <v>667</v>
      </c>
      <c r="AO642" t="s">
        <v>3939</v>
      </c>
      <c r="AP642" t="s">
        <v>3940</v>
      </c>
      <c r="AQ642" t="s">
        <v>74</v>
      </c>
      <c r="AR642" t="s">
        <v>3941</v>
      </c>
      <c r="AS642" t="s">
        <v>3942</v>
      </c>
      <c r="AT642" t="s">
        <v>11100</v>
      </c>
      <c r="AU642">
        <v>2020</v>
      </c>
      <c r="AV642">
        <v>41</v>
      </c>
      <c r="AW642">
        <v>8</v>
      </c>
      <c r="AX642" t="s">
        <v>74</v>
      </c>
      <c r="AY642" t="s">
        <v>74</v>
      </c>
      <c r="AZ642" t="s">
        <v>74</v>
      </c>
      <c r="BA642" t="s">
        <v>74</v>
      </c>
      <c r="BB642">
        <v>1107</v>
      </c>
      <c r="BC642">
        <v>1118</v>
      </c>
      <c r="BD642" t="s">
        <v>74</v>
      </c>
      <c r="BE642" t="s">
        <v>11101</v>
      </c>
      <c r="BF642" t="str">
        <f>HYPERLINK("http://dx.doi.org/10.1108/LODJ-09-2019-0414","http://dx.doi.org/10.1108/LODJ-09-2019-0414")</f>
        <v>http://dx.doi.org/10.1108/LODJ-09-2019-0414</v>
      </c>
      <c r="BG642" t="s">
        <v>74</v>
      </c>
      <c r="BH642" t="s">
        <v>5770</v>
      </c>
      <c r="BI642">
        <v>12</v>
      </c>
      <c r="BJ642" t="s">
        <v>442</v>
      </c>
      <c r="BK642" t="s">
        <v>94</v>
      </c>
      <c r="BL642" t="s">
        <v>95</v>
      </c>
      <c r="BM642" t="s">
        <v>11102</v>
      </c>
      <c r="BN642" t="s">
        <v>74</v>
      </c>
      <c r="BO642" t="s">
        <v>74</v>
      </c>
      <c r="BP642" t="s">
        <v>74</v>
      </c>
      <c r="BQ642" t="s">
        <v>74</v>
      </c>
      <c r="BR642" t="s">
        <v>97</v>
      </c>
      <c r="BS642" t="s">
        <v>11103</v>
      </c>
      <c r="BT642" t="str">
        <f>HYPERLINK("https%3A%2F%2Fwww.webofscience.com%2Fwos%2Fwoscc%2Ffull-record%2FWOS:000568336000001","View Full Record in Web of Science")</f>
        <v>View Full Record in Web of Science</v>
      </c>
    </row>
    <row r="643" spans="1:72" x14ac:dyDescent="0.25">
      <c r="A643" t="s">
        <v>72</v>
      </c>
      <c r="B643" t="s">
        <v>11104</v>
      </c>
      <c r="C643" t="s">
        <v>74</v>
      </c>
      <c r="D643" t="s">
        <v>74</v>
      </c>
      <c r="E643" t="s">
        <v>74</v>
      </c>
      <c r="F643" t="s">
        <v>11105</v>
      </c>
      <c r="G643" t="s">
        <v>74</v>
      </c>
      <c r="H643" t="s">
        <v>74</v>
      </c>
      <c r="I643" t="s">
        <v>11106</v>
      </c>
      <c r="J643" t="s">
        <v>1998</v>
      </c>
      <c r="K643" t="s">
        <v>74</v>
      </c>
      <c r="L643" t="s">
        <v>74</v>
      </c>
      <c r="M643" t="s">
        <v>77</v>
      </c>
      <c r="N643" t="s">
        <v>78</v>
      </c>
      <c r="O643" t="s">
        <v>74</v>
      </c>
      <c r="P643" t="s">
        <v>74</v>
      </c>
      <c r="Q643" t="s">
        <v>74</v>
      </c>
      <c r="R643" t="s">
        <v>74</v>
      </c>
      <c r="S643" t="s">
        <v>74</v>
      </c>
      <c r="T643" t="s">
        <v>11107</v>
      </c>
      <c r="U643" t="s">
        <v>11108</v>
      </c>
      <c r="V643" t="s">
        <v>11109</v>
      </c>
      <c r="W643" t="s">
        <v>11110</v>
      </c>
      <c r="X643" t="s">
        <v>11111</v>
      </c>
      <c r="Y643" t="s">
        <v>11112</v>
      </c>
      <c r="Z643" t="s">
        <v>11113</v>
      </c>
      <c r="AA643" t="s">
        <v>11114</v>
      </c>
      <c r="AB643" t="s">
        <v>11115</v>
      </c>
      <c r="AC643" t="s">
        <v>11116</v>
      </c>
      <c r="AD643" t="s">
        <v>11117</v>
      </c>
      <c r="AE643" t="s">
        <v>11118</v>
      </c>
      <c r="AF643" t="s">
        <v>74</v>
      </c>
      <c r="AG643">
        <v>51</v>
      </c>
      <c r="AH643">
        <v>9</v>
      </c>
      <c r="AI643">
        <v>9</v>
      </c>
      <c r="AJ643">
        <v>5</v>
      </c>
      <c r="AK643">
        <v>56</v>
      </c>
      <c r="AL643" t="s">
        <v>1099</v>
      </c>
      <c r="AM643" t="s">
        <v>305</v>
      </c>
      <c r="AN643" t="s">
        <v>1100</v>
      </c>
      <c r="AO643" t="s">
        <v>2010</v>
      </c>
      <c r="AP643" t="s">
        <v>2011</v>
      </c>
      <c r="AQ643" t="s">
        <v>74</v>
      </c>
      <c r="AR643" t="s">
        <v>2012</v>
      </c>
      <c r="AS643" t="s">
        <v>2013</v>
      </c>
      <c r="AT643" t="s">
        <v>7597</v>
      </c>
      <c r="AU643">
        <v>2021</v>
      </c>
      <c r="AV643">
        <v>33</v>
      </c>
      <c r="AW643">
        <v>4</v>
      </c>
      <c r="AX643" t="s">
        <v>74</v>
      </c>
      <c r="AY643" t="s">
        <v>74</v>
      </c>
      <c r="AZ643" t="s">
        <v>74</v>
      </c>
      <c r="BA643" t="s">
        <v>74</v>
      </c>
      <c r="BB643">
        <v>365</v>
      </c>
      <c r="BC643">
        <v>378</v>
      </c>
      <c r="BD643" t="s">
        <v>74</v>
      </c>
      <c r="BE643" t="s">
        <v>11119</v>
      </c>
      <c r="BF643" t="str">
        <f>HYPERLINK("http://dx.doi.org/10.1080/09537325.2020.1814953","http://dx.doi.org/10.1080/09537325.2020.1814953")</f>
        <v>http://dx.doi.org/10.1080/09537325.2020.1814953</v>
      </c>
      <c r="BG643" t="s">
        <v>74</v>
      </c>
      <c r="BH643" t="s">
        <v>5770</v>
      </c>
      <c r="BI643">
        <v>14</v>
      </c>
      <c r="BJ643" t="s">
        <v>2015</v>
      </c>
      <c r="BK643" t="s">
        <v>94</v>
      </c>
      <c r="BL643" t="s">
        <v>2016</v>
      </c>
      <c r="BM643" t="s">
        <v>11120</v>
      </c>
      <c r="BN643" t="s">
        <v>74</v>
      </c>
      <c r="BO643" t="s">
        <v>74</v>
      </c>
      <c r="BP643" t="s">
        <v>74</v>
      </c>
      <c r="BQ643" t="s">
        <v>74</v>
      </c>
      <c r="BR643" t="s">
        <v>97</v>
      </c>
      <c r="BS643" t="s">
        <v>11121</v>
      </c>
      <c r="BT643" t="str">
        <f>HYPERLINK("https%3A%2F%2Fwww.webofscience.com%2Fwos%2Fwoscc%2Ffull-record%2FWOS:000565015500001","View Full Record in Web of Science")</f>
        <v>View Full Record in Web of Science</v>
      </c>
    </row>
    <row r="644" spans="1:72" x14ac:dyDescent="0.25">
      <c r="A644" t="s">
        <v>72</v>
      </c>
      <c r="B644" t="s">
        <v>11122</v>
      </c>
      <c r="C644" t="s">
        <v>74</v>
      </c>
      <c r="D644" t="s">
        <v>74</v>
      </c>
      <c r="E644" t="s">
        <v>74</v>
      </c>
      <c r="F644" t="s">
        <v>11123</v>
      </c>
      <c r="G644" t="s">
        <v>74</v>
      </c>
      <c r="H644" t="s">
        <v>74</v>
      </c>
      <c r="I644" t="s">
        <v>11124</v>
      </c>
      <c r="J644" t="s">
        <v>11125</v>
      </c>
      <c r="K644" t="s">
        <v>74</v>
      </c>
      <c r="L644" t="s">
        <v>74</v>
      </c>
      <c r="M644" t="s">
        <v>77</v>
      </c>
      <c r="N644" t="s">
        <v>78</v>
      </c>
      <c r="O644" t="s">
        <v>74</v>
      </c>
      <c r="P644" t="s">
        <v>74</v>
      </c>
      <c r="Q644" t="s">
        <v>74</v>
      </c>
      <c r="R644" t="s">
        <v>74</v>
      </c>
      <c r="S644" t="s">
        <v>74</v>
      </c>
      <c r="T644" t="s">
        <v>11126</v>
      </c>
      <c r="U644" t="s">
        <v>11127</v>
      </c>
      <c r="V644" t="s">
        <v>11128</v>
      </c>
      <c r="W644" t="s">
        <v>11129</v>
      </c>
      <c r="X644" t="s">
        <v>11130</v>
      </c>
      <c r="Y644" t="s">
        <v>11131</v>
      </c>
      <c r="Z644" t="s">
        <v>11132</v>
      </c>
      <c r="AA644" t="s">
        <v>74</v>
      </c>
      <c r="AB644" t="s">
        <v>11133</v>
      </c>
      <c r="AC644" t="s">
        <v>74</v>
      </c>
      <c r="AD644" t="s">
        <v>74</v>
      </c>
      <c r="AE644" t="s">
        <v>74</v>
      </c>
      <c r="AF644" t="s">
        <v>74</v>
      </c>
      <c r="AG644">
        <v>77</v>
      </c>
      <c r="AH644">
        <v>9</v>
      </c>
      <c r="AI644">
        <v>9</v>
      </c>
      <c r="AJ644">
        <v>23</v>
      </c>
      <c r="AK644">
        <v>81</v>
      </c>
      <c r="AL644" t="s">
        <v>2351</v>
      </c>
      <c r="AM644" t="s">
        <v>541</v>
      </c>
      <c r="AN644" t="s">
        <v>2352</v>
      </c>
      <c r="AO644" t="s">
        <v>11134</v>
      </c>
      <c r="AP644" t="s">
        <v>11135</v>
      </c>
      <c r="AQ644" t="s">
        <v>74</v>
      </c>
      <c r="AR644" t="s">
        <v>11136</v>
      </c>
      <c r="AS644" t="s">
        <v>11137</v>
      </c>
      <c r="AT644" t="s">
        <v>165</v>
      </c>
      <c r="AU644">
        <v>2022</v>
      </c>
      <c r="AV644">
        <v>50</v>
      </c>
      <c r="AW644">
        <v>3</v>
      </c>
      <c r="AX644" t="s">
        <v>74</v>
      </c>
      <c r="AY644" t="s">
        <v>74</v>
      </c>
      <c r="AZ644" t="s">
        <v>74</v>
      </c>
      <c r="BA644" t="s">
        <v>74</v>
      </c>
      <c r="BB644">
        <v>491</v>
      </c>
      <c r="BC644">
        <v>510</v>
      </c>
      <c r="BD644">
        <v>1741143220932582</v>
      </c>
      <c r="BE644" t="s">
        <v>11138</v>
      </c>
      <c r="BF644" t="str">
        <f>HYPERLINK("http://dx.doi.org/10.1177/1741143220932582","http://dx.doi.org/10.1177/1741143220932582")</f>
        <v>http://dx.doi.org/10.1177/1741143220932582</v>
      </c>
      <c r="BG644" t="s">
        <v>74</v>
      </c>
      <c r="BH644" t="s">
        <v>4876</v>
      </c>
      <c r="BI644">
        <v>20</v>
      </c>
      <c r="BJ644" t="s">
        <v>815</v>
      </c>
      <c r="BK644" t="s">
        <v>94</v>
      </c>
      <c r="BL644" t="s">
        <v>815</v>
      </c>
      <c r="BM644" t="s">
        <v>11139</v>
      </c>
      <c r="BN644" t="s">
        <v>74</v>
      </c>
      <c r="BO644" t="s">
        <v>408</v>
      </c>
      <c r="BP644" t="s">
        <v>74</v>
      </c>
      <c r="BQ644" t="s">
        <v>74</v>
      </c>
      <c r="BR644" t="s">
        <v>97</v>
      </c>
      <c r="BS644" t="s">
        <v>11140</v>
      </c>
      <c r="BT644" t="str">
        <f>HYPERLINK("https%3A%2F%2Fwww.webofscience.com%2Fwos%2Fwoscc%2Ffull-record%2FWOS:000545104900001","View Full Record in Web of Science")</f>
        <v>View Full Record in Web of Science</v>
      </c>
    </row>
    <row r="645" spans="1:72" x14ac:dyDescent="0.25">
      <c r="A645" t="s">
        <v>72</v>
      </c>
      <c r="B645" t="s">
        <v>11141</v>
      </c>
      <c r="C645" t="s">
        <v>74</v>
      </c>
      <c r="D645" t="s">
        <v>74</v>
      </c>
      <c r="E645" t="s">
        <v>74</v>
      </c>
      <c r="F645" t="s">
        <v>11142</v>
      </c>
      <c r="G645" t="s">
        <v>74</v>
      </c>
      <c r="H645" t="s">
        <v>74</v>
      </c>
      <c r="I645" t="s">
        <v>11143</v>
      </c>
      <c r="J645" t="s">
        <v>1916</v>
      </c>
      <c r="K645" t="s">
        <v>74</v>
      </c>
      <c r="L645" t="s">
        <v>74</v>
      </c>
      <c r="M645" t="s">
        <v>77</v>
      </c>
      <c r="N645" t="s">
        <v>78</v>
      </c>
      <c r="O645" t="s">
        <v>74</v>
      </c>
      <c r="P645" t="s">
        <v>74</v>
      </c>
      <c r="Q645" t="s">
        <v>74</v>
      </c>
      <c r="R645" t="s">
        <v>74</v>
      </c>
      <c r="S645" t="s">
        <v>74</v>
      </c>
      <c r="T645" t="s">
        <v>11144</v>
      </c>
      <c r="U645" t="s">
        <v>11145</v>
      </c>
      <c r="V645" t="s">
        <v>11146</v>
      </c>
      <c r="W645" t="s">
        <v>11147</v>
      </c>
      <c r="X645" t="s">
        <v>11148</v>
      </c>
      <c r="Y645" t="s">
        <v>11149</v>
      </c>
      <c r="Z645" t="s">
        <v>11150</v>
      </c>
      <c r="AA645" t="s">
        <v>11151</v>
      </c>
      <c r="AB645" t="s">
        <v>11152</v>
      </c>
      <c r="AC645" t="s">
        <v>11153</v>
      </c>
      <c r="AD645" t="s">
        <v>11154</v>
      </c>
      <c r="AE645" t="s">
        <v>11155</v>
      </c>
      <c r="AF645" t="s">
        <v>74</v>
      </c>
      <c r="AG645">
        <v>70</v>
      </c>
      <c r="AH645">
        <v>9</v>
      </c>
      <c r="AI645">
        <v>9</v>
      </c>
      <c r="AJ645">
        <v>11</v>
      </c>
      <c r="AK645">
        <v>107</v>
      </c>
      <c r="AL645" t="s">
        <v>665</v>
      </c>
      <c r="AM645" t="s">
        <v>666</v>
      </c>
      <c r="AN645" t="s">
        <v>667</v>
      </c>
      <c r="AO645" t="s">
        <v>1926</v>
      </c>
      <c r="AP645" t="s">
        <v>1927</v>
      </c>
      <c r="AQ645" t="s">
        <v>74</v>
      </c>
      <c r="AR645" t="s">
        <v>1928</v>
      </c>
      <c r="AS645" t="s">
        <v>1929</v>
      </c>
      <c r="AT645" t="s">
        <v>11156</v>
      </c>
      <c r="AU645">
        <v>2020</v>
      </c>
      <c r="AV645">
        <v>58</v>
      </c>
      <c r="AW645">
        <v>5</v>
      </c>
      <c r="AX645" t="s">
        <v>74</v>
      </c>
      <c r="AY645" t="s">
        <v>74</v>
      </c>
      <c r="AZ645" t="s">
        <v>74</v>
      </c>
      <c r="BA645" t="s">
        <v>74</v>
      </c>
      <c r="BB645">
        <v>948</v>
      </c>
      <c r="BC645">
        <v>966</v>
      </c>
      <c r="BD645" t="s">
        <v>74</v>
      </c>
      <c r="BE645" t="s">
        <v>11157</v>
      </c>
      <c r="BF645" t="str">
        <f>HYPERLINK("http://dx.doi.org/10.1108/MD-06-2018-0666","http://dx.doi.org/10.1108/MD-06-2018-0666")</f>
        <v>http://dx.doi.org/10.1108/MD-06-2018-0666</v>
      </c>
      <c r="BG645" t="s">
        <v>74</v>
      </c>
      <c r="BH645" t="s">
        <v>74</v>
      </c>
      <c r="BI645">
        <v>19</v>
      </c>
      <c r="BJ645" t="s">
        <v>93</v>
      </c>
      <c r="BK645" t="s">
        <v>94</v>
      </c>
      <c r="BL645" t="s">
        <v>95</v>
      </c>
      <c r="BM645" t="s">
        <v>11158</v>
      </c>
      <c r="BN645" t="s">
        <v>74</v>
      </c>
      <c r="BO645" t="s">
        <v>74</v>
      </c>
      <c r="BP645" t="s">
        <v>74</v>
      </c>
      <c r="BQ645" t="s">
        <v>74</v>
      </c>
      <c r="BR645" t="s">
        <v>97</v>
      </c>
      <c r="BS645" t="s">
        <v>11159</v>
      </c>
      <c r="BT645" t="str">
        <f>HYPERLINK("https%3A%2F%2Fwww.webofscience.com%2Fwos%2Fwoscc%2Ffull-record%2FWOS:000522233400009","View Full Record in Web of Science")</f>
        <v>View Full Record in Web of Science</v>
      </c>
    </row>
    <row r="646" spans="1:72" x14ac:dyDescent="0.25">
      <c r="A646" t="s">
        <v>72</v>
      </c>
      <c r="B646" t="s">
        <v>11160</v>
      </c>
      <c r="C646" t="s">
        <v>74</v>
      </c>
      <c r="D646" t="s">
        <v>74</v>
      </c>
      <c r="E646" t="s">
        <v>74</v>
      </c>
      <c r="F646" t="s">
        <v>11161</v>
      </c>
      <c r="G646" t="s">
        <v>74</v>
      </c>
      <c r="H646" t="s">
        <v>74</v>
      </c>
      <c r="I646" t="s">
        <v>11162</v>
      </c>
      <c r="J646" t="s">
        <v>2502</v>
      </c>
      <c r="K646" t="s">
        <v>74</v>
      </c>
      <c r="L646" t="s">
        <v>74</v>
      </c>
      <c r="M646" t="s">
        <v>77</v>
      </c>
      <c r="N646" t="s">
        <v>78</v>
      </c>
      <c r="O646" t="s">
        <v>74</v>
      </c>
      <c r="P646" t="s">
        <v>74</v>
      </c>
      <c r="Q646" t="s">
        <v>74</v>
      </c>
      <c r="R646" t="s">
        <v>74</v>
      </c>
      <c r="S646" t="s">
        <v>74</v>
      </c>
      <c r="T646" t="s">
        <v>11163</v>
      </c>
      <c r="U646" t="s">
        <v>11164</v>
      </c>
      <c r="V646" t="s">
        <v>11165</v>
      </c>
      <c r="W646" t="s">
        <v>11166</v>
      </c>
      <c r="X646" t="s">
        <v>11167</v>
      </c>
      <c r="Y646" t="s">
        <v>11168</v>
      </c>
      <c r="Z646" t="s">
        <v>11169</v>
      </c>
      <c r="AA646" t="s">
        <v>11170</v>
      </c>
      <c r="AB646" t="s">
        <v>11171</v>
      </c>
      <c r="AC646" t="s">
        <v>74</v>
      </c>
      <c r="AD646" t="s">
        <v>74</v>
      </c>
      <c r="AE646" t="s">
        <v>74</v>
      </c>
      <c r="AF646" t="s">
        <v>74</v>
      </c>
      <c r="AG646">
        <v>98</v>
      </c>
      <c r="AH646">
        <v>9</v>
      </c>
      <c r="AI646">
        <v>9</v>
      </c>
      <c r="AJ646">
        <v>1</v>
      </c>
      <c r="AK646">
        <v>39</v>
      </c>
      <c r="AL646" t="s">
        <v>665</v>
      </c>
      <c r="AM646" t="s">
        <v>666</v>
      </c>
      <c r="AN646" t="s">
        <v>667</v>
      </c>
      <c r="AO646" t="s">
        <v>2510</v>
      </c>
      <c r="AP646" t="s">
        <v>2511</v>
      </c>
      <c r="AQ646" t="s">
        <v>74</v>
      </c>
      <c r="AR646" t="s">
        <v>2512</v>
      </c>
      <c r="AS646" t="s">
        <v>2513</v>
      </c>
      <c r="AT646" t="s">
        <v>3510</v>
      </c>
      <c r="AU646">
        <v>2020</v>
      </c>
      <c r="AV646">
        <v>49</v>
      </c>
      <c r="AW646">
        <v>2</v>
      </c>
      <c r="AX646" t="s">
        <v>74</v>
      </c>
      <c r="AY646" t="s">
        <v>74</v>
      </c>
      <c r="AZ646" t="s">
        <v>74</v>
      </c>
      <c r="BA646" t="s">
        <v>74</v>
      </c>
      <c r="BB646">
        <v>349</v>
      </c>
      <c r="BC646">
        <v>369</v>
      </c>
      <c r="BD646" t="s">
        <v>74</v>
      </c>
      <c r="BE646" t="s">
        <v>11172</v>
      </c>
      <c r="BF646" t="str">
        <f>HYPERLINK("http://dx.doi.org/10.1108/PR-09-2018-0321","http://dx.doi.org/10.1108/PR-09-2018-0321")</f>
        <v>http://dx.doi.org/10.1108/PR-09-2018-0321</v>
      </c>
      <c r="BG646" t="s">
        <v>74</v>
      </c>
      <c r="BH646" t="s">
        <v>74</v>
      </c>
      <c r="BI646">
        <v>21</v>
      </c>
      <c r="BJ646" t="s">
        <v>2515</v>
      </c>
      <c r="BK646" t="s">
        <v>94</v>
      </c>
      <c r="BL646" t="s">
        <v>227</v>
      </c>
      <c r="BM646" t="s">
        <v>8276</v>
      </c>
      <c r="BN646" t="s">
        <v>74</v>
      </c>
      <c r="BO646" t="s">
        <v>74</v>
      </c>
      <c r="BP646" t="s">
        <v>74</v>
      </c>
      <c r="BQ646" t="s">
        <v>74</v>
      </c>
      <c r="BR646" t="s">
        <v>97</v>
      </c>
      <c r="BS646" t="s">
        <v>11173</v>
      </c>
      <c r="BT646" t="str">
        <f>HYPERLINK("https%3A%2F%2Fwww.webofscience.com%2Fwos%2Fwoscc%2Ffull-record%2FWOS:000511229600001","View Full Record in Web of Science")</f>
        <v>View Full Record in Web of Science</v>
      </c>
    </row>
    <row r="647" spans="1:72" x14ac:dyDescent="0.25">
      <c r="A647" t="s">
        <v>72</v>
      </c>
      <c r="B647" t="s">
        <v>11174</v>
      </c>
      <c r="C647" t="s">
        <v>74</v>
      </c>
      <c r="D647" t="s">
        <v>74</v>
      </c>
      <c r="E647" t="s">
        <v>74</v>
      </c>
      <c r="F647" t="s">
        <v>11175</v>
      </c>
      <c r="G647" t="s">
        <v>74</v>
      </c>
      <c r="H647" t="s">
        <v>74</v>
      </c>
      <c r="I647" t="s">
        <v>11176</v>
      </c>
      <c r="J647" t="s">
        <v>11177</v>
      </c>
      <c r="K647" t="s">
        <v>74</v>
      </c>
      <c r="L647" t="s">
        <v>74</v>
      </c>
      <c r="M647" t="s">
        <v>77</v>
      </c>
      <c r="N647" t="s">
        <v>78</v>
      </c>
      <c r="O647" t="s">
        <v>74</v>
      </c>
      <c r="P647" t="s">
        <v>74</v>
      </c>
      <c r="Q647" t="s">
        <v>74</v>
      </c>
      <c r="R647" t="s">
        <v>74</v>
      </c>
      <c r="S647" t="s">
        <v>74</v>
      </c>
      <c r="T647" t="s">
        <v>11178</v>
      </c>
      <c r="U647" t="s">
        <v>11179</v>
      </c>
      <c r="V647" t="s">
        <v>11180</v>
      </c>
      <c r="W647" t="s">
        <v>11181</v>
      </c>
      <c r="X647" t="s">
        <v>11182</v>
      </c>
      <c r="Y647" t="s">
        <v>11183</v>
      </c>
      <c r="Z647" t="s">
        <v>11184</v>
      </c>
      <c r="AA647" t="s">
        <v>11185</v>
      </c>
      <c r="AB647" t="s">
        <v>11186</v>
      </c>
      <c r="AC647" t="s">
        <v>74</v>
      </c>
      <c r="AD647" t="s">
        <v>74</v>
      </c>
      <c r="AE647" t="s">
        <v>74</v>
      </c>
      <c r="AF647" t="s">
        <v>74</v>
      </c>
      <c r="AG647">
        <v>83</v>
      </c>
      <c r="AH647">
        <v>9</v>
      </c>
      <c r="AI647">
        <v>9</v>
      </c>
      <c r="AJ647">
        <v>1</v>
      </c>
      <c r="AK647">
        <v>11</v>
      </c>
      <c r="AL647" t="s">
        <v>665</v>
      </c>
      <c r="AM647" t="s">
        <v>666</v>
      </c>
      <c r="AN647" t="s">
        <v>667</v>
      </c>
      <c r="AO647" t="s">
        <v>11187</v>
      </c>
      <c r="AP647" t="s">
        <v>11188</v>
      </c>
      <c r="AQ647" t="s">
        <v>74</v>
      </c>
      <c r="AR647" t="s">
        <v>11189</v>
      </c>
      <c r="AS647" t="s">
        <v>11190</v>
      </c>
      <c r="AT647" t="s">
        <v>74</v>
      </c>
      <c r="AU647">
        <v>2020</v>
      </c>
      <c r="AV647">
        <v>75</v>
      </c>
      <c r="AW647">
        <v>2</v>
      </c>
      <c r="AX647" t="s">
        <v>74</v>
      </c>
      <c r="AY647" t="s">
        <v>74</v>
      </c>
      <c r="AZ647" t="s">
        <v>74</v>
      </c>
      <c r="BA647" t="s">
        <v>74</v>
      </c>
      <c r="BB647">
        <v>382</v>
      </c>
      <c r="BC647">
        <v>401</v>
      </c>
      <c r="BD647" t="s">
        <v>74</v>
      </c>
      <c r="BE647" t="s">
        <v>11191</v>
      </c>
      <c r="BF647" t="str">
        <f>HYPERLINK("http://dx.doi.org/10.1108/TR-07-2018-0101","http://dx.doi.org/10.1108/TR-07-2018-0101")</f>
        <v>http://dx.doi.org/10.1108/TR-07-2018-0101</v>
      </c>
      <c r="BG647" t="s">
        <v>74</v>
      </c>
      <c r="BH647" t="s">
        <v>74</v>
      </c>
      <c r="BI647">
        <v>20</v>
      </c>
      <c r="BJ647" t="s">
        <v>630</v>
      </c>
      <c r="BK647" t="s">
        <v>94</v>
      </c>
      <c r="BL647" t="s">
        <v>631</v>
      </c>
      <c r="BM647" t="s">
        <v>11192</v>
      </c>
      <c r="BN647" t="s">
        <v>74</v>
      </c>
      <c r="BO647" t="s">
        <v>74</v>
      </c>
      <c r="BP647" t="s">
        <v>74</v>
      </c>
      <c r="BQ647" t="s">
        <v>74</v>
      </c>
      <c r="BR647" t="s">
        <v>97</v>
      </c>
      <c r="BS647" t="s">
        <v>11193</v>
      </c>
      <c r="BT647" t="str">
        <f>HYPERLINK("https%3A%2F%2Fwww.webofscience.com%2Fwos%2Fwoscc%2Ffull-record%2FWOS:000525453900004","View Full Record in Web of Science")</f>
        <v>View Full Record in Web of Science</v>
      </c>
    </row>
    <row r="648" spans="1:72" x14ac:dyDescent="0.25">
      <c r="A648" t="s">
        <v>72</v>
      </c>
      <c r="B648" t="s">
        <v>11194</v>
      </c>
      <c r="C648" t="s">
        <v>74</v>
      </c>
      <c r="D648" t="s">
        <v>74</v>
      </c>
      <c r="E648" t="s">
        <v>74</v>
      </c>
      <c r="F648" t="s">
        <v>11195</v>
      </c>
      <c r="G648" t="s">
        <v>74</v>
      </c>
      <c r="H648" t="s">
        <v>74</v>
      </c>
      <c r="I648" t="s">
        <v>11196</v>
      </c>
      <c r="J648" t="s">
        <v>11197</v>
      </c>
      <c r="K648" t="s">
        <v>74</v>
      </c>
      <c r="L648" t="s">
        <v>74</v>
      </c>
      <c r="M648" t="s">
        <v>77</v>
      </c>
      <c r="N648" t="s">
        <v>78</v>
      </c>
      <c r="O648" t="s">
        <v>74</v>
      </c>
      <c r="P648" t="s">
        <v>74</v>
      </c>
      <c r="Q648" t="s">
        <v>74</v>
      </c>
      <c r="R648" t="s">
        <v>74</v>
      </c>
      <c r="S648" t="s">
        <v>74</v>
      </c>
      <c r="T648" t="s">
        <v>74</v>
      </c>
      <c r="U648" t="s">
        <v>11198</v>
      </c>
      <c r="V648" t="s">
        <v>11199</v>
      </c>
      <c r="W648" t="s">
        <v>11200</v>
      </c>
      <c r="X648" t="s">
        <v>11201</v>
      </c>
      <c r="Y648" t="s">
        <v>11202</v>
      </c>
      <c r="Z648" t="s">
        <v>11203</v>
      </c>
      <c r="AA648" t="s">
        <v>11204</v>
      </c>
      <c r="AB648" t="s">
        <v>11205</v>
      </c>
      <c r="AC648" t="s">
        <v>11206</v>
      </c>
      <c r="AD648" t="s">
        <v>11206</v>
      </c>
      <c r="AE648" t="s">
        <v>11207</v>
      </c>
      <c r="AF648" t="s">
        <v>74</v>
      </c>
      <c r="AG648">
        <v>39</v>
      </c>
      <c r="AH648">
        <v>9</v>
      </c>
      <c r="AI648">
        <v>10</v>
      </c>
      <c r="AJ648">
        <v>1</v>
      </c>
      <c r="AK648">
        <v>13</v>
      </c>
      <c r="AL648" t="s">
        <v>5452</v>
      </c>
      <c r="AM648" t="s">
        <v>330</v>
      </c>
      <c r="AN648" t="s">
        <v>11208</v>
      </c>
      <c r="AO648" t="s">
        <v>11209</v>
      </c>
      <c r="AP648" t="s">
        <v>11210</v>
      </c>
      <c r="AQ648" t="s">
        <v>74</v>
      </c>
      <c r="AR648" t="s">
        <v>11211</v>
      </c>
      <c r="AS648" t="s">
        <v>11212</v>
      </c>
      <c r="AT648" t="s">
        <v>256</v>
      </c>
      <c r="AU648">
        <v>2019</v>
      </c>
      <c r="AV648">
        <v>55</v>
      </c>
      <c r="AW648">
        <v>5</v>
      </c>
      <c r="AX648" t="s">
        <v>74</v>
      </c>
      <c r="AY648" t="s">
        <v>74</v>
      </c>
      <c r="AZ648" t="s">
        <v>74</v>
      </c>
      <c r="BA648" t="s">
        <v>74</v>
      </c>
      <c r="BB648">
        <v>723</v>
      </c>
      <c r="BC648">
        <v>737</v>
      </c>
      <c r="BD648" t="s">
        <v>74</v>
      </c>
      <c r="BE648" t="s">
        <v>11213</v>
      </c>
      <c r="BF648" t="str">
        <f>HYPERLINK("http://dx.doi.org/10.1017/S0014479718000315","http://dx.doi.org/10.1017/S0014479718000315")</f>
        <v>http://dx.doi.org/10.1017/S0014479718000315</v>
      </c>
      <c r="BG648" t="s">
        <v>74</v>
      </c>
      <c r="BH648" t="s">
        <v>74</v>
      </c>
      <c r="BI648">
        <v>15</v>
      </c>
      <c r="BJ648" t="s">
        <v>11214</v>
      </c>
      <c r="BK648" t="s">
        <v>147</v>
      </c>
      <c r="BL648" t="s">
        <v>5436</v>
      </c>
      <c r="BM648" t="s">
        <v>11215</v>
      </c>
      <c r="BN648" t="s">
        <v>74</v>
      </c>
      <c r="BO648" t="s">
        <v>408</v>
      </c>
      <c r="BP648" t="s">
        <v>74</v>
      </c>
      <c r="BQ648" t="s">
        <v>74</v>
      </c>
      <c r="BR648" t="s">
        <v>97</v>
      </c>
      <c r="BS648" t="s">
        <v>11216</v>
      </c>
      <c r="BT648" t="str">
        <f>HYPERLINK("https%3A%2F%2Fwww.webofscience.com%2Fwos%2Fwoscc%2Ffull-record%2FWOS:000511402000004","View Full Record in Web of Science")</f>
        <v>View Full Record in Web of Science</v>
      </c>
    </row>
    <row r="649" spans="1:72" x14ac:dyDescent="0.25">
      <c r="A649" t="s">
        <v>72</v>
      </c>
      <c r="B649" t="s">
        <v>11217</v>
      </c>
      <c r="C649" t="s">
        <v>74</v>
      </c>
      <c r="D649" t="s">
        <v>74</v>
      </c>
      <c r="E649" t="s">
        <v>74</v>
      </c>
      <c r="F649" t="s">
        <v>11218</v>
      </c>
      <c r="G649" t="s">
        <v>74</v>
      </c>
      <c r="H649" t="s">
        <v>74</v>
      </c>
      <c r="I649" t="s">
        <v>11219</v>
      </c>
      <c r="J649" t="s">
        <v>4325</v>
      </c>
      <c r="K649" t="s">
        <v>74</v>
      </c>
      <c r="L649" t="s">
        <v>74</v>
      </c>
      <c r="M649" t="s">
        <v>77</v>
      </c>
      <c r="N649" t="s">
        <v>78</v>
      </c>
      <c r="O649" t="s">
        <v>74</v>
      </c>
      <c r="P649" t="s">
        <v>74</v>
      </c>
      <c r="Q649" t="s">
        <v>74</v>
      </c>
      <c r="R649" t="s">
        <v>74</v>
      </c>
      <c r="S649" t="s">
        <v>74</v>
      </c>
      <c r="T649" t="s">
        <v>74</v>
      </c>
      <c r="U649" t="s">
        <v>11220</v>
      </c>
      <c r="V649" t="s">
        <v>11221</v>
      </c>
      <c r="W649" t="s">
        <v>11222</v>
      </c>
      <c r="X649" t="s">
        <v>11223</v>
      </c>
      <c r="Y649" t="s">
        <v>11224</v>
      </c>
      <c r="Z649" t="s">
        <v>11225</v>
      </c>
      <c r="AA649" t="s">
        <v>11226</v>
      </c>
      <c r="AB649" t="s">
        <v>11227</v>
      </c>
      <c r="AC649" t="s">
        <v>74</v>
      </c>
      <c r="AD649" t="s">
        <v>74</v>
      </c>
      <c r="AE649" t="s">
        <v>74</v>
      </c>
      <c r="AF649" t="s">
        <v>74</v>
      </c>
      <c r="AG649">
        <v>57</v>
      </c>
      <c r="AH649">
        <v>9</v>
      </c>
      <c r="AI649">
        <v>10</v>
      </c>
      <c r="AJ649">
        <v>3</v>
      </c>
      <c r="AK649">
        <v>24</v>
      </c>
      <c r="AL649" t="s">
        <v>218</v>
      </c>
      <c r="AM649" t="s">
        <v>219</v>
      </c>
      <c r="AN649" t="s">
        <v>220</v>
      </c>
      <c r="AO649" t="s">
        <v>4332</v>
      </c>
      <c r="AP649" t="s">
        <v>4333</v>
      </c>
      <c r="AQ649" t="s">
        <v>74</v>
      </c>
      <c r="AR649" t="s">
        <v>4334</v>
      </c>
      <c r="AS649" t="s">
        <v>4335</v>
      </c>
      <c r="AT649" t="s">
        <v>496</v>
      </c>
      <c r="AU649">
        <v>2019</v>
      </c>
      <c r="AV649">
        <v>28</v>
      </c>
      <c r="AW649">
        <v>3</v>
      </c>
      <c r="AX649" t="s">
        <v>74</v>
      </c>
      <c r="AY649" t="s">
        <v>74</v>
      </c>
      <c r="AZ649" t="s">
        <v>74</v>
      </c>
      <c r="BA649" t="s">
        <v>74</v>
      </c>
      <c r="BB649">
        <v>306</v>
      </c>
      <c r="BC649">
        <v>317</v>
      </c>
      <c r="BD649" t="s">
        <v>74</v>
      </c>
      <c r="BE649" t="s">
        <v>11228</v>
      </c>
      <c r="BF649" t="str">
        <f>HYPERLINK("http://dx.doi.org/10.1111/caim.12327","http://dx.doi.org/10.1111/caim.12327")</f>
        <v>http://dx.doi.org/10.1111/caim.12327</v>
      </c>
      <c r="BG649" t="s">
        <v>74</v>
      </c>
      <c r="BH649" t="s">
        <v>4677</v>
      </c>
      <c r="BI649">
        <v>12</v>
      </c>
      <c r="BJ649" t="s">
        <v>442</v>
      </c>
      <c r="BK649" t="s">
        <v>94</v>
      </c>
      <c r="BL649" t="s">
        <v>95</v>
      </c>
      <c r="BM649" t="s">
        <v>7719</v>
      </c>
      <c r="BN649" t="s">
        <v>74</v>
      </c>
      <c r="BO649" t="s">
        <v>5036</v>
      </c>
      <c r="BP649" t="s">
        <v>74</v>
      </c>
      <c r="BQ649" t="s">
        <v>74</v>
      </c>
      <c r="BR649" t="s">
        <v>97</v>
      </c>
      <c r="BS649" t="s">
        <v>11229</v>
      </c>
      <c r="BT649" t="str">
        <f>HYPERLINK("https%3A%2F%2Fwww.webofscience.com%2Fwos%2Fwoscc%2Ffull-record%2FWOS:000477381900001","View Full Record in Web of Science")</f>
        <v>View Full Record in Web of Science</v>
      </c>
    </row>
    <row r="650" spans="1:72" x14ac:dyDescent="0.25">
      <c r="A650" t="s">
        <v>72</v>
      </c>
      <c r="B650" t="s">
        <v>11230</v>
      </c>
      <c r="C650" t="s">
        <v>74</v>
      </c>
      <c r="D650" t="s">
        <v>74</v>
      </c>
      <c r="E650" t="s">
        <v>74</v>
      </c>
      <c r="F650" t="s">
        <v>11231</v>
      </c>
      <c r="G650" t="s">
        <v>74</v>
      </c>
      <c r="H650" t="s">
        <v>74</v>
      </c>
      <c r="I650" t="s">
        <v>11232</v>
      </c>
      <c r="J650" t="s">
        <v>11233</v>
      </c>
      <c r="K650" t="s">
        <v>74</v>
      </c>
      <c r="L650" t="s">
        <v>74</v>
      </c>
      <c r="M650" t="s">
        <v>77</v>
      </c>
      <c r="N650" t="s">
        <v>78</v>
      </c>
      <c r="O650" t="s">
        <v>74</v>
      </c>
      <c r="P650" t="s">
        <v>74</v>
      </c>
      <c r="Q650" t="s">
        <v>74</v>
      </c>
      <c r="R650" t="s">
        <v>74</v>
      </c>
      <c r="S650" t="s">
        <v>74</v>
      </c>
      <c r="T650" t="s">
        <v>11234</v>
      </c>
      <c r="U650" t="s">
        <v>11235</v>
      </c>
      <c r="V650" t="s">
        <v>11236</v>
      </c>
      <c r="W650" t="s">
        <v>11237</v>
      </c>
      <c r="X650" t="s">
        <v>9703</v>
      </c>
      <c r="Y650" t="s">
        <v>11238</v>
      </c>
      <c r="Z650" t="s">
        <v>11239</v>
      </c>
      <c r="AA650" t="s">
        <v>74</v>
      </c>
      <c r="AB650" t="s">
        <v>74</v>
      </c>
      <c r="AC650" t="s">
        <v>11240</v>
      </c>
      <c r="AD650" t="s">
        <v>11241</v>
      </c>
      <c r="AE650" t="s">
        <v>11242</v>
      </c>
      <c r="AF650" t="s">
        <v>74</v>
      </c>
      <c r="AG650">
        <v>71</v>
      </c>
      <c r="AH650">
        <v>9</v>
      </c>
      <c r="AI650">
        <v>9</v>
      </c>
      <c r="AJ650">
        <v>3</v>
      </c>
      <c r="AK650">
        <v>29</v>
      </c>
      <c r="AL650" t="s">
        <v>665</v>
      </c>
      <c r="AM650" t="s">
        <v>666</v>
      </c>
      <c r="AN650" t="s">
        <v>667</v>
      </c>
      <c r="AO650" t="s">
        <v>11243</v>
      </c>
      <c r="AP650" t="s">
        <v>11244</v>
      </c>
      <c r="AQ650" t="s">
        <v>74</v>
      </c>
      <c r="AR650" t="s">
        <v>11245</v>
      </c>
      <c r="AS650" t="s">
        <v>11246</v>
      </c>
      <c r="AT650" t="s">
        <v>11247</v>
      </c>
      <c r="AU650">
        <v>2019</v>
      </c>
      <c r="AV650">
        <v>32</v>
      </c>
      <c r="AW650">
        <v>4</v>
      </c>
      <c r="AX650" t="s">
        <v>74</v>
      </c>
      <c r="AY650" t="s">
        <v>74</v>
      </c>
      <c r="AZ650" t="s">
        <v>74</v>
      </c>
      <c r="BA650" t="s">
        <v>74</v>
      </c>
      <c r="BB650">
        <v>626</v>
      </c>
      <c r="BC650">
        <v>645</v>
      </c>
      <c r="BD650" t="s">
        <v>74</v>
      </c>
      <c r="BE650" t="s">
        <v>11248</v>
      </c>
      <c r="BF650" t="str">
        <f>HYPERLINK("http://dx.doi.org/10.1108/JEIM-07-2018-0160","http://dx.doi.org/10.1108/JEIM-07-2018-0160")</f>
        <v>http://dx.doi.org/10.1108/JEIM-07-2018-0160</v>
      </c>
      <c r="BG650" t="s">
        <v>74</v>
      </c>
      <c r="BH650" t="s">
        <v>74</v>
      </c>
      <c r="BI650">
        <v>20</v>
      </c>
      <c r="BJ650" t="s">
        <v>11249</v>
      </c>
      <c r="BK650" t="s">
        <v>94</v>
      </c>
      <c r="BL650" t="s">
        <v>961</v>
      </c>
      <c r="BM650" t="s">
        <v>11250</v>
      </c>
      <c r="BN650" t="s">
        <v>74</v>
      </c>
      <c r="BO650" t="s">
        <v>74</v>
      </c>
      <c r="BP650" t="s">
        <v>74</v>
      </c>
      <c r="BQ650" t="s">
        <v>74</v>
      </c>
      <c r="BR650" t="s">
        <v>97</v>
      </c>
      <c r="BS650" t="s">
        <v>11251</v>
      </c>
      <c r="BT650" t="str">
        <f>HYPERLINK("https%3A%2F%2Fwww.webofscience.com%2Fwos%2Fwoscc%2Ffull-record%2FWOS:000479197000005","View Full Record in Web of Science")</f>
        <v>View Full Record in Web of Science</v>
      </c>
    </row>
    <row r="651" spans="1:72" x14ac:dyDescent="0.25">
      <c r="A651" t="s">
        <v>72</v>
      </c>
      <c r="B651" t="s">
        <v>11252</v>
      </c>
      <c r="C651" t="s">
        <v>74</v>
      </c>
      <c r="D651" t="s">
        <v>74</v>
      </c>
      <c r="E651" t="s">
        <v>74</v>
      </c>
      <c r="F651" t="s">
        <v>11253</v>
      </c>
      <c r="G651" t="s">
        <v>74</v>
      </c>
      <c r="H651" t="s">
        <v>74</v>
      </c>
      <c r="I651" t="s">
        <v>11254</v>
      </c>
      <c r="J651" t="s">
        <v>4325</v>
      </c>
      <c r="K651" t="s">
        <v>74</v>
      </c>
      <c r="L651" t="s">
        <v>74</v>
      </c>
      <c r="M651" t="s">
        <v>77</v>
      </c>
      <c r="N651" t="s">
        <v>78</v>
      </c>
      <c r="O651" t="s">
        <v>74</v>
      </c>
      <c r="P651" t="s">
        <v>74</v>
      </c>
      <c r="Q651" t="s">
        <v>74</v>
      </c>
      <c r="R651" t="s">
        <v>74</v>
      </c>
      <c r="S651" t="s">
        <v>74</v>
      </c>
      <c r="T651" t="s">
        <v>74</v>
      </c>
      <c r="U651" t="s">
        <v>11255</v>
      </c>
      <c r="V651" t="s">
        <v>11256</v>
      </c>
      <c r="W651" t="s">
        <v>11257</v>
      </c>
      <c r="X651" t="s">
        <v>11258</v>
      </c>
      <c r="Y651" t="s">
        <v>11259</v>
      </c>
      <c r="Z651" t="s">
        <v>11260</v>
      </c>
      <c r="AA651" t="s">
        <v>74</v>
      </c>
      <c r="AB651" t="s">
        <v>74</v>
      </c>
      <c r="AC651" t="s">
        <v>74</v>
      </c>
      <c r="AD651" t="s">
        <v>74</v>
      </c>
      <c r="AE651" t="s">
        <v>74</v>
      </c>
      <c r="AF651" t="s">
        <v>74</v>
      </c>
      <c r="AG651">
        <v>74</v>
      </c>
      <c r="AH651">
        <v>9</v>
      </c>
      <c r="AI651">
        <v>9</v>
      </c>
      <c r="AJ651">
        <v>3</v>
      </c>
      <c r="AK651">
        <v>35</v>
      </c>
      <c r="AL651" t="s">
        <v>218</v>
      </c>
      <c r="AM651" t="s">
        <v>219</v>
      </c>
      <c r="AN651" t="s">
        <v>220</v>
      </c>
      <c r="AO651" t="s">
        <v>4332</v>
      </c>
      <c r="AP651" t="s">
        <v>4333</v>
      </c>
      <c r="AQ651" t="s">
        <v>74</v>
      </c>
      <c r="AR651" t="s">
        <v>4334</v>
      </c>
      <c r="AS651" t="s">
        <v>4335</v>
      </c>
      <c r="AT651" t="s">
        <v>91</v>
      </c>
      <c r="AU651">
        <v>2019</v>
      </c>
      <c r="AV651">
        <v>28</v>
      </c>
      <c r="AW651">
        <v>2</v>
      </c>
      <c r="AX651" t="s">
        <v>74</v>
      </c>
      <c r="AY651" t="s">
        <v>74</v>
      </c>
      <c r="AZ651" t="s">
        <v>74</v>
      </c>
      <c r="BA651" t="s">
        <v>74</v>
      </c>
      <c r="BB651">
        <v>218</v>
      </c>
      <c r="BC651">
        <v>229</v>
      </c>
      <c r="BD651" t="s">
        <v>74</v>
      </c>
      <c r="BE651" t="s">
        <v>11261</v>
      </c>
      <c r="BF651" t="str">
        <f>HYPERLINK("http://dx.doi.org/10.1111/caim.12308","http://dx.doi.org/10.1111/caim.12308")</f>
        <v>http://dx.doi.org/10.1111/caim.12308</v>
      </c>
      <c r="BG651" t="s">
        <v>74</v>
      </c>
      <c r="BH651" t="s">
        <v>74</v>
      </c>
      <c r="BI651">
        <v>12</v>
      </c>
      <c r="BJ651" t="s">
        <v>442</v>
      </c>
      <c r="BK651" t="s">
        <v>94</v>
      </c>
      <c r="BL651" t="s">
        <v>95</v>
      </c>
      <c r="BM651" t="s">
        <v>4337</v>
      </c>
      <c r="BN651" t="s">
        <v>74</v>
      </c>
      <c r="BO651" t="s">
        <v>74</v>
      </c>
      <c r="BP651" t="s">
        <v>74</v>
      </c>
      <c r="BQ651" t="s">
        <v>74</v>
      </c>
      <c r="BR651" t="s">
        <v>97</v>
      </c>
      <c r="BS651" t="s">
        <v>11262</v>
      </c>
      <c r="BT651" t="str">
        <f>HYPERLINK("https%3A%2F%2Fwww.webofscience.com%2Fwos%2Fwoscc%2Ffull-record%2FWOS:000469267200007","View Full Record in Web of Science")</f>
        <v>View Full Record in Web of Science</v>
      </c>
    </row>
    <row r="652" spans="1:72" x14ac:dyDescent="0.25">
      <c r="A652" t="s">
        <v>72</v>
      </c>
      <c r="B652" t="s">
        <v>11263</v>
      </c>
      <c r="C652" t="s">
        <v>74</v>
      </c>
      <c r="D652" t="s">
        <v>74</v>
      </c>
      <c r="E652" t="s">
        <v>74</v>
      </c>
      <c r="F652" t="s">
        <v>11264</v>
      </c>
      <c r="G652" t="s">
        <v>74</v>
      </c>
      <c r="H652" t="s">
        <v>74</v>
      </c>
      <c r="I652" t="s">
        <v>11265</v>
      </c>
      <c r="J652" t="s">
        <v>11266</v>
      </c>
      <c r="K652" t="s">
        <v>74</v>
      </c>
      <c r="L652" t="s">
        <v>74</v>
      </c>
      <c r="M652" t="s">
        <v>77</v>
      </c>
      <c r="N652" t="s">
        <v>78</v>
      </c>
      <c r="O652" t="s">
        <v>74</v>
      </c>
      <c r="P652" t="s">
        <v>74</v>
      </c>
      <c r="Q652" t="s">
        <v>74</v>
      </c>
      <c r="R652" t="s">
        <v>74</v>
      </c>
      <c r="S652" t="s">
        <v>74</v>
      </c>
      <c r="T652" t="s">
        <v>11267</v>
      </c>
      <c r="U652" t="s">
        <v>11268</v>
      </c>
      <c r="V652" t="s">
        <v>11269</v>
      </c>
      <c r="W652" t="s">
        <v>11270</v>
      </c>
      <c r="X652" t="s">
        <v>11271</v>
      </c>
      <c r="Y652" t="s">
        <v>11272</v>
      </c>
      <c r="Z652" t="s">
        <v>11273</v>
      </c>
      <c r="AA652" t="s">
        <v>74</v>
      </c>
      <c r="AB652" t="s">
        <v>74</v>
      </c>
      <c r="AC652" t="s">
        <v>74</v>
      </c>
      <c r="AD652" t="s">
        <v>74</v>
      </c>
      <c r="AE652" t="s">
        <v>74</v>
      </c>
      <c r="AF652" t="s">
        <v>74</v>
      </c>
      <c r="AG652">
        <v>49</v>
      </c>
      <c r="AH652">
        <v>9</v>
      </c>
      <c r="AI652">
        <v>9</v>
      </c>
      <c r="AJ652">
        <v>3</v>
      </c>
      <c r="AK652">
        <v>34</v>
      </c>
      <c r="AL652" t="s">
        <v>2351</v>
      </c>
      <c r="AM652" t="s">
        <v>541</v>
      </c>
      <c r="AN652" t="s">
        <v>2352</v>
      </c>
      <c r="AO652" t="s">
        <v>11274</v>
      </c>
      <c r="AP652" t="s">
        <v>11275</v>
      </c>
      <c r="AQ652" t="s">
        <v>74</v>
      </c>
      <c r="AR652" t="s">
        <v>11276</v>
      </c>
      <c r="AS652" t="s">
        <v>11277</v>
      </c>
      <c r="AT652" t="s">
        <v>91</v>
      </c>
      <c r="AU652">
        <v>2019</v>
      </c>
      <c r="AV652">
        <v>85</v>
      </c>
      <c r="AW652">
        <v>2</v>
      </c>
      <c r="AX652" t="s">
        <v>74</v>
      </c>
      <c r="AY652" t="s">
        <v>74</v>
      </c>
      <c r="AZ652" t="s">
        <v>74</v>
      </c>
      <c r="BA652" t="s">
        <v>74</v>
      </c>
      <c r="BB652">
        <v>286</v>
      </c>
      <c r="BC652">
        <v>303</v>
      </c>
      <c r="BD652" t="s">
        <v>74</v>
      </c>
      <c r="BE652" t="s">
        <v>11278</v>
      </c>
      <c r="BF652" t="str">
        <f>HYPERLINK("http://dx.doi.org/10.1177/0020852317692138","http://dx.doi.org/10.1177/0020852317692138")</f>
        <v>http://dx.doi.org/10.1177/0020852317692138</v>
      </c>
      <c r="BG652" t="s">
        <v>74</v>
      </c>
      <c r="BH652" t="s">
        <v>74</v>
      </c>
      <c r="BI652">
        <v>18</v>
      </c>
      <c r="BJ652" t="s">
        <v>1564</v>
      </c>
      <c r="BK652" t="s">
        <v>94</v>
      </c>
      <c r="BL652" t="s">
        <v>1564</v>
      </c>
      <c r="BM652" t="s">
        <v>11279</v>
      </c>
      <c r="BN652" t="s">
        <v>74</v>
      </c>
      <c r="BO652" t="s">
        <v>74</v>
      </c>
      <c r="BP652" t="s">
        <v>74</v>
      </c>
      <c r="BQ652" t="s">
        <v>74</v>
      </c>
      <c r="BR652" t="s">
        <v>97</v>
      </c>
      <c r="BS652" t="s">
        <v>11280</v>
      </c>
      <c r="BT652" t="str">
        <f>HYPERLINK("https%3A%2F%2Fwww.webofscience.com%2Fwos%2Fwoscc%2Ffull-record%2FWOS:000485043200005","View Full Record in Web of Science")</f>
        <v>View Full Record in Web of Science</v>
      </c>
    </row>
    <row r="653" spans="1:72" x14ac:dyDescent="0.25">
      <c r="A653" t="s">
        <v>72</v>
      </c>
      <c r="B653" t="s">
        <v>11281</v>
      </c>
      <c r="C653" t="s">
        <v>74</v>
      </c>
      <c r="D653" t="s">
        <v>74</v>
      </c>
      <c r="E653" t="s">
        <v>74</v>
      </c>
      <c r="F653" t="s">
        <v>11282</v>
      </c>
      <c r="G653" t="s">
        <v>74</v>
      </c>
      <c r="H653" t="s">
        <v>74</v>
      </c>
      <c r="I653" t="s">
        <v>11283</v>
      </c>
      <c r="J653" t="s">
        <v>11284</v>
      </c>
      <c r="K653" t="s">
        <v>74</v>
      </c>
      <c r="L653" t="s">
        <v>74</v>
      </c>
      <c r="M653" t="s">
        <v>77</v>
      </c>
      <c r="N653" t="s">
        <v>78</v>
      </c>
      <c r="O653" t="s">
        <v>74</v>
      </c>
      <c r="P653" t="s">
        <v>74</v>
      </c>
      <c r="Q653" t="s">
        <v>74</v>
      </c>
      <c r="R653" t="s">
        <v>74</v>
      </c>
      <c r="S653" t="s">
        <v>74</v>
      </c>
      <c r="T653" t="s">
        <v>11285</v>
      </c>
      <c r="U653" t="s">
        <v>11286</v>
      </c>
      <c r="V653" t="s">
        <v>11287</v>
      </c>
      <c r="W653" t="s">
        <v>11288</v>
      </c>
      <c r="X653" t="s">
        <v>11289</v>
      </c>
      <c r="Y653" t="s">
        <v>11290</v>
      </c>
      <c r="Z653" t="s">
        <v>11291</v>
      </c>
      <c r="AA653" t="s">
        <v>74</v>
      </c>
      <c r="AB653" t="s">
        <v>11292</v>
      </c>
      <c r="AC653" t="s">
        <v>11293</v>
      </c>
      <c r="AD653" t="s">
        <v>11293</v>
      </c>
      <c r="AE653" t="s">
        <v>11294</v>
      </c>
      <c r="AF653" t="s">
        <v>74</v>
      </c>
      <c r="AG653">
        <v>83</v>
      </c>
      <c r="AH653">
        <v>9</v>
      </c>
      <c r="AI653">
        <v>9</v>
      </c>
      <c r="AJ653">
        <v>7</v>
      </c>
      <c r="AK653">
        <v>61</v>
      </c>
      <c r="AL653" t="s">
        <v>3149</v>
      </c>
      <c r="AM653" t="s">
        <v>195</v>
      </c>
      <c r="AN653" t="s">
        <v>3150</v>
      </c>
      <c r="AO653" t="s">
        <v>11295</v>
      </c>
      <c r="AP653" t="s">
        <v>11296</v>
      </c>
      <c r="AQ653" t="s">
        <v>74</v>
      </c>
      <c r="AR653" t="s">
        <v>11297</v>
      </c>
      <c r="AS653" t="s">
        <v>11298</v>
      </c>
      <c r="AT653" t="s">
        <v>405</v>
      </c>
      <c r="AU653">
        <v>2019</v>
      </c>
      <c r="AV653">
        <v>26</v>
      </c>
      <c r="AW653">
        <v>1</v>
      </c>
      <c r="AX653" t="s">
        <v>74</v>
      </c>
      <c r="AY653" t="s">
        <v>74</v>
      </c>
      <c r="AZ653" t="s">
        <v>74</v>
      </c>
      <c r="BA653" t="s">
        <v>74</v>
      </c>
      <c r="BB653">
        <v>11</v>
      </c>
      <c r="BC653">
        <v>24</v>
      </c>
      <c r="BD653" t="s">
        <v>74</v>
      </c>
      <c r="BE653" t="s">
        <v>11299</v>
      </c>
      <c r="BF653" t="str">
        <f>HYPERLINK("http://dx.doi.org/10.1037/str0000081","http://dx.doi.org/10.1037/str0000081")</f>
        <v>http://dx.doi.org/10.1037/str0000081</v>
      </c>
      <c r="BG653" t="s">
        <v>74</v>
      </c>
      <c r="BH653" t="s">
        <v>74</v>
      </c>
      <c r="BI653">
        <v>14</v>
      </c>
      <c r="BJ653" t="s">
        <v>692</v>
      </c>
      <c r="BK653" t="s">
        <v>94</v>
      </c>
      <c r="BL653" t="s">
        <v>460</v>
      </c>
      <c r="BM653" t="s">
        <v>11300</v>
      </c>
      <c r="BN653" t="s">
        <v>74</v>
      </c>
      <c r="BO653" t="s">
        <v>378</v>
      </c>
      <c r="BP653" t="s">
        <v>74</v>
      </c>
      <c r="BQ653" t="s">
        <v>74</v>
      </c>
      <c r="BR653" t="s">
        <v>97</v>
      </c>
      <c r="BS653" t="s">
        <v>11301</v>
      </c>
      <c r="BT653" t="str">
        <f>HYPERLINK("https%3A%2F%2Fwww.webofscience.com%2Fwos%2Fwoscc%2Ffull-record%2FWOS:000456776200002","View Full Record in Web of Science")</f>
        <v>View Full Record in Web of Science</v>
      </c>
    </row>
    <row r="654" spans="1:72" x14ac:dyDescent="0.25">
      <c r="A654" t="s">
        <v>72</v>
      </c>
      <c r="B654" t="s">
        <v>11302</v>
      </c>
      <c r="C654" t="s">
        <v>74</v>
      </c>
      <c r="D654" t="s">
        <v>74</v>
      </c>
      <c r="E654" t="s">
        <v>74</v>
      </c>
      <c r="F654" t="s">
        <v>11303</v>
      </c>
      <c r="G654" t="s">
        <v>74</v>
      </c>
      <c r="H654" t="s">
        <v>74</v>
      </c>
      <c r="I654" t="s">
        <v>11304</v>
      </c>
      <c r="J654" t="s">
        <v>2605</v>
      </c>
      <c r="K654" t="s">
        <v>74</v>
      </c>
      <c r="L654" t="s">
        <v>74</v>
      </c>
      <c r="M654" t="s">
        <v>77</v>
      </c>
      <c r="N654" t="s">
        <v>78</v>
      </c>
      <c r="O654" t="s">
        <v>74</v>
      </c>
      <c r="P654" t="s">
        <v>74</v>
      </c>
      <c r="Q654" t="s">
        <v>74</v>
      </c>
      <c r="R654" t="s">
        <v>74</v>
      </c>
      <c r="S654" t="s">
        <v>74</v>
      </c>
      <c r="T654" t="s">
        <v>11305</v>
      </c>
      <c r="U654" t="s">
        <v>11306</v>
      </c>
      <c r="V654" t="s">
        <v>11307</v>
      </c>
      <c r="W654" t="s">
        <v>11308</v>
      </c>
      <c r="X654" t="s">
        <v>11309</v>
      </c>
      <c r="Y654" t="s">
        <v>11310</v>
      </c>
      <c r="Z654" t="s">
        <v>11311</v>
      </c>
      <c r="AA654" t="s">
        <v>11312</v>
      </c>
      <c r="AB654" t="s">
        <v>11313</v>
      </c>
      <c r="AC654" t="s">
        <v>11314</v>
      </c>
      <c r="AD654" t="s">
        <v>11315</v>
      </c>
      <c r="AE654" t="s">
        <v>11316</v>
      </c>
      <c r="AF654" t="s">
        <v>74</v>
      </c>
      <c r="AG654">
        <v>59</v>
      </c>
      <c r="AH654">
        <v>9</v>
      </c>
      <c r="AI654">
        <v>9</v>
      </c>
      <c r="AJ654">
        <v>0</v>
      </c>
      <c r="AK654">
        <v>36</v>
      </c>
      <c r="AL654" t="s">
        <v>368</v>
      </c>
      <c r="AM654" t="s">
        <v>369</v>
      </c>
      <c r="AN654" t="s">
        <v>370</v>
      </c>
      <c r="AO654" t="s">
        <v>2618</v>
      </c>
      <c r="AP654" t="s">
        <v>2619</v>
      </c>
      <c r="AQ654" t="s">
        <v>74</v>
      </c>
      <c r="AR654" t="s">
        <v>2620</v>
      </c>
      <c r="AS654" t="s">
        <v>2621</v>
      </c>
      <c r="AT654" t="s">
        <v>1812</v>
      </c>
      <c r="AU654">
        <v>2017</v>
      </c>
      <c r="AV654">
        <v>28</v>
      </c>
      <c r="AW654">
        <v>2</v>
      </c>
      <c r="AX654" t="s">
        <v>74</v>
      </c>
      <c r="AY654" t="s">
        <v>74</v>
      </c>
      <c r="AZ654" t="s">
        <v>74</v>
      </c>
      <c r="BA654" t="s">
        <v>74</v>
      </c>
      <c r="BB654">
        <v>579</v>
      </c>
      <c r="BC654">
        <v>588</v>
      </c>
      <c r="BD654" t="s">
        <v>74</v>
      </c>
      <c r="BE654" t="s">
        <v>11317</v>
      </c>
      <c r="BF654" t="str">
        <f>HYPERLINK("http://dx.doi.org/10.1093/beheco/arx001","http://dx.doi.org/10.1093/beheco/arx001")</f>
        <v>http://dx.doi.org/10.1093/beheco/arx001</v>
      </c>
      <c r="BG654" t="s">
        <v>74</v>
      </c>
      <c r="BH654" t="s">
        <v>74</v>
      </c>
      <c r="BI654">
        <v>10</v>
      </c>
      <c r="BJ654" t="s">
        <v>2623</v>
      </c>
      <c r="BK654" t="s">
        <v>283</v>
      </c>
      <c r="BL654" t="s">
        <v>2624</v>
      </c>
      <c r="BM654" t="s">
        <v>11318</v>
      </c>
      <c r="BN654" t="s">
        <v>74</v>
      </c>
      <c r="BO654" t="s">
        <v>229</v>
      </c>
      <c r="BP654" t="s">
        <v>74</v>
      </c>
      <c r="BQ654" t="s">
        <v>74</v>
      </c>
      <c r="BR654" t="s">
        <v>97</v>
      </c>
      <c r="BS654" t="s">
        <v>11319</v>
      </c>
      <c r="BT654" t="str">
        <f>HYPERLINK("https%3A%2F%2Fwww.webofscience.com%2Fwos%2Fwoscc%2Ffull-record%2FWOS:000401769000034","View Full Record in Web of Science")</f>
        <v>View Full Record in Web of Science</v>
      </c>
    </row>
    <row r="655" spans="1:72" x14ac:dyDescent="0.25">
      <c r="A655" t="s">
        <v>72</v>
      </c>
      <c r="B655" t="s">
        <v>11320</v>
      </c>
      <c r="C655" t="s">
        <v>74</v>
      </c>
      <c r="D655" t="s">
        <v>74</v>
      </c>
      <c r="E655" t="s">
        <v>74</v>
      </c>
      <c r="F655" t="s">
        <v>11321</v>
      </c>
      <c r="G655" t="s">
        <v>74</v>
      </c>
      <c r="H655" t="s">
        <v>74</v>
      </c>
      <c r="I655" t="s">
        <v>11322</v>
      </c>
      <c r="J655" t="s">
        <v>4564</v>
      </c>
      <c r="K655" t="s">
        <v>74</v>
      </c>
      <c r="L655" t="s">
        <v>74</v>
      </c>
      <c r="M655" t="s">
        <v>77</v>
      </c>
      <c r="N655" t="s">
        <v>78</v>
      </c>
      <c r="O655" t="s">
        <v>74</v>
      </c>
      <c r="P655" t="s">
        <v>74</v>
      </c>
      <c r="Q655" t="s">
        <v>74</v>
      </c>
      <c r="R655" t="s">
        <v>74</v>
      </c>
      <c r="S655" t="s">
        <v>74</v>
      </c>
      <c r="T655" t="s">
        <v>11323</v>
      </c>
      <c r="U655" t="s">
        <v>11324</v>
      </c>
      <c r="V655" t="s">
        <v>11325</v>
      </c>
      <c r="W655" t="s">
        <v>11326</v>
      </c>
      <c r="X655" t="s">
        <v>4685</v>
      </c>
      <c r="Y655" t="s">
        <v>11327</v>
      </c>
      <c r="Z655" t="s">
        <v>11328</v>
      </c>
      <c r="AA655" t="s">
        <v>4688</v>
      </c>
      <c r="AB655" t="s">
        <v>4689</v>
      </c>
      <c r="AC655" t="s">
        <v>74</v>
      </c>
      <c r="AD655" t="s">
        <v>74</v>
      </c>
      <c r="AE655" t="s">
        <v>74</v>
      </c>
      <c r="AF655" t="s">
        <v>74</v>
      </c>
      <c r="AG655">
        <v>76</v>
      </c>
      <c r="AH655">
        <v>9</v>
      </c>
      <c r="AI655">
        <v>9</v>
      </c>
      <c r="AJ655">
        <v>4</v>
      </c>
      <c r="AK655">
        <v>45</v>
      </c>
      <c r="AL655" t="s">
        <v>1099</v>
      </c>
      <c r="AM655" t="s">
        <v>305</v>
      </c>
      <c r="AN655" t="s">
        <v>1100</v>
      </c>
      <c r="AO655" t="s">
        <v>4574</v>
      </c>
      <c r="AP655" t="s">
        <v>4575</v>
      </c>
      <c r="AQ655" t="s">
        <v>74</v>
      </c>
      <c r="AR655" t="s">
        <v>4576</v>
      </c>
      <c r="AS655" t="s">
        <v>4577</v>
      </c>
      <c r="AT655" t="s">
        <v>74</v>
      </c>
      <c r="AU655">
        <v>2017</v>
      </c>
      <c r="AV655">
        <v>26</v>
      </c>
      <c r="AW655">
        <v>2</v>
      </c>
      <c r="AX655" t="s">
        <v>74</v>
      </c>
      <c r="AY655" t="s">
        <v>74</v>
      </c>
      <c r="AZ655" t="s">
        <v>74</v>
      </c>
      <c r="BA655" t="s">
        <v>74</v>
      </c>
      <c r="BB655">
        <v>164</v>
      </c>
      <c r="BC655">
        <v>185</v>
      </c>
      <c r="BD655" t="s">
        <v>74</v>
      </c>
      <c r="BE655" t="s">
        <v>11329</v>
      </c>
      <c r="BF655" t="str">
        <f>HYPERLINK("http://dx.doi.org/10.1080/19368623.2016.1215946","http://dx.doi.org/10.1080/19368623.2016.1215946")</f>
        <v>http://dx.doi.org/10.1080/19368623.2016.1215946</v>
      </c>
      <c r="BG655" t="s">
        <v>74</v>
      </c>
      <c r="BH655" t="s">
        <v>74</v>
      </c>
      <c r="BI655">
        <v>22</v>
      </c>
      <c r="BJ655" t="s">
        <v>4581</v>
      </c>
      <c r="BK655" t="s">
        <v>94</v>
      </c>
      <c r="BL655" t="s">
        <v>2359</v>
      </c>
      <c r="BM655" t="s">
        <v>11330</v>
      </c>
      <c r="BN655" t="s">
        <v>74</v>
      </c>
      <c r="BO655" t="s">
        <v>74</v>
      </c>
      <c r="BP655" t="s">
        <v>74</v>
      </c>
      <c r="BQ655" t="s">
        <v>74</v>
      </c>
      <c r="BR655" t="s">
        <v>97</v>
      </c>
      <c r="BS655" t="s">
        <v>11331</v>
      </c>
      <c r="BT655" t="str">
        <f>HYPERLINK("https%3A%2F%2Fwww.webofscience.com%2Fwos%2Fwoscc%2Ffull-record%2FWOS:000394620900004","View Full Record in Web of Science")</f>
        <v>View Full Record in Web of Science</v>
      </c>
    </row>
    <row r="656" spans="1:72" x14ac:dyDescent="0.25">
      <c r="A656" t="s">
        <v>72</v>
      </c>
      <c r="B656" t="s">
        <v>11332</v>
      </c>
      <c r="C656" t="s">
        <v>74</v>
      </c>
      <c r="D656" t="s">
        <v>74</v>
      </c>
      <c r="E656" t="s">
        <v>74</v>
      </c>
      <c r="F656" t="s">
        <v>11333</v>
      </c>
      <c r="G656" t="s">
        <v>74</v>
      </c>
      <c r="H656" t="s">
        <v>74</v>
      </c>
      <c r="I656" t="s">
        <v>11334</v>
      </c>
      <c r="J656" t="s">
        <v>5442</v>
      </c>
      <c r="K656" t="s">
        <v>74</v>
      </c>
      <c r="L656" t="s">
        <v>74</v>
      </c>
      <c r="M656" t="s">
        <v>77</v>
      </c>
      <c r="N656" t="s">
        <v>78</v>
      </c>
      <c r="O656" t="s">
        <v>74</v>
      </c>
      <c r="P656" t="s">
        <v>74</v>
      </c>
      <c r="Q656" t="s">
        <v>74</v>
      </c>
      <c r="R656" t="s">
        <v>74</v>
      </c>
      <c r="S656" t="s">
        <v>74</v>
      </c>
      <c r="T656" t="s">
        <v>11335</v>
      </c>
      <c r="U656" t="s">
        <v>11336</v>
      </c>
      <c r="V656" t="s">
        <v>11337</v>
      </c>
      <c r="W656" t="s">
        <v>11338</v>
      </c>
      <c r="X656" t="s">
        <v>11339</v>
      </c>
      <c r="Y656" t="s">
        <v>5933</v>
      </c>
      <c r="Z656" t="s">
        <v>11340</v>
      </c>
      <c r="AA656" t="s">
        <v>74</v>
      </c>
      <c r="AB656" t="s">
        <v>74</v>
      </c>
      <c r="AC656" t="s">
        <v>11341</v>
      </c>
      <c r="AD656" t="s">
        <v>11342</v>
      </c>
      <c r="AE656" t="s">
        <v>11343</v>
      </c>
      <c r="AF656" t="s">
        <v>74</v>
      </c>
      <c r="AG656">
        <v>92</v>
      </c>
      <c r="AH656">
        <v>9</v>
      </c>
      <c r="AI656">
        <v>9</v>
      </c>
      <c r="AJ656">
        <v>8</v>
      </c>
      <c r="AK656">
        <v>69</v>
      </c>
      <c r="AL656" t="s">
        <v>5452</v>
      </c>
      <c r="AM656" t="s">
        <v>5453</v>
      </c>
      <c r="AN656" t="s">
        <v>5454</v>
      </c>
      <c r="AO656" t="s">
        <v>5455</v>
      </c>
      <c r="AP656" t="s">
        <v>5456</v>
      </c>
      <c r="AQ656" t="s">
        <v>74</v>
      </c>
      <c r="AR656" t="s">
        <v>5457</v>
      </c>
      <c r="AS656" t="s">
        <v>5458</v>
      </c>
      <c r="AT656" t="s">
        <v>165</v>
      </c>
      <c r="AU656">
        <v>2016</v>
      </c>
      <c r="AV656">
        <v>22</v>
      </c>
      <c r="AW656">
        <v>3</v>
      </c>
      <c r="AX656" t="s">
        <v>74</v>
      </c>
      <c r="AY656" t="s">
        <v>74</v>
      </c>
      <c r="AZ656" t="s">
        <v>74</v>
      </c>
      <c r="BA656" t="s">
        <v>74</v>
      </c>
      <c r="BB656">
        <v>291</v>
      </c>
      <c r="BC656">
        <v>310</v>
      </c>
      <c r="BD656" t="s">
        <v>74</v>
      </c>
      <c r="BE656" t="s">
        <v>11344</v>
      </c>
      <c r="BF656" t="str">
        <f>HYPERLINK("http://dx.doi.org/10.1017/jmo.2015.33","http://dx.doi.org/10.1017/jmo.2015.33")</f>
        <v>http://dx.doi.org/10.1017/jmo.2015.33</v>
      </c>
      <c r="BG656" t="s">
        <v>74</v>
      </c>
      <c r="BH656" t="s">
        <v>74</v>
      </c>
      <c r="BI656">
        <v>20</v>
      </c>
      <c r="BJ656" t="s">
        <v>442</v>
      </c>
      <c r="BK656" t="s">
        <v>94</v>
      </c>
      <c r="BL656" t="s">
        <v>95</v>
      </c>
      <c r="BM656" t="s">
        <v>11345</v>
      </c>
      <c r="BN656" t="s">
        <v>74</v>
      </c>
      <c r="BO656" t="s">
        <v>74</v>
      </c>
      <c r="BP656" t="s">
        <v>74</v>
      </c>
      <c r="BQ656" t="s">
        <v>74</v>
      </c>
      <c r="BR656" t="s">
        <v>97</v>
      </c>
      <c r="BS656" t="s">
        <v>11346</v>
      </c>
      <c r="BT656" t="str">
        <f>HYPERLINK("https%3A%2F%2Fwww.webofscience.com%2Fwos%2Fwoscc%2Ffull-record%2FWOS:000379508700001","View Full Record in Web of Science")</f>
        <v>View Full Record in Web of Science</v>
      </c>
    </row>
    <row r="657" spans="1:72" x14ac:dyDescent="0.25">
      <c r="A657" t="s">
        <v>72</v>
      </c>
      <c r="B657" t="s">
        <v>11347</v>
      </c>
      <c r="C657" t="s">
        <v>74</v>
      </c>
      <c r="D657" t="s">
        <v>74</v>
      </c>
      <c r="E657" t="s">
        <v>74</v>
      </c>
      <c r="F657" t="s">
        <v>11348</v>
      </c>
      <c r="G657" t="s">
        <v>74</v>
      </c>
      <c r="H657" t="s">
        <v>74</v>
      </c>
      <c r="I657" t="s">
        <v>11349</v>
      </c>
      <c r="J657" t="s">
        <v>11350</v>
      </c>
      <c r="K657" t="s">
        <v>74</v>
      </c>
      <c r="L657" t="s">
        <v>74</v>
      </c>
      <c r="M657" t="s">
        <v>77</v>
      </c>
      <c r="N657" t="s">
        <v>78</v>
      </c>
      <c r="O657" t="s">
        <v>74</v>
      </c>
      <c r="P657" t="s">
        <v>74</v>
      </c>
      <c r="Q657" t="s">
        <v>74</v>
      </c>
      <c r="R657" t="s">
        <v>74</v>
      </c>
      <c r="S657" t="s">
        <v>74</v>
      </c>
      <c r="T657" t="s">
        <v>11351</v>
      </c>
      <c r="U657" t="s">
        <v>11352</v>
      </c>
      <c r="V657" t="s">
        <v>11353</v>
      </c>
      <c r="W657" t="s">
        <v>11354</v>
      </c>
      <c r="X657" t="s">
        <v>11355</v>
      </c>
      <c r="Y657" t="s">
        <v>11356</v>
      </c>
      <c r="Z657" t="s">
        <v>11357</v>
      </c>
      <c r="AA657" t="s">
        <v>11358</v>
      </c>
      <c r="AB657" t="s">
        <v>11359</v>
      </c>
      <c r="AC657" t="s">
        <v>74</v>
      </c>
      <c r="AD657" t="s">
        <v>74</v>
      </c>
      <c r="AE657" t="s">
        <v>74</v>
      </c>
      <c r="AF657" t="s">
        <v>74</v>
      </c>
      <c r="AG657">
        <v>41</v>
      </c>
      <c r="AH657">
        <v>9</v>
      </c>
      <c r="AI657">
        <v>9</v>
      </c>
      <c r="AJ657">
        <v>0</v>
      </c>
      <c r="AK657">
        <v>46</v>
      </c>
      <c r="AL657" t="s">
        <v>138</v>
      </c>
      <c r="AM657" t="s">
        <v>139</v>
      </c>
      <c r="AN657" t="s">
        <v>140</v>
      </c>
      <c r="AO657" t="s">
        <v>11360</v>
      </c>
      <c r="AP657" t="s">
        <v>11361</v>
      </c>
      <c r="AQ657" t="s">
        <v>74</v>
      </c>
      <c r="AR657" t="s">
        <v>11362</v>
      </c>
      <c r="AS657" t="s">
        <v>11363</v>
      </c>
      <c r="AT657" t="s">
        <v>4767</v>
      </c>
      <c r="AU657">
        <v>2014</v>
      </c>
      <c r="AV657">
        <v>39</v>
      </c>
      <c r="AW657">
        <v>4</v>
      </c>
      <c r="AX657" t="s">
        <v>74</v>
      </c>
      <c r="AY657" t="s">
        <v>74</v>
      </c>
      <c r="AZ657" t="s">
        <v>74</v>
      </c>
      <c r="BA657" t="s">
        <v>74</v>
      </c>
      <c r="BB657">
        <v>329</v>
      </c>
      <c r="BC657">
        <v>339</v>
      </c>
      <c r="BD657" t="s">
        <v>74</v>
      </c>
      <c r="BE657" t="s">
        <v>11364</v>
      </c>
      <c r="BF657" t="str">
        <f>HYPERLINK("http://dx.doi.org/10.1097/HMR.0b013e31829d534c","http://dx.doi.org/10.1097/HMR.0b013e31829d534c")</f>
        <v>http://dx.doi.org/10.1097/HMR.0b013e31829d534c</v>
      </c>
      <c r="BG657" t="s">
        <v>74</v>
      </c>
      <c r="BH657" t="s">
        <v>74</v>
      </c>
      <c r="BI657">
        <v>11</v>
      </c>
      <c r="BJ657" t="s">
        <v>6916</v>
      </c>
      <c r="BK657" t="s">
        <v>94</v>
      </c>
      <c r="BL657" t="s">
        <v>4027</v>
      </c>
      <c r="BM657" t="s">
        <v>11365</v>
      </c>
      <c r="BN657">
        <v>23896657</v>
      </c>
      <c r="BO657" t="s">
        <v>74</v>
      </c>
      <c r="BP657" t="s">
        <v>74</v>
      </c>
      <c r="BQ657" t="s">
        <v>74</v>
      </c>
      <c r="BR657" t="s">
        <v>97</v>
      </c>
      <c r="BS657" t="s">
        <v>11366</v>
      </c>
      <c r="BT657" t="str">
        <f>HYPERLINK("https%3A%2F%2Fwww.webofscience.com%2Fwos%2Fwoscc%2Ffull-record%2FWOS:000341965900007","View Full Record in Web of Science")</f>
        <v>View Full Record in Web of Science</v>
      </c>
    </row>
    <row r="658" spans="1:72" x14ac:dyDescent="0.25">
      <c r="A658" t="s">
        <v>72</v>
      </c>
      <c r="B658" t="s">
        <v>11367</v>
      </c>
      <c r="C658" t="s">
        <v>74</v>
      </c>
      <c r="D658" t="s">
        <v>74</v>
      </c>
      <c r="E658" t="s">
        <v>74</v>
      </c>
      <c r="F658" t="s">
        <v>11368</v>
      </c>
      <c r="G658" t="s">
        <v>74</v>
      </c>
      <c r="H658" t="s">
        <v>74</v>
      </c>
      <c r="I658" t="s">
        <v>11369</v>
      </c>
      <c r="J658" t="s">
        <v>11370</v>
      </c>
      <c r="K658" t="s">
        <v>74</v>
      </c>
      <c r="L658" t="s">
        <v>74</v>
      </c>
      <c r="M658" t="s">
        <v>77</v>
      </c>
      <c r="N658" t="s">
        <v>78</v>
      </c>
      <c r="O658" t="s">
        <v>74</v>
      </c>
      <c r="P658" t="s">
        <v>74</v>
      </c>
      <c r="Q658" t="s">
        <v>74</v>
      </c>
      <c r="R658" t="s">
        <v>74</v>
      </c>
      <c r="S658" t="s">
        <v>74</v>
      </c>
      <c r="T658" t="s">
        <v>11371</v>
      </c>
      <c r="U658" t="s">
        <v>11372</v>
      </c>
      <c r="V658" t="s">
        <v>11373</v>
      </c>
      <c r="W658" t="s">
        <v>11374</v>
      </c>
      <c r="X658" t="s">
        <v>11375</v>
      </c>
      <c r="Y658" t="s">
        <v>11376</v>
      </c>
      <c r="Z658" t="s">
        <v>11377</v>
      </c>
      <c r="AA658" t="s">
        <v>11378</v>
      </c>
      <c r="AB658" t="s">
        <v>74</v>
      </c>
      <c r="AC658" t="s">
        <v>11379</v>
      </c>
      <c r="AD658" t="s">
        <v>11380</v>
      </c>
      <c r="AE658" t="s">
        <v>11381</v>
      </c>
      <c r="AF658" t="s">
        <v>74</v>
      </c>
      <c r="AG658">
        <v>41</v>
      </c>
      <c r="AH658">
        <v>9</v>
      </c>
      <c r="AI658">
        <v>9</v>
      </c>
      <c r="AJ658">
        <v>1</v>
      </c>
      <c r="AK658">
        <v>44</v>
      </c>
      <c r="AL658" t="s">
        <v>434</v>
      </c>
      <c r="AM658" t="s">
        <v>435</v>
      </c>
      <c r="AN658" t="s">
        <v>436</v>
      </c>
      <c r="AO658" t="s">
        <v>11382</v>
      </c>
      <c r="AP658" t="s">
        <v>11383</v>
      </c>
      <c r="AQ658" t="s">
        <v>74</v>
      </c>
      <c r="AR658" t="s">
        <v>11384</v>
      </c>
      <c r="AS658" t="s">
        <v>11385</v>
      </c>
      <c r="AT658" t="s">
        <v>11386</v>
      </c>
      <c r="AU658">
        <v>2014</v>
      </c>
      <c r="AV658">
        <v>394</v>
      </c>
      <c r="AW658" t="s">
        <v>74</v>
      </c>
      <c r="AX658" t="s">
        <v>74</v>
      </c>
      <c r="AY658" t="s">
        <v>74</v>
      </c>
      <c r="AZ658" t="s">
        <v>74</v>
      </c>
      <c r="BA658" t="s">
        <v>74</v>
      </c>
      <c r="BB658">
        <v>74</v>
      </c>
      <c r="BC658">
        <v>81</v>
      </c>
      <c r="BD658" t="s">
        <v>74</v>
      </c>
      <c r="BE658" t="s">
        <v>11387</v>
      </c>
      <c r="BF658" t="str">
        <f>HYPERLINK("http://dx.doi.org/10.1016/j.physa.2013.09.039","http://dx.doi.org/10.1016/j.physa.2013.09.039")</f>
        <v>http://dx.doi.org/10.1016/j.physa.2013.09.039</v>
      </c>
      <c r="BG658" t="s">
        <v>74</v>
      </c>
      <c r="BH658" t="s">
        <v>74</v>
      </c>
      <c r="BI658">
        <v>8</v>
      </c>
      <c r="BJ658" t="s">
        <v>11388</v>
      </c>
      <c r="BK658" t="s">
        <v>283</v>
      </c>
      <c r="BL658" t="s">
        <v>10384</v>
      </c>
      <c r="BM658" t="s">
        <v>11389</v>
      </c>
      <c r="BN658" t="s">
        <v>74</v>
      </c>
      <c r="BO658" t="s">
        <v>74</v>
      </c>
      <c r="BP658" t="s">
        <v>74</v>
      </c>
      <c r="BQ658" t="s">
        <v>74</v>
      </c>
      <c r="BR658" t="s">
        <v>97</v>
      </c>
      <c r="BS658" t="s">
        <v>11390</v>
      </c>
      <c r="BT658" t="str">
        <f>HYPERLINK("https%3A%2F%2Fwww.webofscience.com%2Fwos%2Fwoscc%2Ffull-record%2FWOS:000328523600007","View Full Record in Web of Science")</f>
        <v>View Full Record in Web of Science</v>
      </c>
    </row>
    <row r="659" spans="1:72" x14ac:dyDescent="0.25">
      <c r="A659" t="s">
        <v>72</v>
      </c>
      <c r="B659" t="s">
        <v>11391</v>
      </c>
      <c r="C659" t="s">
        <v>74</v>
      </c>
      <c r="D659" t="s">
        <v>74</v>
      </c>
      <c r="E659" t="s">
        <v>74</v>
      </c>
      <c r="F659" t="s">
        <v>11392</v>
      </c>
      <c r="G659" t="s">
        <v>74</v>
      </c>
      <c r="H659" t="s">
        <v>74</v>
      </c>
      <c r="I659" t="s">
        <v>11393</v>
      </c>
      <c r="J659" t="s">
        <v>11394</v>
      </c>
      <c r="K659" t="s">
        <v>74</v>
      </c>
      <c r="L659" t="s">
        <v>74</v>
      </c>
      <c r="M659" t="s">
        <v>77</v>
      </c>
      <c r="N659" t="s">
        <v>78</v>
      </c>
      <c r="O659" t="s">
        <v>74</v>
      </c>
      <c r="P659" t="s">
        <v>74</v>
      </c>
      <c r="Q659" t="s">
        <v>74</v>
      </c>
      <c r="R659" t="s">
        <v>74</v>
      </c>
      <c r="S659" t="s">
        <v>74</v>
      </c>
      <c r="T659" t="s">
        <v>11395</v>
      </c>
      <c r="U659" t="s">
        <v>11396</v>
      </c>
      <c r="V659" t="s">
        <v>11397</v>
      </c>
      <c r="W659" t="s">
        <v>74</v>
      </c>
      <c r="X659" t="s">
        <v>74</v>
      </c>
      <c r="Y659" t="s">
        <v>74</v>
      </c>
      <c r="Z659" t="s">
        <v>11398</v>
      </c>
      <c r="AA659" t="s">
        <v>11399</v>
      </c>
      <c r="AB659" t="s">
        <v>11400</v>
      </c>
      <c r="AC659" t="s">
        <v>74</v>
      </c>
      <c r="AD659" t="s">
        <v>74</v>
      </c>
      <c r="AE659" t="s">
        <v>74</v>
      </c>
      <c r="AF659" t="s">
        <v>74</v>
      </c>
      <c r="AG659">
        <v>48</v>
      </c>
      <c r="AH659">
        <v>9</v>
      </c>
      <c r="AI659">
        <v>9</v>
      </c>
      <c r="AJ659">
        <v>0</v>
      </c>
      <c r="AK659">
        <v>9</v>
      </c>
      <c r="AL659" t="s">
        <v>7912</v>
      </c>
      <c r="AM659" t="s">
        <v>7913</v>
      </c>
      <c r="AN659" t="s">
        <v>7914</v>
      </c>
      <c r="AO659" t="s">
        <v>11401</v>
      </c>
      <c r="AP659" t="s">
        <v>74</v>
      </c>
      <c r="AQ659" t="s">
        <v>74</v>
      </c>
      <c r="AR659" t="s">
        <v>11402</v>
      </c>
      <c r="AS659" t="s">
        <v>11403</v>
      </c>
      <c r="AT659" t="s">
        <v>74</v>
      </c>
      <c r="AU659">
        <v>2013</v>
      </c>
      <c r="AV659">
        <v>18</v>
      </c>
      <c r="AW659">
        <v>1</v>
      </c>
      <c r="AX659" t="s">
        <v>74</v>
      </c>
      <c r="AY659" t="s">
        <v>74</v>
      </c>
      <c r="AZ659" t="s">
        <v>74</v>
      </c>
      <c r="BA659" t="s">
        <v>74</v>
      </c>
      <c r="BB659">
        <v>66</v>
      </c>
      <c r="BC659">
        <v>96</v>
      </c>
      <c r="BD659" t="s">
        <v>74</v>
      </c>
      <c r="BE659" t="s">
        <v>11404</v>
      </c>
      <c r="BF659" t="str">
        <f>HYPERLINK("http://dx.doi.org/10.5771/0949-6181-2013-1-66","http://dx.doi.org/10.5771/0949-6181-2013-1-66")</f>
        <v>http://dx.doi.org/10.5771/0949-6181-2013-1-66</v>
      </c>
      <c r="BG659" t="s">
        <v>74</v>
      </c>
      <c r="BH659" t="s">
        <v>74</v>
      </c>
      <c r="BI659">
        <v>31</v>
      </c>
      <c r="BJ659" t="s">
        <v>442</v>
      </c>
      <c r="BK659" t="s">
        <v>94</v>
      </c>
      <c r="BL659" t="s">
        <v>95</v>
      </c>
      <c r="BM659" t="s">
        <v>11405</v>
      </c>
      <c r="BN659" t="s">
        <v>74</v>
      </c>
      <c r="BO659" t="s">
        <v>11406</v>
      </c>
      <c r="BP659" t="s">
        <v>74</v>
      </c>
      <c r="BQ659" t="s">
        <v>74</v>
      </c>
      <c r="BR659" t="s">
        <v>97</v>
      </c>
      <c r="BS659" t="s">
        <v>11407</v>
      </c>
      <c r="BT659" t="str">
        <f>HYPERLINK("https%3A%2F%2Fwww.webofscience.com%2Fwos%2Fwoscc%2Ffull-record%2FWOS:000320738400005","View Full Record in Web of Science")</f>
        <v>View Full Record in Web of Science</v>
      </c>
    </row>
    <row r="660" spans="1:72" x14ac:dyDescent="0.25">
      <c r="A660" t="s">
        <v>72</v>
      </c>
      <c r="B660" t="s">
        <v>11408</v>
      </c>
      <c r="C660" t="s">
        <v>74</v>
      </c>
      <c r="D660" t="s">
        <v>74</v>
      </c>
      <c r="E660" t="s">
        <v>74</v>
      </c>
      <c r="F660" t="s">
        <v>11409</v>
      </c>
      <c r="G660" t="s">
        <v>74</v>
      </c>
      <c r="H660" t="s">
        <v>74</v>
      </c>
      <c r="I660" t="s">
        <v>11410</v>
      </c>
      <c r="J660" t="s">
        <v>11411</v>
      </c>
      <c r="K660" t="s">
        <v>74</v>
      </c>
      <c r="L660" t="s">
        <v>74</v>
      </c>
      <c r="M660" t="s">
        <v>77</v>
      </c>
      <c r="N660" t="s">
        <v>78</v>
      </c>
      <c r="O660" t="s">
        <v>74</v>
      </c>
      <c r="P660" t="s">
        <v>74</v>
      </c>
      <c r="Q660" t="s">
        <v>74</v>
      </c>
      <c r="R660" t="s">
        <v>74</v>
      </c>
      <c r="S660" t="s">
        <v>74</v>
      </c>
      <c r="T660" t="s">
        <v>11412</v>
      </c>
      <c r="U660" t="s">
        <v>11413</v>
      </c>
      <c r="V660" t="s">
        <v>11414</v>
      </c>
      <c r="W660" t="s">
        <v>11415</v>
      </c>
      <c r="X660" t="s">
        <v>11416</v>
      </c>
      <c r="Y660" t="s">
        <v>11417</v>
      </c>
      <c r="Z660" t="s">
        <v>11418</v>
      </c>
      <c r="AA660" t="s">
        <v>74</v>
      </c>
      <c r="AB660" t="s">
        <v>74</v>
      </c>
      <c r="AC660" t="s">
        <v>11419</v>
      </c>
      <c r="AD660" t="s">
        <v>11420</v>
      </c>
      <c r="AE660" t="s">
        <v>11421</v>
      </c>
      <c r="AF660" t="s">
        <v>74</v>
      </c>
      <c r="AG660">
        <v>36</v>
      </c>
      <c r="AH660">
        <v>9</v>
      </c>
      <c r="AI660">
        <v>9</v>
      </c>
      <c r="AJ660">
        <v>0</v>
      </c>
      <c r="AK660">
        <v>36</v>
      </c>
      <c r="AL660" t="s">
        <v>4760</v>
      </c>
      <c r="AM660" t="s">
        <v>4761</v>
      </c>
      <c r="AN660" t="s">
        <v>4762</v>
      </c>
      <c r="AO660" t="s">
        <v>11422</v>
      </c>
      <c r="AP660" t="s">
        <v>11423</v>
      </c>
      <c r="AQ660" t="s">
        <v>74</v>
      </c>
      <c r="AR660" t="s">
        <v>11411</v>
      </c>
      <c r="AS660" t="s">
        <v>11424</v>
      </c>
      <c r="AT660" t="s">
        <v>74</v>
      </c>
      <c r="AU660">
        <v>2012</v>
      </c>
      <c r="AV660">
        <v>149</v>
      </c>
      <c r="AW660" t="s">
        <v>1478</v>
      </c>
      <c r="AX660" t="s">
        <v>74</v>
      </c>
      <c r="AY660" t="s">
        <v>74</v>
      </c>
      <c r="AZ660" t="s">
        <v>74</v>
      </c>
      <c r="BA660" t="s">
        <v>74</v>
      </c>
      <c r="BB660">
        <v>275</v>
      </c>
      <c r="BC660">
        <v>297</v>
      </c>
      <c r="BD660" t="s">
        <v>74</v>
      </c>
      <c r="BE660" t="s">
        <v>11425</v>
      </c>
      <c r="BF660" t="str">
        <f>HYPERLINK("http://dx.doi.org/10.1163/156853912X636726","http://dx.doi.org/10.1163/156853912X636726")</f>
        <v>http://dx.doi.org/10.1163/156853912X636726</v>
      </c>
      <c r="BG660" t="s">
        <v>74</v>
      </c>
      <c r="BH660" t="s">
        <v>74</v>
      </c>
      <c r="BI660">
        <v>23</v>
      </c>
      <c r="BJ660" t="s">
        <v>6099</v>
      </c>
      <c r="BK660" t="s">
        <v>283</v>
      </c>
      <c r="BL660" t="s">
        <v>6099</v>
      </c>
      <c r="BM660" t="s">
        <v>11426</v>
      </c>
      <c r="BN660" t="s">
        <v>74</v>
      </c>
      <c r="BO660" t="s">
        <v>74</v>
      </c>
      <c r="BP660" t="s">
        <v>74</v>
      </c>
      <c r="BQ660" t="s">
        <v>74</v>
      </c>
      <c r="BR660" t="s">
        <v>97</v>
      </c>
      <c r="BS660" t="s">
        <v>11427</v>
      </c>
      <c r="BT660" t="str">
        <f>HYPERLINK("https%3A%2F%2Fwww.webofscience.com%2Fwos%2Fwoscc%2Ffull-record%2FWOS:000305359500002","View Full Record in Web of Science")</f>
        <v>View Full Record in Web of Science</v>
      </c>
    </row>
    <row r="661" spans="1:72" x14ac:dyDescent="0.25">
      <c r="A661" t="s">
        <v>72</v>
      </c>
      <c r="B661" t="s">
        <v>11428</v>
      </c>
      <c r="C661" t="s">
        <v>74</v>
      </c>
      <c r="D661" t="s">
        <v>74</v>
      </c>
      <c r="E661" t="s">
        <v>74</v>
      </c>
      <c r="F661" t="s">
        <v>11429</v>
      </c>
      <c r="G661" t="s">
        <v>74</v>
      </c>
      <c r="H661" t="s">
        <v>74</v>
      </c>
      <c r="I661" t="s">
        <v>11430</v>
      </c>
      <c r="J661" t="s">
        <v>11431</v>
      </c>
      <c r="K661" t="s">
        <v>74</v>
      </c>
      <c r="L661" t="s">
        <v>74</v>
      </c>
      <c r="M661" t="s">
        <v>77</v>
      </c>
      <c r="N661" t="s">
        <v>78</v>
      </c>
      <c r="O661" t="s">
        <v>74</v>
      </c>
      <c r="P661" t="s">
        <v>74</v>
      </c>
      <c r="Q661" t="s">
        <v>74</v>
      </c>
      <c r="R661" t="s">
        <v>74</v>
      </c>
      <c r="S661" t="s">
        <v>74</v>
      </c>
      <c r="T661" t="s">
        <v>74</v>
      </c>
      <c r="U661" t="s">
        <v>11432</v>
      </c>
      <c r="V661" t="s">
        <v>11433</v>
      </c>
      <c r="W661" t="s">
        <v>11434</v>
      </c>
      <c r="X661" t="s">
        <v>727</v>
      </c>
      <c r="Y661" t="s">
        <v>11435</v>
      </c>
      <c r="Z661" t="s">
        <v>11436</v>
      </c>
      <c r="AA661" t="s">
        <v>11437</v>
      </c>
      <c r="AB661" t="s">
        <v>11359</v>
      </c>
      <c r="AC661" t="s">
        <v>11438</v>
      </c>
      <c r="AD661" t="s">
        <v>11439</v>
      </c>
      <c r="AE661" t="s">
        <v>11440</v>
      </c>
      <c r="AF661" t="s">
        <v>74</v>
      </c>
      <c r="AG661">
        <v>35</v>
      </c>
      <c r="AH661">
        <v>9</v>
      </c>
      <c r="AI661">
        <v>9</v>
      </c>
      <c r="AJ661">
        <v>0</v>
      </c>
      <c r="AK661">
        <v>29</v>
      </c>
      <c r="AL661" t="s">
        <v>4389</v>
      </c>
      <c r="AM661" t="s">
        <v>541</v>
      </c>
      <c r="AN661" t="s">
        <v>4390</v>
      </c>
      <c r="AO661" t="s">
        <v>11441</v>
      </c>
      <c r="AP661" t="s">
        <v>74</v>
      </c>
      <c r="AQ661" t="s">
        <v>74</v>
      </c>
      <c r="AR661" t="s">
        <v>11442</v>
      </c>
      <c r="AS661" t="s">
        <v>11443</v>
      </c>
      <c r="AT661" t="s">
        <v>8908</v>
      </c>
      <c r="AU661">
        <v>2011</v>
      </c>
      <c r="AV661">
        <v>6</v>
      </c>
      <c r="AW661" t="s">
        <v>74</v>
      </c>
      <c r="AX661" t="s">
        <v>74</v>
      </c>
      <c r="AY661" t="s">
        <v>74</v>
      </c>
      <c r="AZ661" t="s">
        <v>74</v>
      </c>
      <c r="BA661" t="s">
        <v>74</v>
      </c>
      <c r="BB661" t="s">
        <v>74</v>
      </c>
      <c r="BC661" t="s">
        <v>74</v>
      </c>
      <c r="BD661">
        <v>40</v>
      </c>
      <c r="BE661" t="s">
        <v>11444</v>
      </c>
      <c r="BF661" t="str">
        <f>HYPERLINK("http://dx.doi.org/10.1186/1748-5908-6-40","http://dx.doi.org/10.1186/1748-5908-6-40")</f>
        <v>http://dx.doi.org/10.1186/1748-5908-6-40</v>
      </c>
      <c r="BG661" t="s">
        <v>74</v>
      </c>
      <c r="BH661" t="s">
        <v>74</v>
      </c>
      <c r="BI661">
        <v>7</v>
      </c>
      <c r="BJ661" t="s">
        <v>4026</v>
      </c>
      <c r="BK661" t="s">
        <v>147</v>
      </c>
      <c r="BL661" t="s">
        <v>4027</v>
      </c>
      <c r="BM661" t="s">
        <v>11445</v>
      </c>
      <c r="BN661">
        <v>21510848</v>
      </c>
      <c r="BO661" t="s">
        <v>3205</v>
      </c>
      <c r="BP661" t="s">
        <v>74</v>
      </c>
      <c r="BQ661" t="s">
        <v>74</v>
      </c>
      <c r="BR661" t="s">
        <v>97</v>
      </c>
      <c r="BS661" t="s">
        <v>11446</v>
      </c>
      <c r="BT661" t="str">
        <f>HYPERLINK("https%3A%2F%2Fwww.webofscience.com%2Fwos%2Fwoscc%2Ffull-record%2FWOS:000291309400001","View Full Record in Web of Science")</f>
        <v>View Full Record in Web of Science</v>
      </c>
    </row>
    <row r="662" spans="1:72" x14ac:dyDescent="0.25">
      <c r="A662" t="s">
        <v>72</v>
      </c>
      <c r="B662" t="s">
        <v>11447</v>
      </c>
      <c r="C662" t="s">
        <v>74</v>
      </c>
      <c r="D662" t="s">
        <v>74</v>
      </c>
      <c r="E662" t="s">
        <v>74</v>
      </c>
      <c r="F662" t="s">
        <v>11447</v>
      </c>
      <c r="G662" t="s">
        <v>74</v>
      </c>
      <c r="H662" t="s">
        <v>74</v>
      </c>
      <c r="I662" t="s">
        <v>11448</v>
      </c>
      <c r="J662" t="s">
        <v>4915</v>
      </c>
      <c r="K662" t="s">
        <v>74</v>
      </c>
      <c r="L662" t="s">
        <v>74</v>
      </c>
      <c r="M662" t="s">
        <v>77</v>
      </c>
      <c r="N662" t="s">
        <v>319</v>
      </c>
      <c r="O662" t="s">
        <v>11449</v>
      </c>
      <c r="P662" t="s">
        <v>11450</v>
      </c>
      <c r="Q662" t="s">
        <v>11451</v>
      </c>
      <c r="R662" t="s">
        <v>11452</v>
      </c>
      <c r="S662" t="s">
        <v>11453</v>
      </c>
      <c r="T662" t="s">
        <v>11454</v>
      </c>
      <c r="U662" t="s">
        <v>74</v>
      </c>
      <c r="V662" t="s">
        <v>11455</v>
      </c>
      <c r="W662" t="s">
        <v>11456</v>
      </c>
      <c r="X662" t="s">
        <v>11457</v>
      </c>
      <c r="Y662" t="s">
        <v>11458</v>
      </c>
      <c r="Z662" t="s">
        <v>11459</v>
      </c>
      <c r="AA662" t="s">
        <v>74</v>
      </c>
      <c r="AB662" t="s">
        <v>74</v>
      </c>
      <c r="AC662" t="s">
        <v>74</v>
      </c>
      <c r="AD662" t="s">
        <v>74</v>
      </c>
      <c r="AE662" t="s">
        <v>74</v>
      </c>
      <c r="AF662" t="s">
        <v>74</v>
      </c>
      <c r="AG662">
        <v>34</v>
      </c>
      <c r="AH662">
        <v>9</v>
      </c>
      <c r="AI662">
        <v>9</v>
      </c>
      <c r="AJ662">
        <v>0</v>
      </c>
      <c r="AK662">
        <v>9</v>
      </c>
      <c r="AL662" t="s">
        <v>766</v>
      </c>
      <c r="AM662" t="s">
        <v>330</v>
      </c>
      <c r="AN662" t="s">
        <v>1452</v>
      </c>
      <c r="AO662" t="s">
        <v>4925</v>
      </c>
      <c r="AP662" t="s">
        <v>4926</v>
      </c>
      <c r="AQ662" t="s">
        <v>74</v>
      </c>
      <c r="AR662" t="s">
        <v>4927</v>
      </c>
      <c r="AS662" t="s">
        <v>4928</v>
      </c>
      <c r="AT662" t="s">
        <v>122</v>
      </c>
      <c r="AU662">
        <v>2006</v>
      </c>
      <c r="AV662">
        <v>16</v>
      </c>
      <c r="AW662" t="s">
        <v>1930</v>
      </c>
      <c r="AX662" t="s">
        <v>74</v>
      </c>
      <c r="AY662" t="s">
        <v>74</v>
      </c>
      <c r="AZ662" t="s">
        <v>74</v>
      </c>
      <c r="BA662" t="s">
        <v>74</v>
      </c>
      <c r="BB662">
        <v>175</v>
      </c>
      <c r="BC662">
        <v>187</v>
      </c>
      <c r="BD662" t="s">
        <v>74</v>
      </c>
      <c r="BE662" t="s">
        <v>11460</v>
      </c>
      <c r="BF662" t="str">
        <f>HYPERLINK("http://dx.doi.org/10.1007/s00191-005-0014-0","http://dx.doi.org/10.1007/s00191-005-0014-0")</f>
        <v>http://dx.doi.org/10.1007/s00191-005-0014-0</v>
      </c>
      <c r="BG662" t="s">
        <v>74</v>
      </c>
      <c r="BH662" t="s">
        <v>74</v>
      </c>
      <c r="BI662">
        <v>13</v>
      </c>
      <c r="BJ662" t="s">
        <v>2599</v>
      </c>
      <c r="BK662" t="s">
        <v>338</v>
      </c>
      <c r="BL662" t="s">
        <v>95</v>
      </c>
      <c r="BM662" t="s">
        <v>11461</v>
      </c>
      <c r="BN662" t="s">
        <v>74</v>
      </c>
      <c r="BO662" t="s">
        <v>74</v>
      </c>
      <c r="BP662" t="s">
        <v>74</v>
      </c>
      <c r="BQ662" t="s">
        <v>74</v>
      </c>
      <c r="BR662" t="s">
        <v>97</v>
      </c>
      <c r="BS662" t="s">
        <v>11462</v>
      </c>
      <c r="BT662" t="str">
        <f>HYPERLINK("https%3A%2F%2Fwww.webofscience.com%2Fwos%2Fwoscc%2Ffull-record%2FWOS:000235270400010","View Full Record in Web of Science")</f>
        <v>View Full Record in Web of Science</v>
      </c>
    </row>
    <row r="663" spans="1:72" x14ac:dyDescent="0.25">
      <c r="A663" t="s">
        <v>72</v>
      </c>
      <c r="B663" t="s">
        <v>11463</v>
      </c>
      <c r="C663" t="s">
        <v>74</v>
      </c>
      <c r="D663" t="s">
        <v>74</v>
      </c>
      <c r="E663" t="s">
        <v>74</v>
      </c>
      <c r="F663" t="s">
        <v>11463</v>
      </c>
      <c r="G663" t="s">
        <v>74</v>
      </c>
      <c r="H663" t="s">
        <v>74</v>
      </c>
      <c r="I663" t="s">
        <v>11464</v>
      </c>
      <c r="J663" t="s">
        <v>10047</v>
      </c>
      <c r="K663" t="s">
        <v>74</v>
      </c>
      <c r="L663" t="s">
        <v>74</v>
      </c>
      <c r="M663" t="s">
        <v>11465</v>
      </c>
      <c r="N663" t="s">
        <v>78</v>
      </c>
      <c r="O663" t="s">
        <v>74</v>
      </c>
      <c r="P663" t="s">
        <v>74</v>
      </c>
      <c r="Q663" t="s">
        <v>74</v>
      </c>
      <c r="R663" t="s">
        <v>74</v>
      </c>
      <c r="S663" t="s">
        <v>74</v>
      </c>
      <c r="T663" t="s">
        <v>74</v>
      </c>
      <c r="U663" t="s">
        <v>74</v>
      </c>
      <c r="V663" t="s">
        <v>11466</v>
      </c>
      <c r="W663" t="s">
        <v>74</v>
      </c>
      <c r="X663" t="s">
        <v>74</v>
      </c>
      <c r="Y663" t="s">
        <v>74</v>
      </c>
      <c r="Z663" t="s">
        <v>74</v>
      </c>
      <c r="AA663" t="s">
        <v>74</v>
      </c>
      <c r="AB663" t="s">
        <v>74</v>
      </c>
      <c r="AC663" t="s">
        <v>74</v>
      </c>
      <c r="AD663" t="s">
        <v>74</v>
      </c>
      <c r="AE663" t="s">
        <v>74</v>
      </c>
      <c r="AF663" t="s">
        <v>74</v>
      </c>
      <c r="AG663">
        <v>27</v>
      </c>
      <c r="AH663">
        <v>9</v>
      </c>
      <c r="AI663">
        <v>9</v>
      </c>
      <c r="AJ663">
        <v>0</v>
      </c>
      <c r="AK663">
        <v>3</v>
      </c>
      <c r="AL663" t="s">
        <v>11467</v>
      </c>
      <c r="AM663" t="s">
        <v>11468</v>
      </c>
      <c r="AN663" t="s">
        <v>11469</v>
      </c>
      <c r="AO663" t="s">
        <v>10056</v>
      </c>
      <c r="AP663" t="s">
        <v>11470</v>
      </c>
      <c r="AQ663" t="s">
        <v>74</v>
      </c>
      <c r="AR663" t="s">
        <v>10057</v>
      </c>
      <c r="AS663" t="s">
        <v>10058</v>
      </c>
      <c r="AT663" t="s">
        <v>200</v>
      </c>
      <c r="AU663">
        <v>1999</v>
      </c>
      <c r="AV663">
        <v>218</v>
      </c>
      <c r="AW663" t="s">
        <v>1478</v>
      </c>
      <c r="AX663" t="s">
        <v>74</v>
      </c>
      <c r="AY663" t="s">
        <v>74</v>
      </c>
      <c r="AZ663" t="s">
        <v>74</v>
      </c>
      <c r="BA663" t="s">
        <v>74</v>
      </c>
      <c r="BB663">
        <v>453</v>
      </c>
      <c r="BC663">
        <v>472</v>
      </c>
      <c r="BD663" t="s">
        <v>74</v>
      </c>
      <c r="BE663" t="s">
        <v>74</v>
      </c>
      <c r="BF663" t="s">
        <v>74</v>
      </c>
      <c r="BG663" t="s">
        <v>74</v>
      </c>
      <c r="BH663" t="s">
        <v>74</v>
      </c>
      <c r="BI663">
        <v>20</v>
      </c>
      <c r="BJ663" t="s">
        <v>10059</v>
      </c>
      <c r="BK663" t="s">
        <v>94</v>
      </c>
      <c r="BL663" t="s">
        <v>10060</v>
      </c>
      <c r="BM663" t="s">
        <v>11471</v>
      </c>
      <c r="BN663" t="s">
        <v>74</v>
      </c>
      <c r="BO663" t="s">
        <v>74</v>
      </c>
      <c r="BP663" t="s">
        <v>74</v>
      </c>
      <c r="BQ663" t="s">
        <v>74</v>
      </c>
      <c r="BR663" t="s">
        <v>97</v>
      </c>
      <c r="BS663" t="s">
        <v>11472</v>
      </c>
      <c r="BT663" t="str">
        <f>HYPERLINK("https%3A%2F%2Fwww.webofscience.com%2Fwos%2Fwoscc%2Ffull-record%2FWOS:000079420100011","View Full Record in Web of Science")</f>
        <v>View Full Record in Web of Science</v>
      </c>
    </row>
    <row r="664" spans="1:72" x14ac:dyDescent="0.25">
      <c r="A664" t="s">
        <v>72</v>
      </c>
      <c r="B664" t="s">
        <v>11473</v>
      </c>
      <c r="C664" t="s">
        <v>74</v>
      </c>
      <c r="D664" t="s">
        <v>74</v>
      </c>
      <c r="E664" t="s">
        <v>74</v>
      </c>
      <c r="F664" t="s">
        <v>11473</v>
      </c>
      <c r="G664" t="s">
        <v>74</v>
      </c>
      <c r="H664" t="s">
        <v>74</v>
      </c>
      <c r="I664" t="s">
        <v>11474</v>
      </c>
      <c r="J664" t="s">
        <v>11475</v>
      </c>
      <c r="K664" t="s">
        <v>74</v>
      </c>
      <c r="L664" t="s">
        <v>74</v>
      </c>
      <c r="M664" t="s">
        <v>77</v>
      </c>
      <c r="N664" t="s">
        <v>78</v>
      </c>
      <c r="O664" t="s">
        <v>74</v>
      </c>
      <c r="P664" t="s">
        <v>74</v>
      </c>
      <c r="Q664" t="s">
        <v>74</v>
      </c>
      <c r="R664" t="s">
        <v>74</v>
      </c>
      <c r="S664" t="s">
        <v>74</v>
      </c>
      <c r="T664" t="s">
        <v>74</v>
      </c>
      <c r="U664" t="s">
        <v>11476</v>
      </c>
      <c r="V664" t="s">
        <v>11477</v>
      </c>
      <c r="W664" t="s">
        <v>11478</v>
      </c>
      <c r="X664" t="s">
        <v>11479</v>
      </c>
      <c r="Y664" t="s">
        <v>11480</v>
      </c>
      <c r="Z664" t="s">
        <v>74</v>
      </c>
      <c r="AA664" t="s">
        <v>74</v>
      </c>
      <c r="AB664" t="s">
        <v>74</v>
      </c>
      <c r="AC664" t="s">
        <v>74</v>
      </c>
      <c r="AD664" t="s">
        <v>74</v>
      </c>
      <c r="AE664" t="s">
        <v>74</v>
      </c>
      <c r="AF664" t="s">
        <v>74</v>
      </c>
      <c r="AG664">
        <v>43</v>
      </c>
      <c r="AH664">
        <v>9</v>
      </c>
      <c r="AI664">
        <v>9</v>
      </c>
      <c r="AJ664">
        <v>0</v>
      </c>
      <c r="AK664">
        <v>12</v>
      </c>
      <c r="AL664" t="s">
        <v>490</v>
      </c>
      <c r="AM664" t="s">
        <v>491</v>
      </c>
      <c r="AN664" t="s">
        <v>11481</v>
      </c>
      <c r="AO664" t="s">
        <v>11482</v>
      </c>
      <c r="AP664" t="s">
        <v>74</v>
      </c>
      <c r="AQ664" t="s">
        <v>74</v>
      </c>
      <c r="AR664" t="s">
        <v>11483</v>
      </c>
      <c r="AS664" t="s">
        <v>11484</v>
      </c>
      <c r="AT664" t="s">
        <v>584</v>
      </c>
      <c r="AU664">
        <v>1993</v>
      </c>
      <c r="AV664">
        <v>63</v>
      </c>
      <c r="AW664" t="s">
        <v>74</v>
      </c>
      <c r="AX664">
        <v>3</v>
      </c>
      <c r="AY664" t="s">
        <v>74</v>
      </c>
      <c r="AZ664" t="s">
        <v>74</v>
      </c>
      <c r="BA664" t="s">
        <v>74</v>
      </c>
      <c r="BB664">
        <v>457</v>
      </c>
      <c r="BC664">
        <v>468</v>
      </c>
      <c r="BD664" t="s">
        <v>74</v>
      </c>
      <c r="BE664" t="s">
        <v>11485</v>
      </c>
      <c r="BF664" t="str">
        <f>HYPERLINK("http://dx.doi.org/10.1111/j.2044-8279.1993.tb01071.x","http://dx.doi.org/10.1111/j.2044-8279.1993.tb01071.x")</f>
        <v>http://dx.doi.org/10.1111/j.2044-8279.1993.tb01071.x</v>
      </c>
      <c r="BG664" t="s">
        <v>74</v>
      </c>
      <c r="BH664" t="s">
        <v>74</v>
      </c>
      <c r="BI664">
        <v>12</v>
      </c>
      <c r="BJ664" t="s">
        <v>481</v>
      </c>
      <c r="BK664" t="s">
        <v>94</v>
      </c>
      <c r="BL664" t="s">
        <v>460</v>
      </c>
      <c r="BM664" t="s">
        <v>11486</v>
      </c>
      <c r="BN664">
        <v>8292547</v>
      </c>
      <c r="BO664" t="s">
        <v>74</v>
      </c>
      <c r="BP664" t="s">
        <v>74</v>
      </c>
      <c r="BQ664" t="s">
        <v>74</v>
      </c>
      <c r="BR664" t="s">
        <v>97</v>
      </c>
      <c r="BS664" t="s">
        <v>11487</v>
      </c>
      <c r="BT664" t="str">
        <f>HYPERLINK("https%3A%2F%2Fwww.webofscience.com%2Fwos%2Fwoscc%2Ffull-record%2FWOS:A1993ML46600006","View Full Record in Web of Science")</f>
        <v>View Full Record in Web of Science</v>
      </c>
    </row>
    <row r="665" spans="1:72" x14ac:dyDescent="0.25">
      <c r="A665" t="s">
        <v>72</v>
      </c>
      <c r="B665" t="s">
        <v>11488</v>
      </c>
      <c r="C665" t="s">
        <v>74</v>
      </c>
      <c r="D665" t="s">
        <v>74</v>
      </c>
      <c r="E665" t="s">
        <v>74</v>
      </c>
      <c r="F665" t="s">
        <v>11489</v>
      </c>
      <c r="G665" t="s">
        <v>74</v>
      </c>
      <c r="H665" t="s">
        <v>74</v>
      </c>
      <c r="I665" t="s">
        <v>11490</v>
      </c>
      <c r="J665" t="s">
        <v>9332</v>
      </c>
      <c r="K665" t="s">
        <v>74</v>
      </c>
      <c r="L665" t="s">
        <v>74</v>
      </c>
      <c r="M665" t="s">
        <v>77</v>
      </c>
      <c r="N665" t="s">
        <v>10095</v>
      </c>
      <c r="O665" t="s">
        <v>74</v>
      </c>
      <c r="P665" t="s">
        <v>74</v>
      </c>
      <c r="Q665" t="s">
        <v>74</v>
      </c>
      <c r="R665" t="s">
        <v>74</v>
      </c>
      <c r="S665" t="s">
        <v>74</v>
      </c>
      <c r="T665" t="s">
        <v>11491</v>
      </c>
      <c r="U665" t="s">
        <v>11492</v>
      </c>
      <c r="V665" t="s">
        <v>11493</v>
      </c>
      <c r="W665" t="s">
        <v>11494</v>
      </c>
      <c r="X665" t="s">
        <v>11495</v>
      </c>
      <c r="Y665" t="s">
        <v>11496</v>
      </c>
      <c r="Z665" t="s">
        <v>11497</v>
      </c>
      <c r="AA665" t="s">
        <v>11498</v>
      </c>
      <c r="AB665" t="s">
        <v>11499</v>
      </c>
      <c r="AC665" t="s">
        <v>11500</v>
      </c>
      <c r="AD665" t="s">
        <v>11501</v>
      </c>
      <c r="AE665" t="s">
        <v>11502</v>
      </c>
      <c r="AF665" t="s">
        <v>74</v>
      </c>
      <c r="AG665">
        <v>64</v>
      </c>
      <c r="AH665">
        <v>8</v>
      </c>
      <c r="AI665">
        <v>8</v>
      </c>
      <c r="AJ665">
        <v>25</v>
      </c>
      <c r="AK665">
        <v>68</v>
      </c>
      <c r="AL665" t="s">
        <v>766</v>
      </c>
      <c r="AM665" t="s">
        <v>330</v>
      </c>
      <c r="AN665" t="s">
        <v>1452</v>
      </c>
      <c r="AO665" t="s">
        <v>9344</v>
      </c>
      <c r="AP665" t="s">
        <v>9345</v>
      </c>
      <c r="AQ665" t="s">
        <v>74</v>
      </c>
      <c r="AR665" t="s">
        <v>9346</v>
      </c>
      <c r="AS665" t="s">
        <v>9347</v>
      </c>
      <c r="AT665" t="s">
        <v>74</v>
      </c>
      <c r="AU665" t="s">
        <v>74</v>
      </c>
      <c r="AV665" t="s">
        <v>74</v>
      </c>
      <c r="AW665" t="s">
        <v>74</v>
      </c>
      <c r="AX665" t="s">
        <v>74</v>
      </c>
      <c r="AY665" t="s">
        <v>74</v>
      </c>
      <c r="AZ665" t="s">
        <v>74</v>
      </c>
      <c r="BA665" t="s">
        <v>74</v>
      </c>
      <c r="BB665" t="s">
        <v>74</v>
      </c>
      <c r="BC665" t="s">
        <v>74</v>
      </c>
      <c r="BD665" t="s">
        <v>74</v>
      </c>
      <c r="BE665" t="s">
        <v>11503</v>
      </c>
      <c r="BF665" t="str">
        <f>HYPERLINK("http://dx.doi.org/10.1007/s12144-022-03000-6","http://dx.doi.org/10.1007/s12144-022-03000-6")</f>
        <v>http://dx.doi.org/10.1007/s12144-022-03000-6</v>
      </c>
      <c r="BG665" t="s">
        <v>74</v>
      </c>
      <c r="BH665" t="s">
        <v>7969</v>
      </c>
      <c r="BI665">
        <v>11</v>
      </c>
      <c r="BJ665" t="s">
        <v>3203</v>
      </c>
      <c r="BK665" t="s">
        <v>94</v>
      </c>
      <c r="BL665" t="s">
        <v>460</v>
      </c>
      <c r="BM665" t="s">
        <v>11504</v>
      </c>
      <c r="BN665" t="s">
        <v>74</v>
      </c>
      <c r="BO665" t="s">
        <v>74</v>
      </c>
      <c r="BP665" t="s">
        <v>74</v>
      </c>
      <c r="BQ665" t="s">
        <v>74</v>
      </c>
      <c r="BR665" t="s">
        <v>97</v>
      </c>
      <c r="BS665" t="s">
        <v>11505</v>
      </c>
      <c r="BT665" t="str">
        <f>HYPERLINK("https%3A%2F%2Fwww.webofscience.com%2Fwos%2Fwoscc%2Ffull-record%2FWOS:000778218400006","View Full Record in Web of Science")</f>
        <v>View Full Record in Web of Science</v>
      </c>
    </row>
    <row r="666" spans="1:72" x14ac:dyDescent="0.25">
      <c r="A666" t="s">
        <v>72</v>
      </c>
      <c r="B666" t="s">
        <v>11506</v>
      </c>
      <c r="C666" t="s">
        <v>74</v>
      </c>
      <c r="D666" t="s">
        <v>74</v>
      </c>
      <c r="E666" t="s">
        <v>74</v>
      </c>
      <c r="F666" t="s">
        <v>11507</v>
      </c>
      <c r="G666" t="s">
        <v>74</v>
      </c>
      <c r="H666" t="s">
        <v>74</v>
      </c>
      <c r="I666" t="s">
        <v>11508</v>
      </c>
      <c r="J666" t="s">
        <v>209</v>
      </c>
      <c r="K666" t="s">
        <v>74</v>
      </c>
      <c r="L666" t="s">
        <v>74</v>
      </c>
      <c r="M666" t="s">
        <v>77</v>
      </c>
      <c r="N666" t="s">
        <v>78</v>
      </c>
      <c r="O666" t="s">
        <v>74</v>
      </c>
      <c r="P666" t="s">
        <v>74</v>
      </c>
      <c r="Q666" t="s">
        <v>74</v>
      </c>
      <c r="R666" t="s">
        <v>74</v>
      </c>
      <c r="S666" t="s">
        <v>74</v>
      </c>
      <c r="T666" t="s">
        <v>11509</v>
      </c>
      <c r="U666" t="s">
        <v>11510</v>
      </c>
      <c r="V666" t="s">
        <v>11511</v>
      </c>
      <c r="W666" t="s">
        <v>11512</v>
      </c>
      <c r="X666" t="s">
        <v>11513</v>
      </c>
      <c r="Y666" t="s">
        <v>11514</v>
      </c>
      <c r="Z666" t="s">
        <v>11515</v>
      </c>
      <c r="AA666" t="s">
        <v>74</v>
      </c>
      <c r="AB666" t="s">
        <v>11516</v>
      </c>
      <c r="AC666" t="s">
        <v>11517</v>
      </c>
      <c r="AD666" t="s">
        <v>11518</v>
      </c>
      <c r="AE666" t="s">
        <v>11519</v>
      </c>
      <c r="AF666" t="s">
        <v>74</v>
      </c>
      <c r="AG666">
        <v>101</v>
      </c>
      <c r="AH666">
        <v>8</v>
      </c>
      <c r="AI666">
        <v>8</v>
      </c>
      <c r="AJ666">
        <v>56</v>
      </c>
      <c r="AK666">
        <v>146</v>
      </c>
      <c r="AL666" t="s">
        <v>218</v>
      </c>
      <c r="AM666" t="s">
        <v>219</v>
      </c>
      <c r="AN666" t="s">
        <v>220</v>
      </c>
      <c r="AO666" t="s">
        <v>221</v>
      </c>
      <c r="AP666" t="s">
        <v>222</v>
      </c>
      <c r="AQ666" t="s">
        <v>74</v>
      </c>
      <c r="AR666" t="s">
        <v>223</v>
      </c>
      <c r="AS666" t="s">
        <v>224</v>
      </c>
      <c r="AT666" t="s">
        <v>91</v>
      </c>
      <c r="AU666">
        <v>2022</v>
      </c>
      <c r="AV666">
        <v>43</v>
      </c>
      <c r="AW666">
        <v>5</v>
      </c>
      <c r="AX666" t="s">
        <v>74</v>
      </c>
      <c r="AY666" t="s">
        <v>74</v>
      </c>
      <c r="AZ666" t="s">
        <v>74</v>
      </c>
      <c r="BA666" t="s">
        <v>74</v>
      </c>
      <c r="BB666">
        <v>801</v>
      </c>
      <c r="BC666">
        <v>817</v>
      </c>
      <c r="BD666" t="s">
        <v>74</v>
      </c>
      <c r="BE666" t="s">
        <v>11520</v>
      </c>
      <c r="BF666" t="str">
        <f>HYPERLINK("http://dx.doi.org/10.1002/job.2599","http://dx.doi.org/10.1002/job.2599")</f>
        <v>http://dx.doi.org/10.1002/job.2599</v>
      </c>
      <c r="BG666" t="s">
        <v>74</v>
      </c>
      <c r="BH666" t="s">
        <v>9259</v>
      </c>
      <c r="BI666">
        <v>17</v>
      </c>
      <c r="BJ666" t="s">
        <v>226</v>
      </c>
      <c r="BK666" t="s">
        <v>94</v>
      </c>
      <c r="BL666" t="s">
        <v>227</v>
      </c>
      <c r="BM666" t="s">
        <v>11521</v>
      </c>
      <c r="BN666" t="s">
        <v>74</v>
      </c>
      <c r="BO666" t="s">
        <v>74</v>
      </c>
      <c r="BP666" t="s">
        <v>150</v>
      </c>
      <c r="BQ666" t="s">
        <v>151</v>
      </c>
      <c r="BR666" t="s">
        <v>97</v>
      </c>
      <c r="BS666" t="s">
        <v>11522</v>
      </c>
      <c r="BT666" t="str">
        <f>HYPERLINK("https%3A%2F%2Fwww.webofscience.com%2Fwos%2Fwoscc%2Ffull-record%2FWOS:000741160400001","View Full Record in Web of Science")</f>
        <v>View Full Record in Web of Science</v>
      </c>
    </row>
    <row r="667" spans="1:72" x14ac:dyDescent="0.25">
      <c r="A667" t="s">
        <v>72</v>
      </c>
      <c r="B667" t="s">
        <v>11523</v>
      </c>
      <c r="C667" t="s">
        <v>74</v>
      </c>
      <c r="D667" t="s">
        <v>74</v>
      </c>
      <c r="E667" t="s">
        <v>74</v>
      </c>
      <c r="F667" t="s">
        <v>11524</v>
      </c>
      <c r="G667" t="s">
        <v>74</v>
      </c>
      <c r="H667" t="s">
        <v>74</v>
      </c>
      <c r="I667" t="s">
        <v>11525</v>
      </c>
      <c r="J667" t="s">
        <v>3528</v>
      </c>
      <c r="K667" t="s">
        <v>74</v>
      </c>
      <c r="L667" t="s">
        <v>74</v>
      </c>
      <c r="M667" t="s">
        <v>77</v>
      </c>
      <c r="N667" t="s">
        <v>78</v>
      </c>
      <c r="O667" t="s">
        <v>74</v>
      </c>
      <c r="P667" t="s">
        <v>74</v>
      </c>
      <c r="Q667" t="s">
        <v>74</v>
      </c>
      <c r="R667" t="s">
        <v>74</v>
      </c>
      <c r="S667" t="s">
        <v>74</v>
      </c>
      <c r="T667" t="s">
        <v>11526</v>
      </c>
      <c r="U667" t="s">
        <v>11527</v>
      </c>
      <c r="V667" t="s">
        <v>11528</v>
      </c>
      <c r="W667" t="s">
        <v>11529</v>
      </c>
      <c r="X667" t="s">
        <v>11530</v>
      </c>
      <c r="Y667" t="s">
        <v>11531</v>
      </c>
      <c r="Z667" t="s">
        <v>11532</v>
      </c>
      <c r="AA667" t="s">
        <v>11533</v>
      </c>
      <c r="AB667" t="s">
        <v>11534</v>
      </c>
      <c r="AC667" t="s">
        <v>74</v>
      </c>
      <c r="AD667" t="s">
        <v>74</v>
      </c>
      <c r="AE667" t="s">
        <v>74</v>
      </c>
      <c r="AF667" t="s">
        <v>74</v>
      </c>
      <c r="AG667">
        <v>108</v>
      </c>
      <c r="AH667">
        <v>8</v>
      </c>
      <c r="AI667">
        <v>8</v>
      </c>
      <c r="AJ667">
        <v>7</v>
      </c>
      <c r="AK667">
        <v>22</v>
      </c>
      <c r="AL667" t="s">
        <v>1099</v>
      </c>
      <c r="AM667" t="s">
        <v>305</v>
      </c>
      <c r="AN667" t="s">
        <v>1100</v>
      </c>
      <c r="AO667" t="s">
        <v>3537</v>
      </c>
      <c r="AP667" t="s">
        <v>3538</v>
      </c>
      <c r="AQ667" t="s">
        <v>74</v>
      </c>
      <c r="AR667" t="s">
        <v>3539</v>
      </c>
      <c r="AS667" t="s">
        <v>3540</v>
      </c>
      <c r="AT667" t="s">
        <v>11535</v>
      </c>
      <c r="AU667">
        <v>2022</v>
      </c>
      <c r="AV667">
        <v>42</v>
      </c>
      <c r="AW667" t="s">
        <v>5508</v>
      </c>
      <c r="AX667" t="s">
        <v>74</v>
      </c>
      <c r="AY667" t="s">
        <v>74</v>
      </c>
      <c r="AZ667" t="s">
        <v>74</v>
      </c>
      <c r="BA667" t="s">
        <v>74</v>
      </c>
      <c r="BB667">
        <v>798</v>
      </c>
      <c r="BC667">
        <v>821</v>
      </c>
      <c r="BD667" t="s">
        <v>74</v>
      </c>
      <c r="BE667" t="s">
        <v>11536</v>
      </c>
      <c r="BF667" t="str">
        <f>HYPERLINK("http://dx.doi.org/10.1080/02642069.2021.1971198","http://dx.doi.org/10.1080/02642069.2021.1971198")</f>
        <v>http://dx.doi.org/10.1080/02642069.2021.1971198</v>
      </c>
      <c r="BG667" t="s">
        <v>74</v>
      </c>
      <c r="BH667" t="s">
        <v>6758</v>
      </c>
      <c r="BI667">
        <v>24</v>
      </c>
      <c r="BJ667" t="s">
        <v>442</v>
      </c>
      <c r="BK667" t="s">
        <v>94</v>
      </c>
      <c r="BL667" t="s">
        <v>95</v>
      </c>
      <c r="BM667" t="s">
        <v>11537</v>
      </c>
      <c r="BN667" t="s">
        <v>74</v>
      </c>
      <c r="BO667" t="s">
        <v>74</v>
      </c>
      <c r="BP667" t="s">
        <v>74</v>
      </c>
      <c r="BQ667" t="s">
        <v>74</v>
      </c>
      <c r="BR667" t="s">
        <v>97</v>
      </c>
      <c r="BS667" t="s">
        <v>11538</v>
      </c>
      <c r="BT667" t="str">
        <f>HYPERLINK("https%3A%2F%2Fwww.webofscience.com%2Fwos%2Fwoscc%2Ffull-record%2FWOS:000692333400001","View Full Record in Web of Science")</f>
        <v>View Full Record in Web of Science</v>
      </c>
    </row>
    <row r="668" spans="1:72" x14ac:dyDescent="0.25">
      <c r="A668" t="s">
        <v>72</v>
      </c>
      <c r="B668" t="s">
        <v>11539</v>
      </c>
      <c r="C668" t="s">
        <v>74</v>
      </c>
      <c r="D668" t="s">
        <v>74</v>
      </c>
      <c r="E668" t="s">
        <v>74</v>
      </c>
      <c r="F668" t="s">
        <v>11540</v>
      </c>
      <c r="G668" t="s">
        <v>74</v>
      </c>
      <c r="H668" t="s">
        <v>74</v>
      </c>
      <c r="I668" t="s">
        <v>11541</v>
      </c>
      <c r="J668" t="s">
        <v>616</v>
      </c>
      <c r="K668" t="s">
        <v>74</v>
      </c>
      <c r="L668" t="s">
        <v>74</v>
      </c>
      <c r="M668" t="s">
        <v>77</v>
      </c>
      <c r="N668" t="s">
        <v>78</v>
      </c>
      <c r="O668" t="s">
        <v>74</v>
      </c>
      <c r="P668" t="s">
        <v>74</v>
      </c>
      <c r="Q668" t="s">
        <v>74</v>
      </c>
      <c r="R668" t="s">
        <v>74</v>
      </c>
      <c r="S668" t="s">
        <v>74</v>
      </c>
      <c r="T668" t="s">
        <v>11542</v>
      </c>
      <c r="U668" t="s">
        <v>11543</v>
      </c>
      <c r="V668" t="s">
        <v>11544</v>
      </c>
      <c r="W668" t="s">
        <v>11545</v>
      </c>
      <c r="X668" t="s">
        <v>11546</v>
      </c>
      <c r="Y668" t="s">
        <v>11547</v>
      </c>
      <c r="Z668" t="s">
        <v>11548</v>
      </c>
      <c r="AA668" t="s">
        <v>74</v>
      </c>
      <c r="AB668" t="s">
        <v>74</v>
      </c>
      <c r="AC668" t="s">
        <v>11549</v>
      </c>
      <c r="AD668" t="s">
        <v>575</v>
      </c>
      <c r="AE668" t="s">
        <v>11550</v>
      </c>
      <c r="AF668" t="s">
        <v>74</v>
      </c>
      <c r="AG668">
        <v>92</v>
      </c>
      <c r="AH668">
        <v>8</v>
      </c>
      <c r="AI668">
        <v>8</v>
      </c>
      <c r="AJ668">
        <v>13</v>
      </c>
      <c r="AK668">
        <v>56</v>
      </c>
      <c r="AL668" t="s">
        <v>602</v>
      </c>
      <c r="AM668" t="s">
        <v>160</v>
      </c>
      <c r="AN668" t="s">
        <v>603</v>
      </c>
      <c r="AO668" t="s">
        <v>625</v>
      </c>
      <c r="AP668" t="s">
        <v>626</v>
      </c>
      <c r="AQ668" t="s">
        <v>74</v>
      </c>
      <c r="AR668" t="s">
        <v>627</v>
      </c>
      <c r="AS668" t="s">
        <v>628</v>
      </c>
      <c r="AT668" t="s">
        <v>496</v>
      </c>
      <c r="AU668">
        <v>2021</v>
      </c>
      <c r="AV668">
        <v>98</v>
      </c>
      <c r="AW668" t="s">
        <v>74</v>
      </c>
      <c r="AX668" t="s">
        <v>74</v>
      </c>
      <c r="AY668" t="s">
        <v>74</v>
      </c>
      <c r="AZ668" t="s">
        <v>74</v>
      </c>
      <c r="BA668" t="s">
        <v>74</v>
      </c>
      <c r="BB668" t="s">
        <v>74</v>
      </c>
      <c r="BC668" t="s">
        <v>74</v>
      </c>
      <c r="BD668">
        <v>103034</v>
      </c>
      <c r="BE668" t="s">
        <v>11551</v>
      </c>
      <c r="BF668" t="str">
        <f>HYPERLINK("http://dx.doi.org/10.1016/j.ijhm.2021.103034","http://dx.doi.org/10.1016/j.ijhm.2021.103034")</f>
        <v>http://dx.doi.org/10.1016/j.ijhm.2021.103034</v>
      </c>
      <c r="BG668" t="s">
        <v>74</v>
      </c>
      <c r="BH668" t="s">
        <v>74</v>
      </c>
      <c r="BI668">
        <v>10</v>
      </c>
      <c r="BJ668" t="s">
        <v>630</v>
      </c>
      <c r="BK668" t="s">
        <v>94</v>
      </c>
      <c r="BL668" t="s">
        <v>631</v>
      </c>
      <c r="BM668" t="s">
        <v>8574</v>
      </c>
      <c r="BN668" t="s">
        <v>74</v>
      </c>
      <c r="BO668" t="s">
        <v>74</v>
      </c>
      <c r="BP668" t="s">
        <v>74</v>
      </c>
      <c r="BQ668" t="s">
        <v>74</v>
      </c>
      <c r="BR668" t="s">
        <v>97</v>
      </c>
      <c r="BS668" t="s">
        <v>11552</v>
      </c>
      <c r="BT668" t="str">
        <f>HYPERLINK("https%3A%2F%2Fwww.webofscience.com%2Fwos%2Fwoscc%2Ffull-record%2FWOS:000691500700015","View Full Record in Web of Science")</f>
        <v>View Full Record in Web of Science</v>
      </c>
    </row>
    <row r="669" spans="1:72" x14ac:dyDescent="0.25">
      <c r="A669" t="s">
        <v>72</v>
      </c>
      <c r="B669" t="s">
        <v>11553</v>
      </c>
      <c r="C669" t="s">
        <v>74</v>
      </c>
      <c r="D669" t="s">
        <v>74</v>
      </c>
      <c r="E669" t="s">
        <v>74</v>
      </c>
      <c r="F669" t="s">
        <v>11554</v>
      </c>
      <c r="G669" t="s">
        <v>74</v>
      </c>
      <c r="H669" t="s">
        <v>74</v>
      </c>
      <c r="I669" t="s">
        <v>11555</v>
      </c>
      <c r="J669" t="s">
        <v>3184</v>
      </c>
      <c r="K669" t="s">
        <v>74</v>
      </c>
      <c r="L669" t="s">
        <v>74</v>
      </c>
      <c r="M669" t="s">
        <v>77</v>
      </c>
      <c r="N669" t="s">
        <v>78</v>
      </c>
      <c r="O669" t="s">
        <v>74</v>
      </c>
      <c r="P669" t="s">
        <v>74</v>
      </c>
      <c r="Q669" t="s">
        <v>74</v>
      </c>
      <c r="R669" t="s">
        <v>74</v>
      </c>
      <c r="S669" t="s">
        <v>74</v>
      </c>
      <c r="T669" t="s">
        <v>11556</v>
      </c>
      <c r="U669" t="s">
        <v>11557</v>
      </c>
      <c r="V669" t="s">
        <v>11558</v>
      </c>
      <c r="W669" t="s">
        <v>11559</v>
      </c>
      <c r="X669" t="s">
        <v>11560</v>
      </c>
      <c r="Y669" t="s">
        <v>11561</v>
      </c>
      <c r="Z669" t="s">
        <v>11562</v>
      </c>
      <c r="AA669" t="s">
        <v>74</v>
      </c>
      <c r="AB669" t="s">
        <v>11563</v>
      </c>
      <c r="AC669" t="s">
        <v>11564</v>
      </c>
      <c r="AD669" t="s">
        <v>11565</v>
      </c>
      <c r="AE669" t="s">
        <v>11566</v>
      </c>
      <c r="AF669" t="s">
        <v>74</v>
      </c>
      <c r="AG669">
        <v>86</v>
      </c>
      <c r="AH669">
        <v>8</v>
      </c>
      <c r="AI669">
        <v>8</v>
      </c>
      <c r="AJ669">
        <v>13</v>
      </c>
      <c r="AK669">
        <v>67</v>
      </c>
      <c r="AL669" t="s">
        <v>3195</v>
      </c>
      <c r="AM669" t="s">
        <v>3196</v>
      </c>
      <c r="AN669" t="s">
        <v>3197</v>
      </c>
      <c r="AO669" t="s">
        <v>3198</v>
      </c>
      <c r="AP669" t="s">
        <v>74</v>
      </c>
      <c r="AQ669" t="s">
        <v>74</v>
      </c>
      <c r="AR669" t="s">
        <v>3199</v>
      </c>
      <c r="AS669" t="s">
        <v>3200</v>
      </c>
      <c r="AT669" t="s">
        <v>11567</v>
      </c>
      <c r="AU669">
        <v>2021</v>
      </c>
      <c r="AV669">
        <v>12</v>
      </c>
      <c r="AW669" t="s">
        <v>74</v>
      </c>
      <c r="AX669" t="s">
        <v>74</v>
      </c>
      <c r="AY669" t="s">
        <v>74</v>
      </c>
      <c r="AZ669" t="s">
        <v>74</v>
      </c>
      <c r="BA669" t="s">
        <v>74</v>
      </c>
      <c r="BB669" t="s">
        <v>74</v>
      </c>
      <c r="BC669" t="s">
        <v>74</v>
      </c>
      <c r="BD669">
        <v>658743</v>
      </c>
      <c r="BE669" t="s">
        <v>11568</v>
      </c>
      <c r="BF669" t="str">
        <f>HYPERLINK("http://dx.doi.org/10.3389/fpsyg.2021.658743","http://dx.doi.org/10.3389/fpsyg.2021.658743")</f>
        <v>http://dx.doi.org/10.3389/fpsyg.2021.658743</v>
      </c>
      <c r="BG669" t="s">
        <v>74</v>
      </c>
      <c r="BH669" t="s">
        <v>74</v>
      </c>
      <c r="BI669">
        <v>13</v>
      </c>
      <c r="BJ669" t="s">
        <v>3203</v>
      </c>
      <c r="BK669" t="s">
        <v>94</v>
      </c>
      <c r="BL669" t="s">
        <v>460</v>
      </c>
      <c r="BM669" t="s">
        <v>11569</v>
      </c>
      <c r="BN669">
        <v>34234710</v>
      </c>
      <c r="BO669" t="s">
        <v>3205</v>
      </c>
      <c r="BP669" t="s">
        <v>74</v>
      </c>
      <c r="BQ669" t="s">
        <v>74</v>
      </c>
      <c r="BR669" t="s">
        <v>97</v>
      </c>
      <c r="BS669" t="s">
        <v>11570</v>
      </c>
      <c r="BT669" t="str">
        <f>HYPERLINK("https%3A%2F%2Fwww.webofscience.com%2Fwos%2Fwoscc%2Ffull-record%2FWOS:000669359700001","View Full Record in Web of Science")</f>
        <v>View Full Record in Web of Science</v>
      </c>
    </row>
    <row r="670" spans="1:72" x14ac:dyDescent="0.25">
      <c r="A670" t="s">
        <v>72</v>
      </c>
      <c r="B670" t="s">
        <v>11571</v>
      </c>
      <c r="C670" t="s">
        <v>74</v>
      </c>
      <c r="D670" t="s">
        <v>74</v>
      </c>
      <c r="E670" t="s">
        <v>74</v>
      </c>
      <c r="F670" t="s">
        <v>11572</v>
      </c>
      <c r="G670" t="s">
        <v>74</v>
      </c>
      <c r="H670" t="s">
        <v>74</v>
      </c>
      <c r="I670" t="s">
        <v>11573</v>
      </c>
      <c r="J670" t="s">
        <v>4081</v>
      </c>
      <c r="K670" t="s">
        <v>74</v>
      </c>
      <c r="L670" t="s">
        <v>74</v>
      </c>
      <c r="M670" t="s">
        <v>77</v>
      </c>
      <c r="N670" t="s">
        <v>78</v>
      </c>
      <c r="O670" t="s">
        <v>74</v>
      </c>
      <c r="P670" t="s">
        <v>74</v>
      </c>
      <c r="Q670" t="s">
        <v>74</v>
      </c>
      <c r="R670" t="s">
        <v>74</v>
      </c>
      <c r="S670" t="s">
        <v>74</v>
      </c>
      <c r="T670" t="s">
        <v>11574</v>
      </c>
      <c r="U670" t="s">
        <v>11575</v>
      </c>
      <c r="V670" t="s">
        <v>11576</v>
      </c>
      <c r="W670" t="s">
        <v>11577</v>
      </c>
      <c r="X670" t="s">
        <v>11578</v>
      </c>
      <c r="Y670" t="s">
        <v>11579</v>
      </c>
      <c r="Z670" t="s">
        <v>11580</v>
      </c>
      <c r="AA670" t="s">
        <v>4635</v>
      </c>
      <c r="AB670" t="s">
        <v>11581</v>
      </c>
      <c r="AC670" t="s">
        <v>74</v>
      </c>
      <c r="AD670" t="s">
        <v>74</v>
      </c>
      <c r="AE670" t="s">
        <v>74</v>
      </c>
      <c r="AF670" t="s">
        <v>74</v>
      </c>
      <c r="AG670">
        <v>28</v>
      </c>
      <c r="AH670">
        <v>8</v>
      </c>
      <c r="AI670">
        <v>10</v>
      </c>
      <c r="AJ670">
        <v>15</v>
      </c>
      <c r="AK670">
        <v>58</v>
      </c>
      <c r="AL670" t="s">
        <v>218</v>
      </c>
      <c r="AM670" t="s">
        <v>219</v>
      </c>
      <c r="AN670" t="s">
        <v>220</v>
      </c>
      <c r="AO670" t="s">
        <v>4093</v>
      </c>
      <c r="AP670" t="s">
        <v>4094</v>
      </c>
      <c r="AQ670" t="s">
        <v>74</v>
      </c>
      <c r="AR670" t="s">
        <v>4095</v>
      </c>
      <c r="AS670" t="s">
        <v>4096</v>
      </c>
      <c r="AT670" t="s">
        <v>256</v>
      </c>
      <c r="AU670">
        <v>2021</v>
      </c>
      <c r="AV670">
        <v>29</v>
      </c>
      <c r="AW670">
        <v>7</v>
      </c>
      <c r="AX670" t="s">
        <v>74</v>
      </c>
      <c r="AY670" t="s">
        <v>74</v>
      </c>
      <c r="AZ670" t="s">
        <v>74</v>
      </c>
      <c r="BA670" t="s">
        <v>74</v>
      </c>
      <c r="BB670">
        <v>2132</v>
      </c>
      <c r="BC670">
        <v>2141</v>
      </c>
      <c r="BD670" t="s">
        <v>74</v>
      </c>
      <c r="BE670" t="s">
        <v>11582</v>
      </c>
      <c r="BF670" t="str">
        <f>HYPERLINK("http://dx.doi.org/10.1111/jonm.13354","http://dx.doi.org/10.1111/jonm.13354")</f>
        <v>http://dx.doi.org/10.1111/jonm.13354</v>
      </c>
      <c r="BG670" t="s">
        <v>74</v>
      </c>
      <c r="BH670" t="s">
        <v>4580</v>
      </c>
      <c r="BI670">
        <v>10</v>
      </c>
      <c r="BJ670" t="s">
        <v>4098</v>
      </c>
      <c r="BK670" t="s">
        <v>147</v>
      </c>
      <c r="BL670" t="s">
        <v>4099</v>
      </c>
      <c r="BM670" t="s">
        <v>11583</v>
      </c>
      <c r="BN670">
        <v>33930243</v>
      </c>
      <c r="BO670" t="s">
        <v>2482</v>
      </c>
      <c r="BP670" t="s">
        <v>74</v>
      </c>
      <c r="BQ670" t="s">
        <v>74</v>
      </c>
      <c r="BR670" t="s">
        <v>97</v>
      </c>
      <c r="BS670" t="s">
        <v>11584</v>
      </c>
      <c r="BT670" t="str">
        <f>HYPERLINK("https%3A%2F%2Fwww.webofscience.com%2Fwos%2Fwoscc%2Ffull-record%2FWOS:000651299600001","View Full Record in Web of Science")</f>
        <v>View Full Record in Web of Science</v>
      </c>
    </row>
    <row r="671" spans="1:72" x14ac:dyDescent="0.25">
      <c r="A671" t="s">
        <v>72</v>
      </c>
      <c r="B671" t="s">
        <v>11585</v>
      </c>
      <c r="C671" t="s">
        <v>74</v>
      </c>
      <c r="D671" t="s">
        <v>74</v>
      </c>
      <c r="E671" t="s">
        <v>74</v>
      </c>
      <c r="F671" t="s">
        <v>11586</v>
      </c>
      <c r="G671" t="s">
        <v>74</v>
      </c>
      <c r="H671" t="s">
        <v>74</v>
      </c>
      <c r="I671" t="s">
        <v>11587</v>
      </c>
      <c r="J671" t="s">
        <v>3184</v>
      </c>
      <c r="K671" t="s">
        <v>74</v>
      </c>
      <c r="L671" t="s">
        <v>74</v>
      </c>
      <c r="M671" t="s">
        <v>77</v>
      </c>
      <c r="N671" t="s">
        <v>78</v>
      </c>
      <c r="O671" t="s">
        <v>74</v>
      </c>
      <c r="P671" t="s">
        <v>74</v>
      </c>
      <c r="Q671" t="s">
        <v>74</v>
      </c>
      <c r="R671" t="s">
        <v>74</v>
      </c>
      <c r="S671" t="s">
        <v>74</v>
      </c>
      <c r="T671" t="s">
        <v>11588</v>
      </c>
      <c r="U671" t="s">
        <v>11589</v>
      </c>
      <c r="V671" t="s">
        <v>11590</v>
      </c>
      <c r="W671" t="s">
        <v>11591</v>
      </c>
      <c r="X671" t="s">
        <v>11592</v>
      </c>
      <c r="Y671" t="s">
        <v>11593</v>
      </c>
      <c r="Z671" t="s">
        <v>11594</v>
      </c>
      <c r="AA671" t="s">
        <v>11595</v>
      </c>
      <c r="AB671" t="s">
        <v>11596</v>
      </c>
      <c r="AC671" t="s">
        <v>11597</v>
      </c>
      <c r="AD671" t="s">
        <v>11598</v>
      </c>
      <c r="AE671" t="s">
        <v>11599</v>
      </c>
      <c r="AF671" t="s">
        <v>74</v>
      </c>
      <c r="AG671">
        <v>98</v>
      </c>
      <c r="AH671">
        <v>8</v>
      </c>
      <c r="AI671">
        <v>8</v>
      </c>
      <c r="AJ671">
        <v>13</v>
      </c>
      <c r="AK671">
        <v>65</v>
      </c>
      <c r="AL671" t="s">
        <v>3195</v>
      </c>
      <c r="AM671" t="s">
        <v>3196</v>
      </c>
      <c r="AN671" t="s">
        <v>3197</v>
      </c>
      <c r="AO671" t="s">
        <v>3198</v>
      </c>
      <c r="AP671" t="s">
        <v>74</v>
      </c>
      <c r="AQ671" t="s">
        <v>74</v>
      </c>
      <c r="AR671" t="s">
        <v>3199</v>
      </c>
      <c r="AS671" t="s">
        <v>3200</v>
      </c>
      <c r="AT671" t="s">
        <v>11600</v>
      </c>
      <c r="AU671">
        <v>2021</v>
      </c>
      <c r="AV671">
        <v>12</v>
      </c>
      <c r="AW671" t="s">
        <v>74</v>
      </c>
      <c r="AX671" t="s">
        <v>74</v>
      </c>
      <c r="AY671" t="s">
        <v>74</v>
      </c>
      <c r="AZ671" t="s">
        <v>74</v>
      </c>
      <c r="BA671" t="s">
        <v>74</v>
      </c>
      <c r="BB671" t="s">
        <v>74</v>
      </c>
      <c r="BC671" t="s">
        <v>74</v>
      </c>
      <c r="BD671">
        <v>653534</v>
      </c>
      <c r="BE671" t="s">
        <v>11601</v>
      </c>
      <c r="BF671" t="str">
        <f>HYPERLINK("http://dx.doi.org/10.3389/fpsyg.2021.653534","http://dx.doi.org/10.3389/fpsyg.2021.653534")</f>
        <v>http://dx.doi.org/10.3389/fpsyg.2021.653534</v>
      </c>
      <c r="BG671" t="s">
        <v>74</v>
      </c>
      <c r="BH671" t="s">
        <v>74</v>
      </c>
      <c r="BI671">
        <v>13</v>
      </c>
      <c r="BJ671" t="s">
        <v>3203</v>
      </c>
      <c r="BK671" t="s">
        <v>94</v>
      </c>
      <c r="BL671" t="s">
        <v>460</v>
      </c>
      <c r="BM671" t="s">
        <v>11602</v>
      </c>
      <c r="BN671">
        <v>33995213</v>
      </c>
      <c r="BO671" t="s">
        <v>4398</v>
      </c>
      <c r="BP671" t="s">
        <v>74</v>
      </c>
      <c r="BQ671" t="s">
        <v>74</v>
      </c>
      <c r="BR671" t="s">
        <v>97</v>
      </c>
      <c r="BS671" t="s">
        <v>11603</v>
      </c>
      <c r="BT671" t="str">
        <f>HYPERLINK("https%3A%2F%2Fwww.webofscience.com%2Fwos%2Fwoscc%2Ffull-record%2FWOS:000650012300001","View Full Record in Web of Science")</f>
        <v>View Full Record in Web of Science</v>
      </c>
    </row>
    <row r="672" spans="1:72" x14ac:dyDescent="0.25">
      <c r="A672" t="s">
        <v>72</v>
      </c>
      <c r="B672" t="s">
        <v>11604</v>
      </c>
      <c r="C672" t="s">
        <v>74</v>
      </c>
      <c r="D672" t="s">
        <v>74</v>
      </c>
      <c r="E672" t="s">
        <v>74</v>
      </c>
      <c r="F672" t="s">
        <v>11605</v>
      </c>
      <c r="G672" t="s">
        <v>74</v>
      </c>
      <c r="H672" t="s">
        <v>74</v>
      </c>
      <c r="I672" t="s">
        <v>11606</v>
      </c>
      <c r="J672" t="s">
        <v>9115</v>
      </c>
      <c r="K672" t="s">
        <v>74</v>
      </c>
      <c r="L672" t="s">
        <v>74</v>
      </c>
      <c r="M672" t="s">
        <v>77</v>
      </c>
      <c r="N672" t="s">
        <v>78</v>
      </c>
      <c r="O672" t="s">
        <v>74</v>
      </c>
      <c r="P672" t="s">
        <v>74</v>
      </c>
      <c r="Q672" t="s">
        <v>74</v>
      </c>
      <c r="R672" t="s">
        <v>74</v>
      </c>
      <c r="S672" t="s">
        <v>74</v>
      </c>
      <c r="T672" t="s">
        <v>11607</v>
      </c>
      <c r="U672" t="s">
        <v>11608</v>
      </c>
      <c r="V672" t="s">
        <v>11609</v>
      </c>
      <c r="W672" t="s">
        <v>11610</v>
      </c>
      <c r="X672" t="s">
        <v>11611</v>
      </c>
      <c r="Y672" t="s">
        <v>11612</v>
      </c>
      <c r="Z672" t="s">
        <v>11613</v>
      </c>
      <c r="AA672" t="s">
        <v>11614</v>
      </c>
      <c r="AB672" t="s">
        <v>11615</v>
      </c>
      <c r="AC672" t="s">
        <v>74</v>
      </c>
      <c r="AD672" t="s">
        <v>74</v>
      </c>
      <c r="AE672" t="s">
        <v>74</v>
      </c>
      <c r="AF672" t="s">
        <v>74</v>
      </c>
      <c r="AG672">
        <v>106</v>
      </c>
      <c r="AH672">
        <v>8</v>
      </c>
      <c r="AI672">
        <v>8</v>
      </c>
      <c r="AJ672">
        <v>13</v>
      </c>
      <c r="AK672">
        <v>88</v>
      </c>
      <c r="AL672" t="s">
        <v>1099</v>
      </c>
      <c r="AM672" t="s">
        <v>305</v>
      </c>
      <c r="AN672" t="s">
        <v>1100</v>
      </c>
      <c r="AO672" t="s">
        <v>9124</v>
      </c>
      <c r="AP672" t="s">
        <v>9125</v>
      </c>
      <c r="AQ672" t="s">
        <v>74</v>
      </c>
      <c r="AR672" t="s">
        <v>9126</v>
      </c>
      <c r="AS672" t="s">
        <v>9127</v>
      </c>
      <c r="AT672" t="s">
        <v>11247</v>
      </c>
      <c r="AU672">
        <v>2022</v>
      </c>
      <c r="AV672">
        <v>24</v>
      </c>
      <c r="AW672">
        <v>3</v>
      </c>
      <c r="AX672" t="s">
        <v>74</v>
      </c>
      <c r="AY672" t="s">
        <v>74</v>
      </c>
      <c r="AZ672" t="s">
        <v>74</v>
      </c>
      <c r="BA672" t="s">
        <v>74</v>
      </c>
      <c r="BB672">
        <v>355</v>
      </c>
      <c r="BC672">
        <v>380</v>
      </c>
      <c r="BD672" t="s">
        <v>74</v>
      </c>
      <c r="BE672" t="s">
        <v>11616</v>
      </c>
      <c r="BF672" t="str">
        <f>HYPERLINK("http://dx.doi.org/10.1080/14479338.2021.1897467","http://dx.doi.org/10.1080/14479338.2021.1897467")</f>
        <v>http://dx.doi.org/10.1080/14479338.2021.1897467</v>
      </c>
      <c r="BG672" t="s">
        <v>74</v>
      </c>
      <c r="BH672" t="s">
        <v>5544</v>
      </c>
      <c r="BI672">
        <v>26</v>
      </c>
      <c r="BJ672" t="s">
        <v>442</v>
      </c>
      <c r="BK672" t="s">
        <v>94</v>
      </c>
      <c r="BL672" t="s">
        <v>95</v>
      </c>
      <c r="BM672" t="s">
        <v>11617</v>
      </c>
      <c r="BN672" t="s">
        <v>74</v>
      </c>
      <c r="BO672" t="s">
        <v>74</v>
      </c>
      <c r="BP672" t="s">
        <v>74</v>
      </c>
      <c r="BQ672" t="s">
        <v>74</v>
      </c>
      <c r="BR672" t="s">
        <v>97</v>
      </c>
      <c r="BS672" t="s">
        <v>11618</v>
      </c>
      <c r="BT672" t="str">
        <f>HYPERLINK("https%3A%2F%2Fwww.webofscience.com%2Fwos%2Fwoscc%2Ffull-record%2FWOS:000631976100001","View Full Record in Web of Science")</f>
        <v>View Full Record in Web of Science</v>
      </c>
    </row>
    <row r="673" spans="1:72" x14ac:dyDescent="0.25">
      <c r="A673" t="s">
        <v>72</v>
      </c>
      <c r="B673" t="s">
        <v>11619</v>
      </c>
      <c r="C673" t="s">
        <v>74</v>
      </c>
      <c r="D673" t="s">
        <v>74</v>
      </c>
      <c r="E673" t="s">
        <v>74</v>
      </c>
      <c r="F673" t="s">
        <v>11620</v>
      </c>
      <c r="G673" t="s">
        <v>74</v>
      </c>
      <c r="H673" t="s">
        <v>74</v>
      </c>
      <c r="I673" t="s">
        <v>11621</v>
      </c>
      <c r="J673" t="s">
        <v>1838</v>
      </c>
      <c r="K673" t="s">
        <v>74</v>
      </c>
      <c r="L673" t="s">
        <v>74</v>
      </c>
      <c r="M673" t="s">
        <v>77</v>
      </c>
      <c r="N673" t="s">
        <v>78</v>
      </c>
      <c r="O673" t="s">
        <v>74</v>
      </c>
      <c r="P673" t="s">
        <v>74</v>
      </c>
      <c r="Q673" t="s">
        <v>74</v>
      </c>
      <c r="R673" t="s">
        <v>74</v>
      </c>
      <c r="S673" t="s">
        <v>74</v>
      </c>
      <c r="T673" t="s">
        <v>74</v>
      </c>
      <c r="U673" t="s">
        <v>11622</v>
      </c>
      <c r="V673" t="s">
        <v>11623</v>
      </c>
      <c r="W673" t="s">
        <v>11624</v>
      </c>
      <c r="X673" t="s">
        <v>11625</v>
      </c>
      <c r="Y673" t="s">
        <v>11626</v>
      </c>
      <c r="Z673" t="s">
        <v>11627</v>
      </c>
      <c r="AA673" t="s">
        <v>11628</v>
      </c>
      <c r="AB673" t="s">
        <v>11629</v>
      </c>
      <c r="AC673" t="s">
        <v>74</v>
      </c>
      <c r="AD673" t="s">
        <v>74</v>
      </c>
      <c r="AE673" t="s">
        <v>74</v>
      </c>
      <c r="AF673" t="s">
        <v>74</v>
      </c>
      <c r="AG673">
        <v>113</v>
      </c>
      <c r="AH673">
        <v>8</v>
      </c>
      <c r="AI673">
        <v>8</v>
      </c>
      <c r="AJ673">
        <v>4</v>
      </c>
      <c r="AK673">
        <v>33</v>
      </c>
      <c r="AL673" t="s">
        <v>218</v>
      </c>
      <c r="AM673" t="s">
        <v>219</v>
      </c>
      <c r="AN673" t="s">
        <v>220</v>
      </c>
      <c r="AO673" t="s">
        <v>1847</v>
      </c>
      <c r="AP673" t="s">
        <v>1848</v>
      </c>
      <c r="AQ673" t="s">
        <v>74</v>
      </c>
      <c r="AR673" t="s">
        <v>1849</v>
      </c>
      <c r="AS673" t="s">
        <v>1850</v>
      </c>
      <c r="AT673" t="s">
        <v>792</v>
      </c>
      <c r="AU673">
        <v>2021</v>
      </c>
      <c r="AV673">
        <v>32</v>
      </c>
      <c r="AW673">
        <v>3</v>
      </c>
      <c r="AX673" t="s">
        <v>74</v>
      </c>
      <c r="AY673" t="s">
        <v>74</v>
      </c>
      <c r="AZ673" t="s">
        <v>74</v>
      </c>
      <c r="BA673" t="s">
        <v>74</v>
      </c>
      <c r="BB673">
        <v>708</v>
      </c>
      <c r="BC673">
        <v>724</v>
      </c>
      <c r="BD673" t="s">
        <v>74</v>
      </c>
      <c r="BE673" t="s">
        <v>11630</v>
      </c>
      <c r="BF673" t="str">
        <f>HYPERLINK("http://dx.doi.org/10.1111/1467-8551.12471","http://dx.doi.org/10.1111/1467-8551.12471")</f>
        <v>http://dx.doi.org/10.1111/1467-8551.12471</v>
      </c>
      <c r="BG673" t="s">
        <v>74</v>
      </c>
      <c r="BH673" t="s">
        <v>6664</v>
      </c>
      <c r="BI673">
        <v>17</v>
      </c>
      <c r="BJ673" t="s">
        <v>93</v>
      </c>
      <c r="BK673" t="s">
        <v>94</v>
      </c>
      <c r="BL673" t="s">
        <v>95</v>
      </c>
      <c r="BM673" t="s">
        <v>11631</v>
      </c>
      <c r="BN673" t="s">
        <v>74</v>
      </c>
      <c r="BO673" t="s">
        <v>4225</v>
      </c>
      <c r="BP673" t="s">
        <v>74</v>
      </c>
      <c r="BQ673" t="s">
        <v>74</v>
      </c>
      <c r="BR673" t="s">
        <v>97</v>
      </c>
      <c r="BS673" t="s">
        <v>11632</v>
      </c>
      <c r="BT673" t="str">
        <f>HYPERLINK("https%3A%2F%2Fwww.webofscience.com%2Fwos%2Fwoscc%2Ffull-record%2FWOS:000611173100001","View Full Record in Web of Science")</f>
        <v>View Full Record in Web of Science</v>
      </c>
    </row>
    <row r="674" spans="1:72" x14ac:dyDescent="0.25">
      <c r="A674" t="s">
        <v>72</v>
      </c>
      <c r="B674" t="s">
        <v>11633</v>
      </c>
      <c r="C674" t="s">
        <v>74</v>
      </c>
      <c r="D674" t="s">
        <v>74</v>
      </c>
      <c r="E674" t="s">
        <v>74</v>
      </c>
      <c r="F674" t="s">
        <v>11634</v>
      </c>
      <c r="G674" t="s">
        <v>74</v>
      </c>
      <c r="H674" t="s">
        <v>74</v>
      </c>
      <c r="I674" t="s">
        <v>11635</v>
      </c>
      <c r="J674" t="s">
        <v>1916</v>
      </c>
      <c r="K674" t="s">
        <v>74</v>
      </c>
      <c r="L674" t="s">
        <v>74</v>
      </c>
      <c r="M674" t="s">
        <v>77</v>
      </c>
      <c r="N674" t="s">
        <v>78</v>
      </c>
      <c r="O674" t="s">
        <v>74</v>
      </c>
      <c r="P674" t="s">
        <v>74</v>
      </c>
      <c r="Q674" t="s">
        <v>74</v>
      </c>
      <c r="R674" t="s">
        <v>74</v>
      </c>
      <c r="S674" t="s">
        <v>74</v>
      </c>
      <c r="T674" t="s">
        <v>11636</v>
      </c>
      <c r="U674" t="s">
        <v>11637</v>
      </c>
      <c r="V674" t="s">
        <v>11638</v>
      </c>
      <c r="W674" t="s">
        <v>11639</v>
      </c>
      <c r="X674" t="s">
        <v>11640</v>
      </c>
      <c r="Y674" t="s">
        <v>11641</v>
      </c>
      <c r="Z674" t="s">
        <v>11642</v>
      </c>
      <c r="AA674" t="s">
        <v>8273</v>
      </c>
      <c r="AB674" t="s">
        <v>11643</v>
      </c>
      <c r="AC674" t="s">
        <v>74</v>
      </c>
      <c r="AD674" t="s">
        <v>74</v>
      </c>
      <c r="AE674" t="s">
        <v>74</v>
      </c>
      <c r="AF674" t="s">
        <v>74</v>
      </c>
      <c r="AG674">
        <v>59</v>
      </c>
      <c r="AH674">
        <v>8</v>
      </c>
      <c r="AI674">
        <v>8</v>
      </c>
      <c r="AJ674">
        <v>6</v>
      </c>
      <c r="AK674">
        <v>33</v>
      </c>
      <c r="AL674" t="s">
        <v>665</v>
      </c>
      <c r="AM674" t="s">
        <v>666</v>
      </c>
      <c r="AN674" t="s">
        <v>667</v>
      </c>
      <c r="AO674" t="s">
        <v>1926</v>
      </c>
      <c r="AP674" t="s">
        <v>1927</v>
      </c>
      <c r="AQ674" t="s">
        <v>74</v>
      </c>
      <c r="AR674" t="s">
        <v>1928</v>
      </c>
      <c r="AS674" t="s">
        <v>1929</v>
      </c>
      <c r="AT674" t="s">
        <v>11644</v>
      </c>
      <c r="AU674">
        <v>2021</v>
      </c>
      <c r="AV674">
        <v>59</v>
      </c>
      <c r="AW674">
        <v>9</v>
      </c>
      <c r="AX674" t="s">
        <v>74</v>
      </c>
      <c r="AY674" t="s">
        <v>74</v>
      </c>
      <c r="AZ674" t="s">
        <v>74</v>
      </c>
      <c r="BA674" t="s">
        <v>74</v>
      </c>
      <c r="BB674">
        <v>2183</v>
      </c>
      <c r="BC674">
        <v>2199</v>
      </c>
      <c r="BD674" t="s">
        <v>74</v>
      </c>
      <c r="BE674" t="s">
        <v>11645</v>
      </c>
      <c r="BF674" t="str">
        <f>HYPERLINK("http://dx.doi.org/10.1108/MD-09-2019-1211","http://dx.doi.org/10.1108/MD-09-2019-1211")</f>
        <v>http://dx.doi.org/10.1108/MD-09-2019-1211</v>
      </c>
      <c r="BG674" t="s">
        <v>74</v>
      </c>
      <c r="BH674" t="s">
        <v>8229</v>
      </c>
      <c r="BI674">
        <v>17</v>
      </c>
      <c r="BJ674" t="s">
        <v>93</v>
      </c>
      <c r="BK674" t="s">
        <v>94</v>
      </c>
      <c r="BL674" t="s">
        <v>95</v>
      </c>
      <c r="BM674" t="s">
        <v>11646</v>
      </c>
      <c r="BN674" t="s">
        <v>74</v>
      </c>
      <c r="BO674" t="s">
        <v>74</v>
      </c>
      <c r="BP674" t="s">
        <v>74</v>
      </c>
      <c r="BQ674" t="s">
        <v>74</v>
      </c>
      <c r="BR674" t="s">
        <v>97</v>
      </c>
      <c r="BS674" t="s">
        <v>11647</v>
      </c>
      <c r="BT674" t="str">
        <f>HYPERLINK("https%3A%2F%2Fwww.webofscience.com%2Fwos%2Fwoscc%2Ffull-record%2FWOS:000599190400001","View Full Record in Web of Science")</f>
        <v>View Full Record in Web of Science</v>
      </c>
    </row>
    <row r="675" spans="1:72" x14ac:dyDescent="0.25">
      <c r="A675" t="s">
        <v>72</v>
      </c>
      <c r="B675" t="s">
        <v>11648</v>
      </c>
      <c r="C675" t="s">
        <v>74</v>
      </c>
      <c r="D675" t="s">
        <v>74</v>
      </c>
      <c r="E675" t="s">
        <v>74</v>
      </c>
      <c r="F675" t="s">
        <v>11649</v>
      </c>
      <c r="G675" t="s">
        <v>74</v>
      </c>
      <c r="H675" t="s">
        <v>74</v>
      </c>
      <c r="I675" t="s">
        <v>11650</v>
      </c>
      <c r="J675" t="s">
        <v>5615</v>
      </c>
      <c r="K675" t="s">
        <v>74</v>
      </c>
      <c r="L675" t="s">
        <v>74</v>
      </c>
      <c r="M675" t="s">
        <v>77</v>
      </c>
      <c r="N675" t="s">
        <v>78</v>
      </c>
      <c r="O675" t="s">
        <v>74</v>
      </c>
      <c r="P675" t="s">
        <v>74</v>
      </c>
      <c r="Q675" t="s">
        <v>74</v>
      </c>
      <c r="R675" t="s">
        <v>74</v>
      </c>
      <c r="S675" t="s">
        <v>74</v>
      </c>
      <c r="T675" t="s">
        <v>11651</v>
      </c>
      <c r="U675" t="s">
        <v>11652</v>
      </c>
      <c r="V675" t="s">
        <v>11653</v>
      </c>
      <c r="W675" t="s">
        <v>11654</v>
      </c>
      <c r="X675" t="s">
        <v>11655</v>
      </c>
      <c r="Y675" t="s">
        <v>5011</v>
      </c>
      <c r="Z675" t="s">
        <v>11656</v>
      </c>
      <c r="AA675" t="s">
        <v>5013</v>
      </c>
      <c r="AB675" t="s">
        <v>74</v>
      </c>
      <c r="AC675" t="s">
        <v>11098</v>
      </c>
      <c r="AD675" t="s">
        <v>8685</v>
      </c>
      <c r="AE675" t="s">
        <v>11657</v>
      </c>
      <c r="AF675" t="s">
        <v>74</v>
      </c>
      <c r="AG675">
        <v>44</v>
      </c>
      <c r="AH675">
        <v>8</v>
      </c>
      <c r="AI675">
        <v>8</v>
      </c>
      <c r="AJ675">
        <v>8</v>
      </c>
      <c r="AK675">
        <v>38</v>
      </c>
      <c r="AL675" t="s">
        <v>665</v>
      </c>
      <c r="AM675" t="s">
        <v>666</v>
      </c>
      <c r="AN675" t="s">
        <v>667</v>
      </c>
      <c r="AO675" t="s">
        <v>5625</v>
      </c>
      <c r="AP675" t="s">
        <v>5626</v>
      </c>
      <c r="AQ675" t="s">
        <v>74</v>
      </c>
      <c r="AR675" t="s">
        <v>5627</v>
      </c>
      <c r="AS675" t="s">
        <v>5628</v>
      </c>
      <c r="AT675" t="s">
        <v>11658</v>
      </c>
      <c r="AU675">
        <v>2021</v>
      </c>
      <c r="AV675">
        <v>15</v>
      </c>
      <c r="AW675">
        <v>2</v>
      </c>
      <c r="AX675" t="s">
        <v>74</v>
      </c>
      <c r="AY675" t="s">
        <v>74</v>
      </c>
      <c r="AZ675" t="s">
        <v>74</v>
      </c>
      <c r="BA675" t="s">
        <v>74</v>
      </c>
      <c r="BB675">
        <v>350</v>
      </c>
      <c r="BC675">
        <v>362</v>
      </c>
      <c r="BD675" t="s">
        <v>74</v>
      </c>
      <c r="BE675" t="s">
        <v>11659</v>
      </c>
      <c r="BF675" t="str">
        <f>HYPERLINK("http://dx.doi.org/10.1108/CMS-05-2019-0191","http://dx.doi.org/10.1108/CMS-05-2019-0191")</f>
        <v>http://dx.doi.org/10.1108/CMS-05-2019-0191</v>
      </c>
      <c r="BG675" t="s">
        <v>74</v>
      </c>
      <c r="BH675" t="s">
        <v>6349</v>
      </c>
      <c r="BI675">
        <v>13</v>
      </c>
      <c r="BJ675" t="s">
        <v>442</v>
      </c>
      <c r="BK675" t="s">
        <v>94</v>
      </c>
      <c r="BL675" t="s">
        <v>95</v>
      </c>
      <c r="BM675" t="s">
        <v>11660</v>
      </c>
      <c r="BN675" t="s">
        <v>74</v>
      </c>
      <c r="BO675" t="s">
        <v>74</v>
      </c>
      <c r="BP675" t="s">
        <v>74</v>
      </c>
      <c r="BQ675" t="s">
        <v>74</v>
      </c>
      <c r="BR675" t="s">
        <v>97</v>
      </c>
      <c r="BS675" t="s">
        <v>11661</v>
      </c>
      <c r="BT675" t="str">
        <f>HYPERLINK("https%3A%2F%2Fwww.webofscience.com%2Fwos%2Fwoscc%2Ffull-record%2FWOS:000592117700001","View Full Record in Web of Science")</f>
        <v>View Full Record in Web of Science</v>
      </c>
    </row>
    <row r="676" spans="1:72" x14ac:dyDescent="0.25">
      <c r="A676" t="s">
        <v>72</v>
      </c>
      <c r="B676" t="s">
        <v>11662</v>
      </c>
      <c r="C676" t="s">
        <v>74</v>
      </c>
      <c r="D676" t="s">
        <v>74</v>
      </c>
      <c r="E676" t="s">
        <v>74</v>
      </c>
      <c r="F676" t="s">
        <v>11663</v>
      </c>
      <c r="G676" t="s">
        <v>74</v>
      </c>
      <c r="H676" t="s">
        <v>74</v>
      </c>
      <c r="I676" t="s">
        <v>11664</v>
      </c>
      <c r="J676" t="s">
        <v>3931</v>
      </c>
      <c r="K676" t="s">
        <v>74</v>
      </c>
      <c r="L676" t="s">
        <v>74</v>
      </c>
      <c r="M676" t="s">
        <v>77</v>
      </c>
      <c r="N676" t="s">
        <v>78</v>
      </c>
      <c r="O676" t="s">
        <v>74</v>
      </c>
      <c r="P676" t="s">
        <v>74</v>
      </c>
      <c r="Q676" t="s">
        <v>74</v>
      </c>
      <c r="R676" t="s">
        <v>74</v>
      </c>
      <c r="S676" t="s">
        <v>74</v>
      </c>
      <c r="T676" t="s">
        <v>11665</v>
      </c>
      <c r="U676" t="s">
        <v>11666</v>
      </c>
      <c r="V676" t="s">
        <v>11667</v>
      </c>
      <c r="W676" t="s">
        <v>11668</v>
      </c>
      <c r="X676" t="s">
        <v>11669</v>
      </c>
      <c r="Y676" t="s">
        <v>11670</v>
      </c>
      <c r="Z676" t="s">
        <v>11671</v>
      </c>
      <c r="AA676" t="s">
        <v>74</v>
      </c>
      <c r="AB676" t="s">
        <v>74</v>
      </c>
      <c r="AC676" t="s">
        <v>11672</v>
      </c>
      <c r="AD676" t="s">
        <v>11673</v>
      </c>
      <c r="AE676" t="s">
        <v>11674</v>
      </c>
      <c r="AF676" t="s">
        <v>74</v>
      </c>
      <c r="AG676">
        <v>54</v>
      </c>
      <c r="AH676">
        <v>8</v>
      </c>
      <c r="AI676">
        <v>8</v>
      </c>
      <c r="AJ676">
        <v>12</v>
      </c>
      <c r="AK676">
        <v>82</v>
      </c>
      <c r="AL676" t="s">
        <v>665</v>
      </c>
      <c r="AM676" t="s">
        <v>666</v>
      </c>
      <c r="AN676" t="s">
        <v>667</v>
      </c>
      <c r="AO676" t="s">
        <v>3939</v>
      </c>
      <c r="AP676" t="s">
        <v>3940</v>
      </c>
      <c r="AQ676" t="s">
        <v>74</v>
      </c>
      <c r="AR676" t="s">
        <v>3941</v>
      </c>
      <c r="AS676" t="s">
        <v>3942</v>
      </c>
      <c r="AT676" t="s">
        <v>8400</v>
      </c>
      <c r="AU676">
        <v>2021</v>
      </c>
      <c r="AV676">
        <v>42</v>
      </c>
      <c r="AW676">
        <v>1</v>
      </c>
      <c r="AX676" t="s">
        <v>74</v>
      </c>
      <c r="AY676" t="s">
        <v>74</v>
      </c>
      <c r="AZ676" t="s">
        <v>74</v>
      </c>
      <c r="BA676" t="s">
        <v>74</v>
      </c>
      <c r="BB676">
        <v>114</v>
      </c>
      <c r="BC676">
        <v>129</v>
      </c>
      <c r="BD676" t="s">
        <v>74</v>
      </c>
      <c r="BE676" t="s">
        <v>11675</v>
      </c>
      <c r="BF676" t="str">
        <f>HYPERLINK("http://dx.doi.org/10.1108/LODJ-10-2019-0442","http://dx.doi.org/10.1108/LODJ-10-2019-0442")</f>
        <v>http://dx.doi.org/10.1108/LODJ-10-2019-0442</v>
      </c>
      <c r="BG676" t="s">
        <v>74</v>
      </c>
      <c r="BH676" t="s">
        <v>6349</v>
      </c>
      <c r="BI676">
        <v>16</v>
      </c>
      <c r="BJ676" t="s">
        <v>442</v>
      </c>
      <c r="BK676" t="s">
        <v>94</v>
      </c>
      <c r="BL676" t="s">
        <v>95</v>
      </c>
      <c r="BM676" t="s">
        <v>11676</v>
      </c>
      <c r="BN676" t="s">
        <v>74</v>
      </c>
      <c r="BO676" t="s">
        <v>74</v>
      </c>
      <c r="BP676" t="s">
        <v>74</v>
      </c>
      <c r="BQ676" t="s">
        <v>74</v>
      </c>
      <c r="BR676" t="s">
        <v>97</v>
      </c>
      <c r="BS676" t="s">
        <v>11677</v>
      </c>
      <c r="BT676" t="str">
        <f>HYPERLINK("https%3A%2F%2Fwww.webofscience.com%2Fwos%2Fwoscc%2Ffull-record%2FWOS:000590718000001","View Full Record in Web of Science")</f>
        <v>View Full Record in Web of Science</v>
      </c>
    </row>
    <row r="677" spans="1:72" x14ac:dyDescent="0.25">
      <c r="A677" t="s">
        <v>72</v>
      </c>
      <c r="B677" t="s">
        <v>5943</v>
      </c>
      <c r="C677" t="s">
        <v>74</v>
      </c>
      <c r="D677" t="s">
        <v>74</v>
      </c>
      <c r="E677" t="s">
        <v>74</v>
      </c>
      <c r="F677" t="s">
        <v>5944</v>
      </c>
      <c r="G677" t="s">
        <v>74</v>
      </c>
      <c r="H677" t="s">
        <v>74</v>
      </c>
      <c r="I677" t="s">
        <v>11678</v>
      </c>
      <c r="J677" t="s">
        <v>2502</v>
      </c>
      <c r="K677" t="s">
        <v>74</v>
      </c>
      <c r="L677" t="s">
        <v>74</v>
      </c>
      <c r="M677" t="s">
        <v>77</v>
      </c>
      <c r="N677" t="s">
        <v>78</v>
      </c>
      <c r="O677" t="s">
        <v>74</v>
      </c>
      <c r="P677" t="s">
        <v>74</v>
      </c>
      <c r="Q677" t="s">
        <v>74</v>
      </c>
      <c r="R677" t="s">
        <v>74</v>
      </c>
      <c r="S677" t="s">
        <v>74</v>
      </c>
      <c r="T677" t="s">
        <v>11679</v>
      </c>
      <c r="U677" t="s">
        <v>11680</v>
      </c>
      <c r="V677" t="s">
        <v>11681</v>
      </c>
      <c r="W677" t="s">
        <v>11682</v>
      </c>
      <c r="X677" t="s">
        <v>5950</v>
      </c>
      <c r="Y677" t="s">
        <v>5951</v>
      </c>
      <c r="Z677" t="s">
        <v>5952</v>
      </c>
      <c r="AA677" t="s">
        <v>5953</v>
      </c>
      <c r="AB677" t="s">
        <v>11683</v>
      </c>
      <c r="AC677" t="s">
        <v>74</v>
      </c>
      <c r="AD677" t="s">
        <v>74</v>
      </c>
      <c r="AE677" t="s">
        <v>74</v>
      </c>
      <c r="AF677" t="s">
        <v>74</v>
      </c>
      <c r="AG677">
        <v>84</v>
      </c>
      <c r="AH677">
        <v>8</v>
      </c>
      <c r="AI677">
        <v>8</v>
      </c>
      <c r="AJ677">
        <v>6</v>
      </c>
      <c r="AK677">
        <v>52</v>
      </c>
      <c r="AL677" t="s">
        <v>665</v>
      </c>
      <c r="AM677" t="s">
        <v>666</v>
      </c>
      <c r="AN677" t="s">
        <v>667</v>
      </c>
      <c r="AO677" t="s">
        <v>2510</v>
      </c>
      <c r="AP677" t="s">
        <v>2511</v>
      </c>
      <c r="AQ677" t="s">
        <v>74</v>
      </c>
      <c r="AR677" t="s">
        <v>2512</v>
      </c>
      <c r="AS677" t="s">
        <v>2513</v>
      </c>
      <c r="AT677" t="s">
        <v>9709</v>
      </c>
      <c r="AU677">
        <v>2021</v>
      </c>
      <c r="AV677">
        <v>50</v>
      </c>
      <c r="AW677">
        <v>3</v>
      </c>
      <c r="AX677" t="s">
        <v>74</v>
      </c>
      <c r="AY677" t="s">
        <v>74</v>
      </c>
      <c r="AZ677" t="s">
        <v>74</v>
      </c>
      <c r="BA677" t="s">
        <v>74</v>
      </c>
      <c r="BB677">
        <v>1003</v>
      </c>
      <c r="BC677">
        <v>1021</v>
      </c>
      <c r="BD677" t="s">
        <v>74</v>
      </c>
      <c r="BE677" t="s">
        <v>11684</v>
      </c>
      <c r="BF677" t="str">
        <f>HYPERLINK("http://dx.doi.org/10.1108/PR-08-2019-0461","http://dx.doi.org/10.1108/PR-08-2019-0461")</f>
        <v>http://dx.doi.org/10.1108/PR-08-2019-0461</v>
      </c>
      <c r="BG677" t="s">
        <v>74</v>
      </c>
      <c r="BH677" t="s">
        <v>7030</v>
      </c>
      <c r="BI677">
        <v>19</v>
      </c>
      <c r="BJ677" t="s">
        <v>2515</v>
      </c>
      <c r="BK677" t="s">
        <v>94</v>
      </c>
      <c r="BL677" t="s">
        <v>227</v>
      </c>
      <c r="BM677" t="s">
        <v>11685</v>
      </c>
      <c r="BN677" t="s">
        <v>74</v>
      </c>
      <c r="BO677" t="s">
        <v>378</v>
      </c>
      <c r="BP677" t="s">
        <v>74</v>
      </c>
      <c r="BQ677" t="s">
        <v>74</v>
      </c>
      <c r="BR677" t="s">
        <v>97</v>
      </c>
      <c r="BS677" t="s">
        <v>11686</v>
      </c>
      <c r="BT677" t="str">
        <f>HYPERLINK("https%3A%2F%2Fwww.webofscience.com%2Fwos%2Fwoscc%2Ffull-record%2FWOS:000558314700001","View Full Record in Web of Science")</f>
        <v>View Full Record in Web of Science</v>
      </c>
    </row>
    <row r="678" spans="1:72" x14ac:dyDescent="0.25">
      <c r="A678" t="s">
        <v>72</v>
      </c>
      <c r="B678" t="s">
        <v>11687</v>
      </c>
      <c r="C678" t="s">
        <v>74</v>
      </c>
      <c r="D678" t="s">
        <v>74</v>
      </c>
      <c r="E678" t="s">
        <v>74</v>
      </c>
      <c r="F678" t="s">
        <v>11688</v>
      </c>
      <c r="G678" t="s">
        <v>74</v>
      </c>
      <c r="H678" t="s">
        <v>74</v>
      </c>
      <c r="I678" t="s">
        <v>11689</v>
      </c>
      <c r="J678" t="s">
        <v>155</v>
      </c>
      <c r="K678" t="s">
        <v>74</v>
      </c>
      <c r="L678" t="s">
        <v>74</v>
      </c>
      <c r="M678" t="s">
        <v>77</v>
      </c>
      <c r="N678" t="s">
        <v>78</v>
      </c>
      <c r="O678" t="s">
        <v>74</v>
      </c>
      <c r="P678" t="s">
        <v>74</v>
      </c>
      <c r="Q678" t="s">
        <v>74</v>
      </c>
      <c r="R678" t="s">
        <v>74</v>
      </c>
      <c r="S678" t="s">
        <v>74</v>
      </c>
      <c r="T678" t="s">
        <v>11690</v>
      </c>
      <c r="U678" t="s">
        <v>11691</v>
      </c>
      <c r="V678" t="s">
        <v>11692</v>
      </c>
      <c r="W678" t="s">
        <v>11693</v>
      </c>
      <c r="X678" t="s">
        <v>11694</v>
      </c>
      <c r="Y678" t="s">
        <v>11695</v>
      </c>
      <c r="Z678" t="s">
        <v>11696</v>
      </c>
      <c r="AA678" t="s">
        <v>74</v>
      </c>
      <c r="AB678" t="s">
        <v>11697</v>
      </c>
      <c r="AC678" t="s">
        <v>74</v>
      </c>
      <c r="AD678" t="s">
        <v>74</v>
      </c>
      <c r="AE678" t="s">
        <v>74</v>
      </c>
      <c r="AF678" t="s">
        <v>74</v>
      </c>
      <c r="AG678">
        <v>143</v>
      </c>
      <c r="AH678">
        <v>8</v>
      </c>
      <c r="AI678">
        <v>8</v>
      </c>
      <c r="AJ678">
        <v>7</v>
      </c>
      <c r="AK678">
        <v>63</v>
      </c>
      <c r="AL678" t="s">
        <v>218</v>
      </c>
      <c r="AM678" t="s">
        <v>219</v>
      </c>
      <c r="AN678" t="s">
        <v>220</v>
      </c>
      <c r="AO678" t="s">
        <v>162</v>
      </c>
      <c r="AP678" t="s">
        <v>1909</v>
      </c>
      <c r="AQ678" t="s">
        <v>74</v>
      </c>
      <c r="AR678" t="s">
        <v>163</v>
      </c>
      <c r="AS678" t="s">
        <v>164</v>
      </c>
      <c r="AT678" t="s">
        <v>792</v>
      </c>
      <c r="AU678">
        <v>2020</v>
      </c>
      <c r="AV678">
        <v>57</v>
      </c>
      <c r="AW678">
        <v>5</v>
      </c>
      <c r="AX678" t="s">
        <v>74</v>
      </c>
      <c r="AY678" t="s">
        <v>74</v>
      </c>
      <c r="AZ678" t="s">
        <v>860</v>
      </c>
      <c r="BA678" t="s">
        <v>74</v>
      </c>
      <c r="BB678">
        <v>931</v>
      </c>
      <c r="BC678">
        <v>961</v>
      </c>
      <c r="BD678" t="s">
        <v>74</v>
      </c>
      <c r="BE678" t="s">
        <v>11698</v>
      </c>
      <c r="BF678" t="str">
        <f>HYPERLINK("http://dx.doi.org/10.1111/joms.12563","http://dx.doi.org/10.1111/joms.12563")</f>
        <v>http://dx.doi.org/10.1111/joms.12563</v>
      </c>
      <c r="BG678" t="s">
        <v>74</v>
      </c>
      <c r="BH678" t="s">
        <v>74</v>
      </c>
      <c r="BI678">
        <v>31</v>
      </c>
      <c r="BJ678" t="s">
        <v>93</v>
      </c>
      <c r="BK678" t="s">
        <v>94</v>
      </c>
      <c r="BL678" t="s">
        <v>95</v>
      </c>
      <c r="BM678" t="s">
        <v>11699</v>
      </c>
      <c r="BN678" t="s">
        <v>74</v>
      </c>
      <c r="BO678" t="s">
        <v>1897</v>
      </c>
      <c r="BP678" t="s">
        <v>74</v>
      </c>
      <c r="BQ678" t="s">
        <v>74</v>
      </c>
      <c r="BR678" t="s">
        <v>97</v>
      </c>
      <c r="BS678" t="s">
        <v>11700</v>
      </c>
      <c r="BT678" t="str">
        <f>HYPERLINK("https%3A%2F%2Fwww.webofscience.com%2Fwos%2Fwoscc%2Ffull-record%2FWOS:000540610500002","View Full Record in Web of Science")</f>
        <v>View Full Record in Web of Science</v>
      </c>
    </row>
    <row r="679" spans="1:72" x14ac:dyDescent="0.25">
      <c r="A679" t="s">
        <v>72</v>
      </c>
      <c r="B679" t="s">
        <v>11701</v>
      </c>
      <c r="C679" t="s">
        <v>74</v>
      </c>
      <c r="D679" t="s">
        <v>74</v>
      </c>
      <c r="E679" t="s">
        <v>74</v>
      </c>
      <c r="F679" t="s">
        <v>11702</v>
      </c>
      <c r="G679" t="s">
        <v>74</v>
      </c>
      <c r="H679" t="s">
        <v>74</v>
      </c>
      <c r="I679" t="s">
        <v>11703</v>
      </c>
      <c r="J679" t="s">
        <v>6372</v>
      </c>
      <c r="K679" t="s">
        <v>74</v>
      </c>
      <c r="L679" t="s">
        <v>74</v>
      </c>
      <c r="M679" t="s">
        <v>77</v>
      </c>
      <c r="N679" t="s">
        <v>78</v>
      </c>
      <c r="O679" t="s">
        <v>74</v>
      </c>
      <c r="P679" t="s">
        <v>74</v>
      </c>
      <c r="Q679" t="s">
        <v>74</v>
      </c>
      <c r="R679" t="s">
        <v>74</v>
      </c>
      <c r="S679" t="s">
        <v>74</v>
      </c>
      <c r="T679" t="s">
        <v>11704</v>
      </c>
      <c r="U679" t="s">
        <v>11705</v>
      </c>
      <c r="V679" t="s">
        <v>11706</v>
      </c>
      <c r="W679" t="s">
        <v>11707</v>
      </c>
      <c r="X679" t="s">
        <v>11708</v>
      </c>
      <c r="Y679" t="s">
        <v>11709</v>
      </c>
      <c r="Z679" t="s">
        <v>11710</v>
      </c>
      <c r="AA679" t="s">
        <v>11711</v>
      </c>
      <c r="AB679" t="s">
        <v>11712</v>
      </c>
      <c r="AC679" t="s">
        <v>74</v>
      </c>
      <c r="AD679" t="s">
        <v>74</v>
      </c>
      <c r="AE679" t="s">
        <v>74</v>
      </c>
      <c r="AF679" t="s">
        <v>74</v>
      </c>
      <c r="AG679">
        <v>89</v>
      </c>
      <c r="AH679">
        <v>8</v>
      </c>
      <c r="AI679">
        <v>8</v>
      </c>
      <c r="AJ679">
        <v>4</v>
      </c>
      <c r="AK679">
        <v>39</v>
      </c>
      <c r="AL679" t="s">
        <v>2473</v>
      </c>
      <c r="AM679" t="s">
        <v>2102</v>
      </c>
      <c r="AN679" t="s">
        <v>2474</v>
      </c>
      <c r="AO679" t="s">
        <v>74</v>
      </c>
      <c r="AP679" t="s">
        <v>6384</v>
      </c>
      <c r="AQ679" t="s">
        <v>74</v>
      </c>
      <c r="AR679" t="s">
        <v>6385</v>
      </c>
      <c r="AS679" t="s">
        <v>6386</v>
      </c>
      <c r="AT679" t="s">
        <v>122</v>
      </c>
      <c r="AU679">
        <v>2020</v>
      </c>
      <c r="AV679">
        <v>17</v>
      </c>
      <c r="AW679">
        <v>8</v>
      </c>
      <c r="AX679" t="s">
        <v>74</v>
      </c>
      <c r="AY679" t="s">
        <v>74</v>
      </c>
      <c r="AZ679" t="s">
        <v>74</v>
      </c>
      <c r="BA679" t="s">
        <v>74</v>
      </c>
      <c r="BB679" t="s">
        <v>74</v>
      </c>
      <c r="BC679" t="s">
        <v>74</v>
      </c>
      <c r="BD679">
        <v>2626</v>
      </c>
      <c r="BE679" t="s">
        <v>11713</v>
      </c>
      <c r="BF679" t="str">
        <f>HYPERLINK("http://dx.doi.org/10.3390/ijerph17082626","http://dx.doi.org/10.3390/ijerph17082626")</f>
        <v>http://dx.doi.org/10.3390/ijerph17082626</v>
      </c>
      <c r="BG679" t="s">
        <v>74</v>
      </c>
      <c r="BH679" t="s">
        <v>74</v>
      </c>
      <c r="BI679">
        <v>18</v>
      </c>
      <c r="BJ679" t="s">
        <v>6388</v>
      </c>
      <c r="BK679" t="s">
        <v>147</v>
      </c>
      <c r="BL679" t="s">
        <v>6389</v>
      </c>
      <c r="BM679" t="s">
        <v>11714</v>
      </c>
      <c r="BN679">
        <v>32290443</v>
      </c>
      <c r="BO679" t="s">
        <v>4398</v>
      </c>
      <c r="BP679" t="s">
        <v>74</v>
      </c>
      <c r="BQ679" t="s">
        <v>74</v>
      </c>
      <c r="BR679" t="s">
        <v>97</v>
      </c>
      <c r="BS679" t="s">
        <v>11715</v>
      </c>
      <c r="BT679" t="str">
        <f>HYPERLINK("https%3A%2F%2Fwww.webofscience.com%2Fwos%2Fwoscc%2Ffull-record%2FWOS:000535744100011","View Full Record in Web of Science")</f>
        <v>View Full Record in Web of Science</v>
      </c>
    </row>
    <row r="680" spans="1:72" x14ac:dyDescent="0.25">
      <c r="A680" t="s">
        <v>72</v>
      </c>
      <c r="B680" t="s">
        <v>11716</v>
      </c>
      <c r="C680" t="s">
        <v>74</v>
      </c>
      <c r="D680" t="s">
        <v>74</v>
      </c>
      <c r="E680" t="s">
        <v>74</v>
      </c>
      <c r="F680" t="s">
        <v>11717</v>
      </c>
      <c r="G680" t="s">
        <v>74</v>
      </c>
      <c r="H680" t="s">
        <v>74</v>
      </c>
      <c r="I680" t="s">
        <v>11718</v>
      </c>
      <c r="J680" t="s">
        <v>758</v>
      </c>
      <c r="K680" t="s">
        <v>74</v>
      </c>
      <c r="L680" t="s">
        <v>74</v>
      </c>
      <c r="M680" t="s">
        <v>77</v>
      </c>
      <c r="N680" t="s">
        <v>78</v>
      </c>
      <c r="O680" t="s">
        <v>74</v>
      </c>
      <c r="P680" t="s">
        <v>74</v>
      </c>
      <c r="Q680" t="s">
        <v>74</v>
      </c>
      <c r="R680" t="s">
        <v>74</v>
      </c>
      <c r="S680" t="s">
        <v>74</v>
      </c>
      <c r="T680" t="s">
        <v>11719</v>
      </c>
      <c r="U680" t="s">
        <v>11720</v>
      </c>
      <c r="V680" t="s">
        <v>11721</v>
      </c>
      <c r="W680" t="s">
        <v>11722</v>
      </c>
      <c r="X680" t="s">
        <v>11723</v>
      </c>
      <c r="Y680" t="s">
        <v>11724</v>
      </c>
      <c r="Z680" t="s">
        <v>11725</v>
      </c>
      <c r="AA680" t="s">
        <v>74</v>
      </c>
      <c r="AB680" t="s">
        <v>74</v>
      </c>
      <c r="AC680" t="s">
        <v>74</v>
      </c>
      <c r="AD680" t="s">
        <v>74</v>
      </c>
      <c r="AE680" t="s">
        <v>74</v>
      </c>
      <c r="AF680" t="s">
        <v>74</v>
      </c>
      <c r="AG680">
        <v>74</v>
      </c>
      <c r="AH680">
        <v>8</v>
      </c>
      <c r="AI680">
        <v>8</v>
      </c>
      <c r="AJ680">
        <v>14</v>
      </c>
      <c r="AK680">
        <v>51</v>
      </c>
      <c r="AL680" t="s">
        <v>766</v>
      </c>
      <c r="AM680" t="s">
        <v>330</v>
      </c>
      <c r="AN680" t="s">
        <v>1452</v>
      </c>
      <c r="AO680" t="s">
        <v>768</v>
      </c>
      <c r="AP680" t="s">
        <v>769</v>
      </c>
      <c r="AQ680" t="s">
        <v>74</v>
      </c>
      <c r="AR680" t="s">
        <v>770</v>
      </c>
      <c r="AS680" t="s">
        <v>771</v>
      </c>
      <c r="AT680" t="s">
        <v>405</v>
      </c>
      <c r="AU680">
        <v>2021</v>
      </c>
      <c r="AV680">
        <v>36</v>
      </c>
      <c r="AW680">
        <v>1</v>
      </c>
      <c r="AX680" t="s">
        <v>74</v>
      </c>
      <c r="AY680" t="s">
        <v>74</v>
      </c>
      <c r="AZ680" t="s">
        <v>74</v>
      </c>
      <c r="BA680" t="s">
        <v>74</v>
      </c>
      <c r="BB680">
        <v>139</v>
      </c>
      <c r="BC680">
        <v>153</v>
      </c>
      <c r="BD680" t="s">
        <v>74</v>
      </c>
      <c r="BE680" t="s">
        <v>11726</v>
      </c>
      <c r="BF680" t="str">
        <f>HYPERLINK("http://dx.doi.org/10.1007/s10869-019-09669-0","http://dx.doi.org/10.1007/s10869-019-09669-0")</f>
        <v>http://dx.doi.org/10.1007/s10869-019-09669-0</v>
      </c>
      <c r="BG680" t="s">
        <v>74</v>
      </c>
      <c r="BH680" t="s">
        <v>6185</v>
      </c>
      <c r="BI680">
        <v>15</v>
      </c>
      <c r="BJ680" t="s">
        <v>773</v>
      </c>
      <c r="BK680" t="s">
        <v>94</v>
      </c>
      <c r="BL680" t="s">
        <v>227</v>
      </c>
      <c r="BM680" t="s">
        <v>11727</v>
      </c>
      <c r="BN680" t="s">
        <v>74</v>
      </c>
      <c r="BO680" t="s">
        <v>718</v>
      </c>
      <c r="BP680" t="s">
        <v>74</v>
      </c>
      <c r="BQ680" t="s">
        <v>74</v>
      </c>
      <c r="BR680" t="s">
        <v>97</v>
      </c>
      <c r="BS680" t="s">
        <v>11728</v>
      </c>
      <c r="BT680" t="str">
        <f>HYPERLINK("https%3A%2F%2Fwww.webofscience.com%2Fwos%2Fwoscc%2Ffull-record%2FWOS:000566142600001","View Full Record in Web of Science")</f>
        <v>View Full Record in Web of Science</v>
      </c>
    </row>
    <row r="681" spans="1:72" x14ac:dyDescent="0.25">
      <c r="A681" t="s">
        <v>72</v>
      </c>
      <c r="B681" t="s">
        <v>11729</v>
      </c>
      <c r="C681" t="s">
        <v>74</v>
      </c>
      <c r="D681" t="s">
        <v>74</v>
      </c>
      <c r="E681" t="s">
        <v>74</v>
      </c>
      <c r="F681" t="s">
        <v>11730</v>
      </c>
      <c r="G681" t="s">
        <v>74</v>
      </c>
      <c r="H681" t="s">
        <v>74</v>
      </c>
      <c r="I681" t="s">
        <v>11731</v>
      </c>
      <c r="J681" t="s">
        <v>3164</v>
      </c>
      <c r="K681" t="s">
        <v>74</v>
      </c>
      <c r="L681" t="s">
        <v>74</v>
      </c>
      <c r="M681" t="s">
        <v>77</v>
      </c>
      <c r="N681" t="s">
        <v>78</v>
      </c>
      <c r="O681" t="s">
        <v>74</v>
      </c>
      <c r="P681" t="s">
        <v>74</v>
      </c>
      <c r="Q681" t="s">
        <v>74</v>
      </c>
      <c r="R681" t="s">
        <v>74</v>
      </c>
      <c r="S681" t="s">
        <v>74</v>
      </c>
      <c r="T681" t="s">
        <v>11732</v>
      </c>
      <c r="U681" t="s">
        <v>11733</v>
      </c>
      <c r="V681" t="s">
        <v>11734</v>
      </c>
      <c r="W681" t="s">
        <v>11735</v>
      </c>
      <c r="X681" t="s">
        <v>11736</v>
      </c>
      <c r="Y681" t="s">
        <v>11737</v>
      </c>
      <c r="Z681" t="s">
        <v>11738</v>
      </c>
      <c r="AA681" t="s">
        <v>11739</v>
      </c>
      <c r="AB681" t="s">
        <v>11740</v>
      </c>
      <c r="AC681" t="s">
        <v>74</v>
      </c>
      <c r="AD681" t="s">
        <v>74</v>
      </c>
      <c r="AE681" t="s">
        <v>74</v>
      </c>
      <c r="AF681" t="s">
        <v>74</v>
      </c>
      <c r="AG681">
        <v>72</v>
      </c>
      <c r="AH681">
        <v>8</v>
      </c>
      <c r="AI681">
        <v>8</v>
      </c>
      <c r="AJ681">
        <v>3</v>
      </c>
      <c r="AK681">
        <v>25</v>
      </c>
      <c r="AL681" t="s">
        <v>665</v>
      </c>
      <c r="AM681" t="s">
        <v>666</v>
      </c>
      <c r="AN681" t="s">
        <v>667</v>
      </c>
      <c r="AO681" t="s">
        <v>3172</v>
      </c>
      <c r="AP681" t="s">
        <v>3173</v>
      </c>
      <c r="AQ681" t="s">
        <v>74</v>
      </c>
      <c r="AR681" t="s">
        <v>3174</v>
      </c>
      <c r="AS681" t="s">
        <v>3175</v>
      </c>
      <c r="AT681" t="s">
        <v>6201</v>
      </c>
      <c r="AU681">
        <v>2019</v>
      </c>
      <c r="AV681">
        <v>30</v>
      </c>
      <c r="AW681">
        <v>5</v>
      </c>
      <c r="AX681" t="s">
        <v>74</v>
      </c>
      <c r="AY681" t="s">
        <v>74</v>
      </c>
      <c r="AZ681" t="s">
        <v>74</v>
      </c>
      <c r="BA681" t="s">
        <v>74</v>
      </c>
      <c r="BB681">
        <v>637</v>
      </c>
      <c r="BC681">
        <v>656</v>
      </c>
      <c r="BD681" t="s">
        <v>74</v>
      </c>
      <c r="BE681" t="s">
        <v>11741</v>
      </c>
      <c r="BF681" t="str">
        <f>HYPERLINK("http://dx.doi.org/10.1108/IJCMA-02-2019-0033","http://dx.doi.org/10.1108/IJCMA-02-2019-0033")</f>
        <v>http://dx.doi.org/10.1108/IJCMA-02-2019-0033</v>
      </c>
      <c r="BG681" t="s">
        <v>74</v>
      </c>
      <c r="BH681" t="s">
        <v>74</v>
      </c>
      <c r="BI681">
        <v>20</v>
      </c>
      <c r="BJ681" t="s">
        <v>3177</v>
      </c>
      <c r="BK681" t="s">
        <v>94</v>
      </c>
      <c r="BL681" t="s">
        <v>3178</v>
      </c>
      <c r="BM681" t="s">
        <v>11742</v>
      </c>
      <c r="BN681" t="s">
        <v>74</v>
      </c>
      <c r="BO681" t="s">
        <v>74</v>
      </c>
      <c r="BP681" t="s">
        <v>74</v>
      </c>
      <c r="BQ681" t="s">
        <v>74</v>
      </c>
      <c r="BR681" t="s">
        <v>97</v>
      </c>
      <c r="BS681" t="s">
        <v>11743</v>
      </c>
      <c r="BT681" t="str">
        <f>HYPERLINK("https%3A%2F%2Fwww.webofscience.com%2Fwos%2Fwoscc%2Ffull-record%2FWOS:000489162500003","View Full Record in Web of Science")</f>
        <v>View Full Record in Web of Science</v>
      </c>
    </row>
    <row r="682" spans="1:72" x14ac:dyDescent="0.25">
      <c r="A682" t="s">
        <v>72</v>
      </c>
      <c r="B682" t="s">
        <v>11764</v>
      </c>
      <c r="C682" t="s">
        <v>74</v>
      </c>
      <c r="D682" t="s">
        <v>74</v>
      </c>
      <c r="E682" t="s">
        <v>74</v>
      </c>
      <c r="F682" t="s">
        <v>11765</v>
      </c>
      <c r="G682" t="s">
        <v>74</v>
      </c>
      <c r="H682" t="s">
        <v>74</v>
      </c>
      <c r="I682" t="s">
        <v>11766</v>
      </c>
      <c r="J682" t="s">
        <v>3683</v>
      </c>
      <c r="K682" t="s">
        <v>74</v>
      </c>
      <c r="L682" t="s">
        <v>74</v>
      </c>
      <c r="M682" t="s">
        <v>77</v>
      </c>
      <c r="N682" t="s">
        <v>78</v>
      </c>
      <c r="O682" t="s">
        <v>74</v>
      </c>
      <c r="P682" t="s">
        <v>74</v>
      </c>
      <c r="Q682" t="s">
        <v>74</v>
      </c>
      <c r="R682" t="s">
        <v>74</v>
      </c>
      <c r="S682" t="s">
        <v>74</v>
      </c>
      <c r="T682" t="s">
        <v>11767</v>
      </c>
      <c r="U682" t="s">
        <v>11768</v>
      </c>
      <c r="V682" t="s">
        <v>11769</v>
      </c>
      <c r="W682" t="s">
        <v>11770</v>
      </c>
      <c r="X682" t="s">
        <v>11771</v>
      </c>
      <c r="Y682" t="s">
        <v>11772</v>
      </c>
      <c r="Z682" t="s">
        <v>11773</v>
      </c>
      <c r="AA682" t="s">
        <v>74</v>
      </c>
      <c r="AB682" t="s">
        <v>74</v>
      </c>
      <c r="AC682" t="s">
        <v>74</v>
      </c>
      <c r="AD682" t="s">
        <v>74</v>
      </c>
      <c r="AE682" t="s">
        <v>74</v>
      </c>
      <c r="AF682" t="s">
        <v>74</v>
      </c>
      <c r="AG682">
        <v>68</v>
      </c>
      <c r="AH682">
        <v>8</v>
      </c>
      <c r="AI682">
        <v>8</v>
      </c>
      <c r="AJ682">
        <v>2</v>
      </c>
      <c r="AK682">
        <v>10</v>
      </c>
      <c r="AL682" t="s">
        <v>1533</v>
      </c>
      <c r="AM682" t="s">
        <v>1534</v>
      </c>
      <c r="AN682" t="s">
        <v>1535</v>
      </c>
      <c r="AO682" t="s">
        <v>3693</v>
      </c>
      <c r="AP682" t="s">
        <v>3694</v>
      </c>
      <c r="AQ682" t="s">
        <v>74</v>
      </c>
      <c r="AR682" t="s">
        <v>3695</v>
      </c>
      <c r="AS682" t="s">
        <v>3696</v>
      </c>
      <c r="AT682" t="s">
        <v>375</v>
      </c>
      <c r="AU682">
        <v>2018</v>
      </c>
      <c r="AV682">
        <v>8</v>
      </c>
      <c r="AW682">
        <v>4</v>
      </c>
      <c r="AX682" t="s">
        <v>74</v>
      </c>
      <c r="AY682" t="s">
        <v>74</v>
      </c>
      <c r="AZ682" t="s">
        <v>74</v>
      </c>
      <c r="BA682" t="s">
        <v>74</v>
      </c>
      <c r="BB682">
        <v>453</v>
      </c>
      <c r="BC682">
        <v>476</v>
      </c>
      <c r="BD682" t="s">
        <v>74</v>
      </c>
      <c r="BE682" t="s">
        <v>11774</v>
      </c>
      <c r="BF682" t="str">
        <f>HYPERLINK("http://dx.doi.org/10.1007/s40821-018-0103-2","http://dx.doi.org/10.1007/s40821-018-0103-2")</f>
        <v>http://dx.doi.org/10.1007/s40821-018-0103-2</v>
      </c>
      <c r="BG682" t="s">
        <v>74</v>
      </c>
      <c r="BH682" t="s">
        <v>74</v>
      </c>
      <c r="BI682">
        <v>24</v>
      </c>
      <c r="BJ682" t="s">
        <v>1199</v>
      </c>
      <c r="BK682" t="s">
        <v>94</v>
      </c>
      <c r="BL682" t="s">
        <v>95</v>
      </c>
      <c r="BM682" t="s">
        <v>11775</v>
      </c>
      <c r="BN682" t="s">
        <v>74</v>
      </c>
      <c r="BO682" t="s">
        <v>74</v>
      </c>
      <c r="BP682" t="s">
        <v>74</v>
      </c>
      <c r="BQ682" t="s">
        <v>74</v>
      </c>
      <c r="BR682" t="s">
        <v>97</v>
      </c>
      <c r="BS682" t="s">
        <v>11776</v>
      </c>
      <c r="BT682" t="str">
        <f>HYPERLINK("https%3A%2F%2Fwww.webofscience.com%2Fwos%2Fwoscc%2Ffull-record%2FWOS:000449381600005","View Full Record in Web of Science")</f>
        <v>View Full Record in Web of Science</v>
      </c>
    </row>
    <row r="683" spans="1:72" x14ac:dyDescent="0.25">
      <c r="A683" t="s">
        <v>72</v>
      </c>
      <c r="B683" t="s">
        <v>4984</v>
      </c>
      <c r="C683" t="s">
        <v>74</v>
      </c>
      <c r="D683" t="s">
        <v>74</v>
      </c>
      <c r="E683" t="s">
        <v>74</v>
      </c>
      <c r="F683" t="s">
        <v>4985</v>
      </c>
      <c r="G683" t="s">
        <v>74</v>
      </c>
      <c r="H683" t="s">
        <v>74</v>
      </c>
      <c r="I683" t="s">
        <v>4986</v>
      </c>
      <c r="J683" t="s">
        <v>1739</v>
      </c>
      <c r="K683" t="s">
        <v>74</v>
      </c>
      <c r="L683" t="s">
        <v>74</v>
      </c>
      <c r="M683" t="s">
        <v>77</v>
      </c>
      <c r="N683" t="s">
        <v>78</v>
      </c>
      <c r="O683" t="s">
        <v>74</v>
      </c>
      <c r="P683" t="s">
        <v>74</v>
      </c>
      <c r="Q683" t="s">
        <v>74</v>
      </c>
      <c r="R683" t="s">
        <v>74</v>
      </c>
      <c r="S683" t="s">
        <v>74</v>
      </c>
      <c r="T683" t="s">
        <v>4987</v>
      </c>
      <c r="U683" t="s">
        <v>4988</v>
      </c>
      <c r="V683" t="s">
        <v>4989</v>
      </c>
      <c r="W683" t="s">
        <v>4990</v>
      </c>
      <c r="X683" t="s">
        <v>4991</v>
      </c>
      <c r="Y683" t="s">
        <v>4992</v>
      </c>
      <c r="Z683" t="s">
        <v>4993</v>
      </c>
      <c r="AA683" t="s">
        <v>4994</v>
      </c>
      <c r="AB683" t="s">
        <v>4995</v>
      </c>
      <c r="AC683" t="s">
        <v>4996</v>
      </c>
      <c r="AD683" t="s">
        <v>4997</v>
      </c>
      <c r="AE683" t="s">
        <v>4998</v>
      </c>
      <c r="AF683" t="s">
        <v>74</v>
      </c>
      <c r="AG683">
        <v>124</v>
      </c>
      <c r="AH683">
        <v>31</v>
      </c>
      <c r="AI683">
        <v>33</v>
      </c>
      <c r="AJ683">
        <v>16</v>
      </c>
      <c r="AK683">
        <v>143</v>
      </c>
      <c r="AL683" t="s">
        <v>665</v>
      </c>
      <c r="AM683" t="s">
        <v>666</v>
      </c>
      <c r="AN683" t="s">
        <v>667</v>
      </c>
      <c r="AO683" t="s">
        <v>1749</v>
      </c>
      <c r="AP683" t="s">
        <v>1750</v>
      </c>
      <c r="AQ683" t="s">
        <v>74</v>
      </c>
      <c r="AR683" t="s">
        <v>1751</v>
      </c>
      <c r="AS683" t="s">
        <v>1752</v>
      </c>
      <c r="AT683" t="s">
        <v>4999</v>
      </c>
      <c r="AU683">
        <v>2019</v>
      </c>
      <c r="AV683">
        <v>23</v>
      </c>
      <c r="AW683">
        <v>7</v>
      </c>
      <c r="AX683" t="s">
        <v>74</v>
      </c>
      <c r="AY683" t="s">
        <v>74</v>
      </c>
      <c r="AZ683" t="s">
        <v>74</v>
      </c>
      <c r="BA683" t="s">
        <v>74</v>
      </c>
      <c r="BB683">
        <v>1429</v>
      </c>
      <c r="BC683">
        <v>1454</v>
      </c>
      <c r="BD683" t="s">
        <v>74</v>
      </c>
      <c r="BE683" t="s">
        <v>5000</v>
      </c>
      <c r="BF683" t="str">
        <f>HYPERLINK("http://dx.doi.org/10.1108/JKM-10-2017-0499","http://dx.doi.org/10.1108/JKM-10-2017-0499")</f>
        <v>http://dx.doi.org/10.1108/JKM-10-2017-0499</v>
      </c>
      <c r="BG683" t="s">
        <v>74</v>
      </c>
      <c r="BH683" t="s">
        <v>74</v>
      </c>
      <c r="BI683">
        <v>26</v>
      </c>
      <c r="BJ683" t="s">
        <v>1754</v>
      </c>
      <c r="BK683" t="s">
        <v>94</v>
      </c>
      <c r="BL683" t="s">
        <v>1755</v>
      </c>
      <c r="BM683" t="s">
        <v>5001</v>
      </c>
      <c r="BN683" t="s">
        <v>74</v>
      </c>
      <c r="BO683" t="s">
        <v>74</v>
      </c>
      <c r="BP683" t="s">
        <v>74</v>
      </c>
      <c r="BQ683" t="s">
        <v>74</v>
      </c>
      <c r="BR683" t="s">
        <v>97</v>
      </c>
      <c r="BS683" t="s">
        <v>5002</v>
      </c>
      <c r="BT683" t="str">
        <f>HYPERLINK("https%3A%2F%2Fwww.webofscience.com%2Fwos%2Fwoscc%2Ffull-record%2FWOS:000488244400008","View Full Record in Web of Science")</f>
        <v>View Full Record in Web of Science</v>
      </c>
    </row>
    <row r="684" spans="1:72" x14ac:dyDescent="0.25">
      <c r="A684" t="s">
        <v>72</v>
      </c>
      <c r="B684" t="s">
        <v>11777</v>
      </c>
      <c r="C684" t="s">
        <v>74</v>
      </c>
      <c r="D684" t="s">
        <v>74</v>
      </c>
      <c r="E684" t="s">
        <v>74</v>
      </c>
      <c r="F684" t="s">
        <v>11778</v>
      </c>
      <c r="G684" t="s">
        <v>74</v>
      </c>
      <c r="H684" t="s">
        <v>74</v>
      </c>
      <c r="I684" t="s">
        <v>11779</v>
      </c>
      <c r="J684" t="s">
        <v>2643</v>
      </c>
      <c r="K684" t="s">
        <v>74</v>
      </c>
      <c r="L684" t="s">
        <v>74</v>
      </c>
      <c r="M684" t="s">
        <v>77</v>
      </c>
      <c r="N684" t="s">
        <v>78</v>
      </c>
      <c r="O684" t="s">
        <v>74</v>
      </c>
      <c r="P684" t="s">
        <v>74</v>
      </c>
      <c r="Q684" t="s">
        <v>74</v>
      </c>
      <c r="R684" t="s">
        <v>74</v>
      </c>
      <c r="S684" t="s">
        <v>74</v>
      </c>
      <c r="T684" t="s">
        <v>11780</v>
      </c>
      <c r="U684" t="s">
        <v>11781</v>
      </c>
      <c r="V684" t="s">
        <v>11782</v>
      </c>
      <c r="W684" t="s">
        <v>11783</v>
      </c>
      <c r="X684" t="s">
        <v>11784</v>
      </c>
      <c r="Y684" t="s">
        <v>11785</v>
      </c>
      <c r="Z684" t="s">
        <v>11786</v>
      </c>
      <c r="AA684" t="s">
        <v>74</v>
      </c>
      <c r="AB684" t="s">
        <v>74</v>
      </c>
      <c r="AC684" t="s">
        <v>74</v>
      </c>
      <c r="AD684" t="s">
        <v>74</v>
      </c>
      <c r="AE684" t="s">
        <v>74</v>
      </c>
      <c r="AF684" t="s">
        <v>74</v>
      </c>
      <c r="AG684">
        <v>76</v>
      </c>
      <c r="AH684">
        <v>8</v>
      </c>
      <c r="AI684">
        <v>9</v>
      </c>
      <c r="AJ684">
        <v>14</v>
      </c>
      <c r="AK684">
        <v>69</v>
      </c>
      <c r="AL684" t="s">
        <v>1983</v>
      </c>
      <c r="AM684" t="s">
        <v>1984</v>
      </c>
      <c r="AN684" t="s">
        <v>1985</v>
      </c>
      <c r="AO684" t="s">
        <v>2655</v>
      </c>
      <c r="AP684" t="s">
        <v>2656</v>
      </c>
      <c r="AQ684" t="s">
        <v>74</v>
      </c>
      <c r="AR684" t="s">
        <v>2657</v>
      </c>
      <c r="AS684" t="s">
        <v>2658</v>
      </c>
      <c r="AT684" t="s">
        <v>892</v>
      </c>
      <c r="AU684">
        <v>2018</v>
      </c>
      <c r="AV684">
        <v>17</v>
      </c>
      <c r="AW684">
        <v>1</v>
      </c>
      <c r="AX684" t="s">
        <v>74</v>
      </c>
      <c r="AY684" t="s">
        <v>74</v>
      </c>
      <c r="AZ684" t="s">
        <v>74</v>
      </c>
      <c r="BA684" t="s">
        <v>74</v>
      </c>
      <c r="BB684">
        <v>1</v>
      </c>
      <c r="BC684">
        <v>11</v>
      </c>
      <c r="BD684" t="s">
        <v>74</v>
      </c>
      <c r="BE684" t="s">
        <v>11787</v>
      </c>
      <c r="BF684" t="str">
        <f>HYPERLINK("http://dx.doi.org/10.1027/1866-5888/a000190","http://dx.doi.org/10.1027/1866-5888/a000190")</f>
        <v>http://dx.doi.org/10.1027/1866-5888/a000190</v>
      </c>
      <c r="BG684" t="s">
        <v>74</v>
      </c>
      <c r="BH684" t="s">
        <v>74</v>
      </c>
      <c r="BI684">
        <v>11</v>
      </c>
      <c r="BJ684" t="s">
        <v>692</v>
      </c>
      <c r="BK684" t="s">
        <v>94</v>
      </c>
      <c r="BL684" t="s">
        <v>460</v>
      </c>
      <c r="BM684" t="s">
        <v>11788</v>
      </c>
      <c r="BN684" t="s">
        <v>74</v>
      </c>
      <c r="BO684" t="s">
        <v>74</v>
      </c>
      <c r="BP684" t="s">
        <v>74</v>
      </c>
      <c r="BQ684" t="s">
        <v>74</v>
      </c>
      <c r="BR684" t="s">
        <v>97</v>
      </c>
      <c r="BS684" t="s">
        <v>11789</v>
      </c>
      <c r="BT684" t="str">
        <f>HYPERLINK("https%3A%2F%2Fwww.webofscience.com%2Fwos%2Fwoscc%2Ffull-record%2FWOS:000419192800001","View Full Record in Web of Science")</f>
        <v>View Full Record in Web of Science</v>
      </c>
    </row>
    <row r="685" spans="1:72" x14ac:dyDescent="0.25">
      <c r="A685" t="s">
        <v>72</v>
      </c>
      <c r="B685" t="s">
        <v>11790</v>
      </c>
      <c r="C685" t="s">
        <v>74</v>
      </c>
      <c r="D685" t="s">
        <v>74</v>
      </c>
      <c r="E685" t="s">
        <v>74</v>
      </c>
      <c r="F685" t="s">
        <v>11791</v>
      </c>
      <c r="G685" t="s">
        <v>74</v>
      </c>
      <c r="H685" t="s">
        <v>74</v>
      </c>
      <c r="I685" t="s">
        <v>11792</v>
      </c>
      <c r="J685" t="s">
        <v>5649</v>
      </c>
      <c r="K685" t="s">
        <v>74</v>
      </c>
      <c r="L685" t="s">
        <v>74</v>
      </c>
      <c r="M685" t="s">
        <v>77</v>
      </c>
      <c r="N685" t="s">
        <v>78</v>
      </c>
      <c r="O685" t="s">
        <v>74</v>
      </c>
      <c r="P685" t="s">
        <v>74</v>
      </c>
      <c r="Q685" t="s">
        <v>74</v>
      </c>
      <c r="R685" t="s">
        <v>74</v>
      </c>
      <c r="S685" t="s">
        <v>74</v>
      </c>
      <c r="T685" t="s">
        <v>11793</v>
      </c>
      <c r="U685" t="s">
        <v>11794</v>
      </c>
      <c r="V685" t="s">
        <v>11795</v>
      </c>
      <c r="W685" t="s">
        <v>11796</v>
      </c>
      <c r="X685" t="s">
        <v>11797</v>
      </c>
      <c r="Y685" t="s">
        <v>11798</v>
      </c>
      <c r="Z685" t="s">
        <v>11799</v>
      </c>
      <c r="AA685" t="s">
        <v>74</v>
      </c>
      <c r="AB685" t="s">
        <v>74</v>
      </c>
      <c r="AC685" t="s">
        <v>11800</v>
      </c>
      <c r="AD685" t="s">
        <v>11801</v>
      </c>
      <c r="AE685" t="s">
        <v>11802</v>
      </c>
      <c r="AF685" t="s">
        <v>74</v>
      </c>
      <c r="AG685">
        <v>39</v>
      </c>
      <c r="AH685">
        <v>8</v>
      </c>
      <c r="AI685">
        <v>8</v>
      </c>
      <c r="AJ685">
        <v>1</v>
      </c>
      <c r="AK685">
        <v>13</v>
      </c>
      <c r="AL685" t="s">
        <v>1099</v>
      </c>
      <c r="AM685" t="s">
        <v>305</v>
      </c>
      <c r="AN685" t="s">
        <v>1100</v>
      </c>
      <c r="AO685" t="s">
        <v>5654</v>
      </c>
      <c r="AP685" t="s">
        <v>5655</v>
      </c>
      <c r="AQ685" t="s">
        <v>74</v>
      </c>
      <c r="AR685" t="s">
        <v>5656</v>
      </c>
      <c r="AS685" t="s">
        <v>5657</v>
      </c>
      <c r="AT685" t="s">
        <v>74</v>
      </c>
      <c r="AU685">
        <v>2018</v>
      </c>
      <c r="AV685">
        <v>27</v>
      </c>
      <c r="AW685">
        <v>8</v>
      </c>
      <c r="AX685" t="s">
        <v>74</v>
      </c>
      <c r="AY685" t="s">
        <v>74</v>
      </c>
      <c r="AZ685" t="s">
        <v>74</v>
      </c>
      <c r="BA685" t="s">
        <v>74</v>
      </c>
      <c r="BB685">
        <v>750</v>
      </c>
      <c r="BC685">
        <v>769</v>
      </c>
      <c r="BD685" t="s">
        <v>74</v>
      </c>
      <c r="BE685" t="s">
        <v>11803</v>
      </c>
      <c r="BF685" t="str">
        <f>HYPERLINK("http://dx.doi.org/10.1080/10438599.2017.1408199","http://dx.doi.org/10.1080/10438599.2017.1408199")</f>
        <v>http://dx.doi.org/10.1080/10438599.2017.1408199</v>
      </c>
      <c r="BG685" t="s">
        <v>74</v>
      </c>
      <c r="BH685" t="s">
        <v>74</v>
      </c>
      <c r="BI685">
        <v>20</v>
      </c>
      <c r="BJ685" t="s">
        <v>2599</v>
      </c>
      <c r="BK685" t="s">
        <v>94</v>
      </c>
      <c r="BL685" t="s">
        <v>95</v>
      </c>
      <c r="BM685" t="s">
        <v>11804</v>
      </c>
      <c r="BN685" t="s">
        <v>74</v>
      </c>
      <c r="BO685" t="s">
        <v>74</v>
      </c>
      <c r="BP685" t="s">
        <v>74</v>
      </c>
      <c r="BQ685" t="s">
        <v>74</v>
      </c>
      <c r="BR685" t="s">
        <v>97</v>
      </c>
      <c r="BS685" t="s">
        <v>11805</v>
      </c>
      <c r="BT685" t="str">
        <f>HYPERLINK("https%3A%2F%2Fwww.webofscience.com%2Fwos%2Fwoscc%2Ffull-record%2FWOS:000458307800005","View Full Record in Web of Science")</f>
        <v>View Full Record in Web of Science</v>
      </c>
    </row>
    <row r="686" spans="1:72" x14ac:dyDescent="0.25">
      <c r="A686" t="s">
        <v>72</v>
      </c>
      <c r="B686" t="s">
        <v>11806</v>
      </c>
      <c r="C686" t="s">
        <v>74</v>
      </c>
      <c r="D686" t="s">
        <v>74</v>
      </c>
      <c r="E686" t="s">
        <v>74</v>
      </c>
      <c r="F686" t="s">
        <v>11807</v>
      </c>
      <c r="G686" t="s">
        <v>74</v>
      </c>
      <c r="H686" t="s">
        <v>74</v>
      </c>
      <c r="I686" t="s">
        <v>11808</v>
      </c>
      <c r="J686" t="s">
        <v>2605</v>
      </c>
      <c r="K686" t="s">
        <v>74</v>
      </c>
      <c r="L686" t="s">
        <v>74</v>
      </c>
      <c r="M686" t="s">
        <v>77</v>
      </c>
      <c r="N686" t="s">
        <v>78</v>
      </c>
      <c r="O686" t="s">
        <v>74</v>
      </c>
      <c r="P686" t="s">
        <v>74</v>
      </c>
      <c r="Q686" t="s">
        <v>74</v>
      </c>
      <c r="R686" t="s">
        <v>74</v>
      </c>
      <c r="S686" t="s">
        <v>74</v>
      </c>
      <c r="T686" t="s">
        <v>11809</v>
      </c>
      <c r="U686" t="s">
        <v>11810</v>
      </c>
      <c r="V686" t="s">
        <v>11811</v>
      </c>
      <c r="W686" t="s">
        <v>11812</v>
      </c>
      <c r="X686" t="s">
        <v>11813</v>
      </c>
      <c r="Y686" t="s">
        <v>11814</v>
      </c>
      <c r="Z686" t="s">
        <v>11815</v>
      </c>
      <c r="AA686" t="s">
        <v>11816</v>
      </c>
      <c r="AB686" t="s">
        <v>11817</v>
      </c>
      <c r="AC686" t="s">
        <v>11818</v>
      </c>
      <c r="AD686" t="s">
        <v>11819</v>
      </c>
      <c r="AE686" t="s">
        <v>11820</v>
      </c>
      <c r="AF686" t="s">
        <v>74</v>
      </c>
      <c r="AG686">
        <v>86</v>
      </c>
      <c r="AH686">
        <v>8</v>
      </c>
      <c r="AI686">
        <v>8</v>
      </c>
      <c r="AJ686">
        <v>2</v>
      </c>
      <c r="AK686">
        <v>43</v>
      </c>
      <c r="AL686" t="s">
        <v>368</v>
      </c>
      <c r="AM686" t="s">
        <v>369</v>
      </c>
      <c r="AN686" t="s">
        <v>370</v>
      </c>
      <c r="AO686" t="s">
        <v>2618</v>
      </c>
      <c r="AP686" t="s">
        <v>2619</v>
      </c>
      <c r="AQ686" t="s">
        <v>74</v>
      </c>
      <c r="AR686" t="s">
        <v>2620</v>
      </c>
      <c r="AS686" t="s">
        <v>2621</v>
      </c>
      <c r="AT686" t="s">
        <v>5033</v>
      </c>
      <c r="AU686">
        <v>2017</v>
      </c>
      <c r="AV686">
        <v>28</v>
      </c>
      <c r="AW686">
        <v>6</v>
      </c>
      <c r="AX686" t="s">
        <v>74</v>
      </c>
      <c r="AY686" t="s">
        <v>74</v>
      </c>
      <c r="AZ686" t="s">
        <v>74</v>
      </c>
      <c r="BA686" t="s">
        <v>74</v>
      </c>
      <c r="BB686">
        <v>1435</v>
      </c>
      <c r="BC686">
        <v>1444</v>
      </c>
      <c r="BD686" t="s">
        <v>74</v>
      </c>
      <c r="BE686" t="s">
        <v>11821</v>
      </c>
      <c r="BF686" t="str">
        <f>HYPERLINK("http://dx.doi.org/10.1093/beheco/arx104","http://dx.doi.org/10.1093/beheco/arx104")</f>
        <v>http://dx.doi.org/10.1093/beheco/arx104</v>
      </c>
      <c r="BG686" t="s">
        <v>74</v>
      </c>
      <c r="BH686" t="s">
        <v>74</v>
      </c>
      <c r="BI686">
        <v>10</v>
      </c>
      <c r="BJ686" t="s">
        <v>2623</v>
      </c>
      <c r="BK686" t="s">
        <v>147</v>
      </c>
      <c r="BL686" t="s">
        <v>2624</v>
      </c>
      <c r="BM686" t="s">
        <v>11822</v>
      </c>
      <c r="BN686" t="s">
        <v>74</v>
      </c>
      <c r="BO686" t="s">
        <v>229</v>
      </c>
      <c r="BP686" t="s">
        <v>74</v>
      </c>
      <c r="BQ686" t="s">
        <v>74</v>
      </c>
      <c r="BR686" t="s">
        <v>97</v>
      </c>
      <c r="BS686" t="s">
        <v>11823</v>
      </c>
      <c r="BT686" t="str">
        <f>HYPERLINK("https%3A%2F%2Fwww.webofscience.com%2Fwos%2Fwoscc%2Ffull-record%2FWOS:000415675000005","View Full Record in Web of Science")</f>
        <v>View Full Record in Web of Science</v>
      </c>
    </row>
    <row r="687" spans="1:72" x14ac:dyDescent="0.25">
      <c r="A687" t="s">
        <v>72</v>
      </c>
      <c r="B687" t="s">
        <v>11824</v>
      </c>
      <c r="C687" t="s">
        <v>74</v>
      </c>
      <c r="D687" t="s">
        <v>74</v>
      </c>
      <c r="E687" t="s">
        <v>74</v>
      </c>
      <c r="F687" t="s">
        <v>11825</v>
      </c>
      <c r="G687" t="s">
        <v>74</v>
      </c>
      <c r="H687" t="s">
        <v>74</v>
      </c>
      <c r="I687" t="s">
        <v>11826</v>
      </c>
      <c r="J687" t="s">
        <v>2502</v>
      </c>
      <c r="K687" t="s">
        <v>74</v>
      </c>
      <c r="L687" t="s">
        <v>74</v>
      </c>
      <c r="M687" t="s">
        <v>77</v>
      </c>
      <c r="N687" t="s">
        <v>78</v>
      </c>
      <c r="O687" t="s">
        <v>74</v>
      </c>
      <c r="P687" t="s">
        <v>74</v>
      </c>
      <c r="Q687" t="s">
        <v>74</v>
      </c>
      <c r="R687" t="s">
        <v>74</v>
      </c>
      <c r="S687" t="s">
        <v>74</v>
      </c>
      <c r="T687" t="s">
        <v>11827</v>
      </c>
      <c r="U687" t="s">
        <v>11828</v>
      </c>
      <c r="V687" t="s">
        <v>11829</v>
      </c>
      <c r="W687" t="s">
        <v>11830</v>
      </c>
      <c r="X687" t="s">
        <v>74</v>
      </c>
      <c r="Y687" t="s">
        <v>11831</v>
      </c>
      <c r="Z687" t="s">
        <v>2650</v>
      </c>
      <c r="AA687" t="s">
        <v>74</v>
      </c>
      <c r="AB687" t="s">
        <v>74</v>
      </c>
      <c r="AC687" t="s">
        <v>11832</v>
      </c>
      <c r="AD687" t="s">
        <v>11832</v>
      </c>
      <c r="AE687" t="s">
        <v>11833</v>
      </c>
      <c r="AF687" t="s">
        <v>74</v>
      </c>
      <c r="AG687">
        <v>83</v>
      </c>
      <c r="AH687">
        <v>8</v>
      </c>
      <c r="AI687">
        <v>10</v>
      </c>
      <c r="AJ687">
        <v>0</v>
      </c>
      <c r="AK687">
        <v>24</v>
      </c>
      <c r="AL687" t="s">
        <v>665</v>
      </c>
      <c r="AM687" t="s">
        <v>666</v>
      </c>
      <c r="AN687" t="s">
        <v>667</v>
      </c>
      <c r="AO687" t="s">
        <v>2510</v>
      </c>
      <c r="AP687" t="s">
        <v>2511</v>
      </c>
      <c r="AQ687" t="s">
        <v>74</v>
      </c>
      <c r="AR687" t="s">
        <v>2512</v>
      </c>
      <c r="AS687" t="s">
        <v>2513</v>
      </c>
      <c r="AT687" t="s">
        <v>74</v>
      </c>
      <c r="AU687">
        <v>2017</v>
      </c>
      <c r="AV687">
        <v>46</v>
      </c>
      <c r="AW687">
        <v>5</v>
      </c>
      <c r="AX687" t="s">
        <v>74</v>
      </c>
      <c r="AY687" t="s">
        <v>74</v>
      </c>
      <c r="AZ687" t="s">
        <v>74</v>
      </c>
      <c r="BA687" t="s">
        <v>74</v>
      </c>
      <c r="BB687">
        <v>950</v>
      </c>
      <c r="BC687">
        <v>969</v>
      </c>
      <c r="BD687" t="s">
        <v>74</v>
      </c>
      <c r="BE687" t="s">
        <v>11834</v>
      </c>
      <c r="BF687" t="str">
        <f>HYPERLINK("http://dx.doi.org/10.1108/PR-06-2015-0159","http://dx.doi.org/10.1108/PR-06-2015-0159")</f>
        <v>http://dx.doi.org/10.1108/PR-06-2015-0159</v>
      </c>
      <c r="BG687" t="s">
        <v>74</v>
      </c>
      <c r="BH687" t="s">
        <v>74</v>
      </c>
      <c r="BI687">
        <v>20</v>
      </c>
      <c r="BJ687" t="s">
        <v>2515</v>
      </c>
      <c r="BK687" t="s">
        <v>94</v>
      </c>
      <c r="BL687" t="s">
        <v>227</v>
      </c>
      <c r="BM687" t="s">
        <v>11835</v>
      </c>
      <c r="BN687" t="s">
        <v>74</v>
      </c>
      <c r="BO687" t="s">
        <v>74</v>
      </c>
      <c r="BP687" t="s">
        <v>74</v>
      </c>
      <c r="BQ687" t="s">
        <v>74</v>
      </c>
      <c r="BR687" t="s">
        <v>97</v>
      </c>
      <c r="BS687" t="s">
        <v>11836</v>
      </c>
      <c r="BT687" t="str">
        <f>HYPERLINK("https%3A%2F%2Fwww.webofscience.com%2Fwos%2Fwoscc%2Ffull-record%2FWOS:000407217500005","View Full Record in Web of Science")</f>
        <v>View Full Record in Web of Science</v>
      </c>
    </row>
    <row r="688" spans="1:72" x14ac:dyDescent="0.25">
      <c r="A688" t="s">
        <v>72</v>
      </c>
      <c r="B688" t="s">
        <v>11837</v>
      </c>
      <c r="C688" t="s">
        <v>74</v>
      </c>
      <c r="D688" t="s">
        <v>74</v>
      </c>
      <c r="E688" t="s">
        <v>74</v>
      </c>
      <c r="F688" t="s">
        <v>11838</v>
      </c>
      <c r="G688" t="s">
        <v>74</v>
      </c>
      <c r="H688" t="s">
        <v>74</v>
      </c>
      <c r="I688" t="s">
        <v>11839</v>
      </c>
      <c r="J688" t="s">
        <v>11840</v>
      </c>
      <c r="K688" t="s">
        <v>74</v>
      </c>
      <c r="L688" t="s">
        <v>74</v>
      </c>
      <c r="M688" t="s">
        <v>77</v>
      </c>
      <c r="N688" t="s">
        <v>78</v>
      </c>
      <c r="O688" t="s">
        <v>74</v>
      </c>
      <c r="P688" t="s">
        <v>74</v>
      </c>
      <c r="Q688" t="s">
        <v>74</v>
      </c>
      <c r="R688" t="s">
        <v>74</v>
      </c>
      <c r="S688" t="s">
        <v>74</v>
      </c>
      <c r="T688" t="s">
        <v>11841</v>
      </c>
      <c r="U688" t="s">
        <v>11842</v>
      </c>
      <c r="V688" t="s">
        <v>11843</v>
      </c>
      <c r="W688" t="s">
        <v>11844</v>
      </c>
      <c r="X688" t="s">
        <v>11845</v>
      </c>
      <c r="Y688" t="s">
        <v>11846</v>
      </c>
      <c r="Z688" t="s">
        <v>11847</v>
      </c>
      <c r="AA688" t="s">
        <v>74</v>
      </c>
      <c r="AB688" t="s">
        <v>74</v>
      </c>
      <c r="AC688" t="s">
        <v>74</v>
      </c>
      <c r="AD688" t="s">
        <v>74</v>
      </c>
      <c r="AE688" t="s">
        <v>74</v>
      </c>
      <c r="AF688" t="s">
        <v>74</v>
      </c>
      <c r="AG688">
        <v>66</v>
      </c>
      <c r="AH688">
        <v>8</v>
      </c>
      <c r="AI688">
        <v>8</v>
      </c>
      <c r="AJ688">
        <v>2</v>
      </c>
      <c r="AK688">
        <v>44</v>
      </c>
      <c r="AL688" t="s">
        <v>2351</v>
      </c>
      <c r="AM688" t="s">
        <v>541</v>
      </c>
      <c r="AN688" t="s">
        <v>2352</v>
      </c>
      <c r="AO688" t="s">
        <v>11848</v>
      </c>
      <c r="AP688" t="s">
        <v>11849</v>
      </c>
      <c r="AQ688" t="s">
        <v>74</v>
      </c>
      <c r="AR688" t="s">
        <v>11850</v>
      </c>
      <c r="AS688" t="s">
        <v>11851</v>
      </c>
      <c r="AT688" t="s">
        <v>91</v>
      </c>
      <c r="AU688">
        <v>2016</v>
      </c>
      <c r="AV688">
        <v>32</v>
      </c>
      <c r="AW688">
        <v>3</v>
      </c>
      <c r="AX688" t="s">
        <v>74</v>
      </c>
      <c r="AY688" t="s">
        <v>74</v>
      </c>
      <c r="AZ688" t="s">
        <v>74</v>
      </c>
      <c r="BA688" t="s">
        <v>74</v>
      </c>
      <c r="BB688">
        <v>424</v>
      </c>
      <c r="BC688">
        <v>439</v>
      </c>
      <c r="BD688" t="s">
        <v>74</v>
      </c>
      <c r="BE688" t="s">
        <v>11852</v>
      </c>
      <c r="BF688" t="str">
        <f>HYPERLINK("http://dx.doi.org/10.1177/0266666914554811","http://dx.doi.org/10.1177/0266666914554811")</f>
        <v>http://dx.doi.org/10.1177/0266666914554811</v>
      </c>
      <c r="BG688" t="s">
        <v>74</v>
      </c>
      <c r="BH688" t="s">
        <v>74</v>
      </c>
      <c r="BI688">
        <v>16</v>
      </c>
      <c r="BJ688" t="s">
        <v>7086</v>
      </c>
      <c r="BK688" t="s">
        <v>94</v>
      </c>
      <c r="BL688" t="s">
        <v>7086</v>
      </c>
      <c r="BM688" t="s">
        <v>11853</v>
      </c>
      <c r="BN688" t="s">
        <v>74</v>
      </c>
      <c r="BO688" t="s">
        <v>74</v>
      </c>
      <c r="BP688" t="s">
        <v>74</v>
      </c>
      <c r="BQ688" t="s">
        <v>74</v>
      </c>
      <c r="BR688" t="s">
        <v>97</v>
      </c>
      <c r="BS688" t="s">
        <v>11854</v>
      </c>
      <c r="BT688" t="str">
        <f>HYPERLINK("https%3A%2F%2Fwww.webofscience.com%2Fwos%2Fwoscc%2Ffull-record%2FWOS:000375717000018","View Full Record in Web of Science")</f>
        <v>View Full Record in Web of Science</v>
      </c>
    </row>
    <row r="689" spans="1:72" x14ac:dyDescent="0.25">
      <c r="A689" t="s">
        <v>72</v>
      </c>
      <c r="B689" t="s">
        <v>11855</v>
      </c>
      <c r="C689" t="s">
        <v>74</v>
      </c>
      <c r="D689" t="s">
        <v>74</v>
      </c>
      <c r="E689" t="s">
        <v>74</v>
      </c>
      <c r="F689" t="s">
        <v>11856</v>
      </c>
      <c r="G689" t="s">
        <v>74</v>
      </c>
      <c r="H689" t="s">
        <v>74</v>
      </c>
      <c r="I689" t="s">
        <v>11857</v>
      </c>
      <c r="J689" t="s">
        <v>11858</v>
      </c>
      <c r="K689" t="s">
        <v>74</v>
      </c>
      <c r="L689" t="s">
        <v>74</v>
      </c>
      <c r="M689" t="s">
        <v>77</v>
      </c>
      <c r="N689" t="s">
        <v>319</v>
      </c>
      <c r="O689" t="s">
        <v>11859</v>
      </c>
      <c r="P689" t="s">
        <v>11860</v>
      </c>
      <c r="Q689" t="s">
        <v>11861</v>
      </c>
      <c r="R689" t="s">
        <v>74</v>
      </c>
      <c r="S689" t="s">
        <v>11862</v>
      </c>
      <c r="T689" t="s">
        <v>11863</v>
      </c>
      <c r="U689" t="s">
        <v>11864</v>
      </c>
      <c r="V689" t="s">
        <v>11865</v>
      </c>
      <c r="W689" t="s">
        <v>11866</v>
      </c>
      <c r="X689" t="s">
        <v>11867</v>
      </c>
      <c r="Y689" t="s">
        <v>11868</v>
      </c>
      <c r="Z689" t="s">
        <v>11869</v>
      </c>
      <c r="AA689" t="s">
        <v>74</v>
      </c>
      <c r="AB689" t="s">
        <v>74</v>
      </c>
      <c r="AC689" t="s">
        <v>74</v>
      </c>
      <c r="AD689" t="s">
        <v>74</v>
      </c>
      <c r="AE689" t="s">
        <v>74</v>
      </c>
      <c r="AF689" t="s">
        <v>74</v>
      </c>
      <c r="AG689">
        <v>36</v>
      </c>
      <c r="AH689">
        <v>8</v>
      </c>
      <c r="AI689">
        <v>8</v>
      </c>
      <c r="AJ689">
        <v>4</v>
      </c>
      <c r="AK689">
        <v>35</v>
      </c>
      <c r="AL689" t="s">
        <v>1099</v>
      </c>
      <c r="AM689" t="s">
        <v>305</v>
      </c>
      <c r="AN689" t="s">
        <v>1100</v>
      </c>
      <c r="AO689" t="s">
        <v>11870</v>
      </c>
      <c r="AP689" t="s">
        <v>11871</v>
      </c>
      <c r="AQ689" t="s">
        <v>74</v>
      </c>
      <c r="AR689" t="s">
        <v>11872</v>
      </c>
      <c r="AS689" t="s">
        <v>11873</v>
      </c>
      <c r="AT689" t="s">
        <v>74</v>
      </c>
      <c r="AU689">
        <v>2015</v>
      </c>
      <c r="AV689">
        <v>22</v>
      </c>
      <c r="AW689">
        <v>1</v>
      </c>
      <c r="AX689" t="s">
        <v>74</v>
      </c>
      <c r="AY689" t="s">
        <v>74</v>
      </c>
      <c r="AZ689" t="s">
        <v>860</v>
      </c>
      <c r="BA689" t="s">
        <v>74</v>
      </c>
      <c r="BB689">
        <v>24</v>
      </c>
      <c r="BC689">
        <v>54</v>
      </c>
      <c r="BD689" t="s">
        <v>74</v>
      </c>
      <c r="BE689" t="s">
        <v>11874</v>
      </c>
      <c r="BF689" t="str">
        <f>HYPERLINK("http://dx.doi.org/10.1080/16081625.2015.1010269","http://dx.doi.org/10.1080/16081625.2015.1010269")</f>
        <v>http://dx.doi.org/10.1080/16081625.2015.1010269</v>
      </c>
      <c r="BG689" t="s">
        <v>74</v>
      </c>
      <c r="BH689" t="s">
        <v>74</v>
      </c>
      <c r="BI689">
        <v>31</v>
      </c>
      <c r="BJ689" t="s">
        <v>11875</v>
      </c>
      <c r="BK689" t="s">
        <v>338</v>
      </c>
      <c r="BL689" t="s">
        <v>95</v>
      </c>
      <c r="BM689" t="s">
        <v>11876</v>
      </c>
      <c r="BN689" t="s">
        <v>74</v>
      </c>
      <c r="BO689" t="s">
        <v>74</v>
      </c>
      <c r="BP689" t="s">
        <v>74</v>
      </c>
      <c r="BQ689" t="s">
        <v>74</v>
      </c>
      <c r="BR689" t="s">
        <v>97</v>
      </c>
      <c r="BS689" t="s">
        <v>11877</v>
      </c>
      <c r="BT689" t="str">
        <f>HYPERLINK("https%3A%2F%2Fwww.webofscience.com%2Fwos%2Fwoscc%2Ffull-record%2FWOS:000351415800004","View Full Record in Web of Science")</f>
        <v>View Full Record in Web of Science</v>
      </c>
    </row>
    <row r="690" spans="1:72" x14ac:dyDescent="0.25">
      <c r="A690" t="s">
        <v>72</v>
      </c>
      <c r="B690" t="s">
        <v>11878</v>
      </c>
      <c r="C690" t="s">
        <v>74</v>
      </c>
      <c r="D690" t="s">
        <v>74</v>
      </c>
      <c r="E690" t="s">
        <v>74</v>
      </c>
      <c r="F690" t="s">
        <v>11879</v>
      </c>
      <c r="G690" t="s">
        <v>74</v>
      </c>
      <c r="H690" t="s">
        <v>74</v>
      </c>
      <c r="I690" t="s">
        <v>11880</v>
      </c>
      <c r="J690" t="s">
        <v>11881</v>
      </c>
      <c r="K690" t="s">
        <v>74</v>
      </c>
      <c r="L690" t="s">
        <v>74</v>
      </c>
      <c r="M690" t="s">
        <v>77</v>
      </c>
      <c r="N690" t="s">
        <v>78</v>
      </c>
      <c r="O690" t="s">
        <v>74</v>
      </c>
      <c r="P690" t="s">
        <v>74</v>
      </c>
      <c r="Q690" t="s">
        <v>74</v>
      </c>
      <c r="R690" t="s">
        <v>74</v>
      </c>
      <c r="S690" t="s">
        <v>74</v>
      </c>
      <c r="T690" t="s">
        <v>11882</v>
      </c>
      <c r="U690" t="s">
        <v>11883</v>
      </c>
      <c r="V690" t="s">
        <v>11884</v>
      </c>
      <c r="W690" t="s">
        <v>11885</v>
      </c>
      <c r="X690" t="s">
        <v>11886</v>
      </c>
      <c r="Y690" t="s">
        <v>11887</v>
      </c>
      <c r="Z690" t="s">
        <v>11888</v>
      </c>
      <c r="AA690" t="s">
        <v>74</v>
      </c>
      <c r="AB690" t="s">
        <v>74</v>
      </c>
      <c r="AC690" t="s">
        <v>74</v>
      </c>
      <c r="AD690" t="s">
        <v>74</v>
      </c>
      <c r="AE690" t="s">
        <v>74</v>
      </c>
      <c r="AF690" t="s">
        <v>74</v>
      </c>
      <c r="AG690">
        <v>46</v>
      </c>
      <c r="AH690">
        <v>8</v>
      </c>
      <c r="AI690">
        <v>8</v>
      </c>
      <c r="AJ690">
        <v>0</v>
      </c>
      <c r="AK690">
        <v>48</v>
      </c>
      <c r="AL690" t="s">
        <v>11889</v>
      </c>
      <c r="AM690" t="s">
        <v>11890</v>
      </c>
      <c r="AN690" t="s">
        <v>11891</v>
      </c>
      <c r="AO690" t="s">
        <v>11892</v>
      </c>
      <c r="AP690" t="s">
        <v>74</v>
      </c>
      <c r="AQ690" t="s">
        <v>74</v>
      </c>
      <c r="AR690" t="s">
        <v>11893</v>
      </c>
      <c r="AS690" t="s">
        <v>11894</v>
      </c>
      <c r="AT690" t="s">
        <v>11895</v>
      </c>
      <c r="AU690">
        <v>2011</v>
      </c>
      <c r="AV690">
        <v>5</v>
      </c>
      <c r="AW690">
        <v>16</v>
      </c>
      <c r="AX690" t="s">
        <v>74</v>
      </c>
      <c r="AY690" t="s">
        <v>74</v>
      </c>
      <c r="AZ690" t="s">
        <v>74</v>
      </c>
      <c r="BA690" t="s">
        <v>74</v>
      </c>
      <c r="BB690">
        <v>6674</v>
      </c>
      <c r="BC690">
        <v>6683</v>
      </c>
      <c r="BD690" t="s">
        <v>74</v>
      </c>
      <c r="BE690" t="s">
        <v>74</v>
      </c>
      <c r="BF690" t="s">
        <v>74</v>
      </c>
      <c r="BG690" t="s">
        <v>74</v>
      </c>
      <c r="BH690" t="s">
        <v>74</v>
      </c>
      <c r="BI690">
        <v>10</v>
      </c>
      <c r="BJ690" t="s">
        <v>93</v>
      </c>
      <c r="BK690" t="s">
        <v>94</v>
      </c>
      <c r="BL690" t="s">
        <v>95</v>
      </c>
      <c r="BM690" t="s">
        <v>11896</v>
      </c>
      <c r="BN690" t="s">
        <v>74</v>
      </c>
      <c r="BO690" t="s">
        <v>74</v>
      </c>
      <c r="BP690" t="s">
        <v>74</v>
      </c>
      <c r="BQ690" t="s">
        <v>74</v>
      </c>
      <c r="BR690" t="s">
        <v>97</v>
      </c>
      <c r="BS690" t="s">
        <v>11897</v>
      </c>
      <c r="BT690" t="str">
        <f>HYPERLINK("https%3A%2F%2Fwww.webofscience.com%2Fwos%2Fwoscc%2Ffull-record%2FWOS:000297623400004","View Full Record in Web of Science")</f>
        <v>View Full Record in Web of Science</v>
      </c>
    </row>
    <row r="691" spans="1:72" x14ac:dyDescent="0.25">
      <c r="A691" t="s">
        <v>72</v>
      </c>
      <c r="B691" t="s">
        <v>11898</v>
      </c>
      <c r="C691" t="s">
        <v>74</v>
      </c>
      <c r="D691" t="s">
        <v>74</v>
      </c>
      <c r="E691" t="s">
        <v>74</v>
      </c>
      <c r="F691" t="s">
        <v>11899</v>
      </c>
      <c r="G691" t="s">
        <v>74</v>
      </c>
      <c r="H691" t="s">
        <v>74</v>
      </c>
      <c r="I691" t="s">
        <v>11900</v>
      </c>
      <c r="J691" t="s">
        <v>4047</v>
      </c>
      <c r="K691" t="s">
        <v>74</v>
      </c>
      <c r="L691" t="s">
        <v>74</v>
      </c>
      <c r="M691" t="s">
        <v>77</v>
      </c>
      <c r="N691" t="s">
        <v>78</v>
      </c>
      <c r="O691" t="s">
        <v>74</v>
      </c>
      <c r="P691" t="s">
        <v>74</v>
      </c>
      <c r="Q691" t="s">
        <v>74</v>
      </c>
      <c r="R691" t="s">
        <v>74</v>
      </c>
      <c r="S691" t="s">
        <v>74</v>
      </c>
      <c r="T691" t="s">
        <v>74</v>
      </c>
      <c r="U691" t="s">
        <v>11901</v>
      </c>
      <c r="V691" t="s">
        <v>11902</v>
      </c>
      <c r="W691" t="s">
        <v>11903</v>
      </c>
      <c r="X691" t="s">
        <v>11904</v>
      </c>
      <c r="Y691" t="s">
        <v>11905</v>
      </c>
      <c r="Z691" t="s">
        <v>74</v>
      </c>
      <c r="AA691" t="s">
        <v>74</v>
      </c>
      <c r="AB691" t="s">
        <v>74</v>
      </c>
      <c r="AC691" t="s">
        <v>74</v>
      </c>
      <c r="AD691" t="s">
        <v>74</v>
      </c>
      <c r="AE691" t="s">
        <v>74</v>
      </c>
      <c r="AF691" t="s">
        <v>74</v>
      </c>
      <c r="AG691">
        <v>68</v>
      </c>
      <c r="AH691">
        <v>8</v>
      </c>
      <c r="AI691">
        <v>8</v>
      </c>
      <c r="AJ691">
        <v>0</v>
      </c>
      <c r="AK691">
        <v>32</v>
      </c>
      <c r="AL691" t="s">
        <v>1806</v>
      </c>
      <c r="AM691" t="s">
        <v>1046</v>
      </c>
      <c r="AN691" t="s">
        <v>1807</v>
      </c>
      <c r="AO691" t="s">
        <v>4056</v>
      </c>
      <c r="AP691" t="s">
        <v>4057</v>
      </c>
      <c r="AQ691" t="s">
        <v>74</v>
      </c>
      <c r="AR691" t="s">
        <v>4058</v>
      </c>
      <c r="AS691" t="s">
        <v>4059</v>
      </c>
      <c r="AT691" t="s">
        <v>1830</v>
      </c>
      <c r="AU691">
        <v>2010</v>
      </c>
      <c r="AV691">
        <v>21</v>
      </c>
      <c r="AW691">
        <v>4</v>
      </c>
      <c r="AX691" t="s">
        <v>74</v>
      </c>
      <c r="AY691" t="s">
        <v>74</v>
      </c>
      <c r="AZ691" t="s">
        <v>74</v>
      </c>
      <c r="BA691" t="s">
        <v>74</v>
      </c>
      <c r="BB691">
        <v>411</v>
      </c>
      <c r="BC691">
        <v>434</v>
      </c>
      <c r="BD691" t="s">
        <v>74</v>
      </c>
      <c r="BE691" t="s">
        <v>11906</v>
      </c>
      <c r="BF691" t="str">
        <f>HYPERLINK("http://dx.doi.org/10.1002/hrdq.20055","http://dx.doi.org/10.1002/hrdq.20055")</f>
        <v>http://dx.doi.org/10.1002/hrdq.20055</v>
      </c>
      <c r="BG691" t="s">
        <v>74</v>
      </c>
      <c r="BH691" t="s">
        <v>74</v>
      </c>
      <c r="BI691">
        <v>24</v>
      </c>
      <c r="BJ691" t="s">
        <v>2515</v>
      </c>
      <c r="BK691" t="s">
        <v>94</v>
      </c>
      <c r="BL691" t="s">
        <v>227</v>
      </c>
      <c r="BM691" t="s">
        <v>11907</v>
      </c>
      <c r="BN691" t="s">
        <v>74</v>
      </c>
      <c r="BO691" t="s">
        <v>74</v>
      </c>
      <c r="BP691" t="s">
        <v>74</v>
      </c>
      <c r="BQ691" t="s">
        <v>74</v>
      </c>
      <c r="BR691" t="s">
        <v>97</v>
      </c>
      <c r="BS691" t="s">
        <v>11908</v>
      </c>
      <c r="BT691" t="str">
        <f>HYPERLINK("https%3A%2F%2Fwww.webofscience.com%2Fwos%2Fwoscc%2Ffull-record%2FWOS:000286395800007","View Full Record in Web of Science")</f>
        <v>View Full Record in Web of Science</v>
      </c>
    </row>
    <row r="692" spans="1:72" x14ac:dyDescent="0.25">
      <c r="A692" t="s">
        <v>72</v>
      </c>
      <c r="B692" t="s">
        <v>11909</v>
      </c>
      <c r="C692" t="s">
        <v>74</v>
      </c>
      <c r="D692" t="s">
        <v>74</v>
      </c>
      <c r="E692" t="s">
        <v>74</v>
      </c>
      <c r="F692" t="s">
        <v>11910</v>
      </c>
      <c r="G692" t="s">
        <v>74</v>
      </c>
      <c r="H692" t="s">
        <v>74</v>
      </c>
      <c r="I692" t="s">
        <v>11911</v>
      </c>
      <c r="J692" t="s">
        <v>11912</v>
      </c>
      <c r="K692" t="s">
        <v>74</v>
      </c>
      <c r="L692" t="s">
        <v>74</v>
      </c>
      <c r="M692" t="s">
        <v>77</v>
      </c>
      <c r="N692" t="s">
        <v>78</v>
      </c>
      <c r="O692" t="s">
        <v>74</v>
      </c>
      <c r="P692" t="s">
        <v>74</v>
      </c>
      <c r="Q692" t="s">
        <v>74</v>
      </c>
      <c r="R692" t="s">
        <v>74</v>
      </c>
      <c r="S692" t="s">
        <v>74</v>
      </c>
      <c r="T692" t="s">
        <v>74</v>
      </c>
      <c r="U692" t="s">
        <v>11913</v>
      </c>
      <c r="V692" t="s">
        <v>11914</v>
      </c>
      <c r="W692" t="s">
        <v>11915</v>
      </c>
      <c r="X692" t="s">
        <v>11916</v>
      </c>
      <c r="Y692" t="s">
        <v>11917</v>
      </c>
      <c r="Z692" t="s">
        <v>11918</v>
      </c>
      <c r="AA692" t="s">
        <v>74</v>
      </c>
      <c r="AB692" t="s">
        <v>74</v>
      </c>
      <c r="AC692" t="s">
        <v>74</v>
      </c>
      <c r="AD692" t="s">
        <v>74</v>
      </c>
      <c r="AE692" t="s">
        <v>74</v>
      </c>
      <c r="AF692" t="s">
        <v>74</v>
      </c>
      <c r="AG692">
        <v>39</v>
      </c>
      <c r="AH692">
        <v>8</v>
      </c>
      <c r="AI692">
        <v>9</v>
      </c>
      <c r="AJ692">
        <v>2</v>
      </c>
      <c r="AK692">
        <v>21</v>
      </c>
      <c r="AL692" t="s">
        <v>218</v>
      </c>
      <c r="AM692" t="s">
        <v>219</v>
      </c>
      <c r="AN692" t="s">
        <v>220</v>
      </c>
      <c r="AO692" t="s">
        <v>11919</v>
      </c>
      <c r="AP692" t="s">
        <v>11920</v>
      </c>
      <c r="AQ692" t="s">
        <v>74</v>
      </c>
      <c r="AR692" t="s">
        <v>11921</v>
      </c>
      <c r="AS692" t="s">
        <v>11922</v>
      </c>
      <c r="AT692" t="s">
        <v>496</v>
      </c>
      <c r="AU692">
        <v>2010</v>
      </c>
      <c r="AV692">
        <v>27</v>
      </c>
      <c r="AW692">
        <v>9</v>
      </c>
      <c r="AX692" t="s">
        <v>74</v>
      </c>
      <c r="AY692" t="s">
        <v>74</v>
      </c>
      <c r="AZ692" t="s">
        <v>74</v>
      </c>
      <c r="BA692" t="s">
        <v>74</v>
      </c>
      <c r="BB692">
        <v>887</v>
      </c>
      <c r="BC692">
        <v>897</v>
      </c>
      <c r="BD692" t="s">
        <v>74</v>
      </c>
      <c r="BE692" t="s">
        <v>11923</v>
      </c>
      <c r="BF692" t="str">
        <f>HYPERLINK("http://dx.doi.org/10.1002/mar.20363","http://dx.doi.org/10.1002/mar.20363")</f>
        <v>http://dx.doi.org/10.1002/mar.20363</v>
      </c>
      <c r="BG692" t="s">
        <v>74</v>
      </c>
      <c r="BH692" t="s">
        <v>74</v>
      </c>
      <c r="BI692">
        <v>11</v>
      </c>
      <c r="BJ692" t="s">
        <v>773</v>
      </c>
      <c r="BK692" t="s">
        <v>94</v>
      </c>
      <c r="BL692" t="s">
        <v>227</v>
      </c>
      <c r="BM692" t="s">
        <v>11924</v>
      </c>
      <c r="BN692" t="s">
        <v>74</v>
      </c>
      <c r="BO692" t="s">
        <v>74</v>
      </c>
      <c r="BP692" t="s">
        <v>74</v>
      </c>
      <c r="BQ692" t="s">
        <v>74</v>
      </c>
      <c r="BR692" t="s">
        <v>97</v>
      </c>
      <c r="BS692" t="s">
        <v>11925</v>
      </c>
      <c r="BT692" t="str">
        <f>HYPERLINK("https%3A%2F%2Fwww.webofscience.com%2Fwos%2Fwoscc%2Ffull-record%2FWOS:000280947500004","View Full Record in Web of Science")</f>
        <v>View Full Record in Web of Science</v>
      </c>
    </row>
    <row r="693" spans="1:72" x14ac:dyDescent="0.25">
      <c r="A693" t="s">
        <v>72</v>
      </c>
      <c r="B693" t="s">
        <v>11926</v>
      </c>
      <c r="C693" t="s">
        <v>74</v>
      </c>
      <c r="D693" t="s">
        <v>74</v>
      </c>
      <c r="E693" t="s">
        <v>74</v>
      </c>
      <c r="F693" t="s">
        <v>11927</v>
      </c>
      <c r="G693" t="s">
        <v>74</v>
      </c>
      <c r="H693" t="s">
        <v>74</v>
      </c>
      <c r="I693" t="s">
        <v>11928</v>
      </c>
      <c r="J693" t="s">
        <v>11929</v>
      </c>
      <c r="K693" t="s">
        <v>74</v>
      </c>
      <c r="L693" t="s">
        <v>74</v>
      </c>
      <c r="M693" t="s">
        <v>77</v>
      </c>
      <c r="N693" t="s">
        <v>78</v>
      </c>
      <c r="O693" t="s">
        <v>74</v>
      </c>
      <c r="P693" t="s">
        <v>74</v>
      </c>
      <c r="Q693" t="s">
        <v>74</v>
      </c>
      <c r="R693" t="s">
        <v>74</v>
      </c>
      <c r="S693" t="s">
        <v>74</v>
      </c>
      <c r="T693" t="s">
        <v>11930</v>
      </c>
      <c r="U693" t="s">
        <v>74</v>
      </c>
      <c r="V693" t="s">
        <v>11931</v>
      </c>
      <c r="W693" t="s">
        <v>11932</v>
      </c>
      <c r="X693" t="s">
        <v>11933</v>
      </c>
      <c r="Y693" t="s">
        <v>11934</v>
      </c>
      <c r="Z693" t="s">
        <v>11935</v>
      </c>
      <c r="AA693" t="s">
        <v>74</v>
      </c>
      <c r="AB693" t="s">
        <v>11936</v>
      </c>
      <c r="AC693" t="s">
        <v>74</v>
      </c>
      <c r="AD693" t="s">
        <v>74</v>
      </c>
      <c r="AE693" t="s">
        <v>74</v>
      </c>
      <c r="AF693" t="s">
        <v>74</v>
      </c>
      <c r="AG693">
        <v>24</v>
      </c>
      <c r="AH693">
        <v>8</v>
      </c>
      <c r="AI693">
        <v>8</v>
      </c>
      <c r="AJ693">
        <v>0</v>
      </c>
      <c r="AK693">
        <v>5</v>
      </c>
      <c r="AL693" t="s">
        <v>1099</v>
      </c>
      <c r="AM693" t="s">
        <v>305</v>
      </c>
      <c r="AN693" t="s">
        <v>2539</v>
      </c>
      <c r="AO693" t="s">
        <v>11937</v>
      </c>
      <c r="AP693" t="s">
        <v>74</v>
      </c>
      <c r="AQ693" t="s">
        <v>74</v>
      </c>
      <c r="AR693" t="s">
        <v>11938</v>
      </c>
      <c r="AS693" t="s">
        <v>11939</v>
      </c>
      <c r="AT693" t="s">
        <v>74</v>
      </c>
      <c r="AU693">
        <v>2008</v>
      </c>
      <c r="AV693">
        <v>30</v>
      </c>
      <c r="AW693">
        <v>2</v>
      </c>
      <c r="AX693" t="s">
        <v>74</v>
      </c>
      <c r="AY693" t="s">
        <v>74</v>
      </c>
      <c r="AZ693" t="s">
        <v>74</v>
      </c>
      <c r="BA693" t="s">
        <v>74</v>
      </c>
      <c r="BB693">
        <v>119</v>
      </c>
      <c r="BC693">
        <v>128</v>
      </c>
      <c r="BD693" t="s">
        <v>74</v>
      </c>
      <c r="BE693" t="s">
        <v>11940</v>
      </c>
      <c r="BF693" t="str">
        <f>HYPERLINK("http://dx.doi.org/10.1080/01580370802097710","http://dx.doi.org/10.1080/01580370802097710")</f>
        <v>http://dx.doi.org/10.1080/01580370802097710</v>
      </c>
      <c r="BG693" t="s">
        <v>74</v>
      </c>
      <c r="BH693" t="s">
        <v>74</v>
      </c>
      <c r="BI693">
        <v>10</v>
      </c>
      <c r="BJ693" t="s">
        <v>815</v>
      </c>
      <c r="BK693" t="s">
        <v>94</v>
      </c>
      <c r="BL693" t="s">
        <v>815</v>
      </c>
      <c r="BM693" t="s">
        <v>11941</v>
      </c>
      <c r="BN693" t="s">
        <v>74</v>
      </c>
      <c r="BO693" t="s">
        <v>74</v>
      </c>
      <c r="BP693" t="s">
        <v>74</v>
      </c>
      <c r="BQ693" t="s">
        <v>74</v>
      </c>
      <c r="BR693" t="s">
        <v>97</v>
      </c>
      <c r="BS693" t="s">
        <v>11942</v>
      </c>
      <c r="BT693" t="str">
        <f>HYPERLINK("https%3A%2F%2Fwww.webofscience.com%2Fwos%2Fwoscc%2Ffull-record%2FWOS:000207771900002","View Full Record in Web of Science")</f>
        <v>View Full Record in Web of Science</v>
      </c>
    </row>
    <row r="694" spans="1:72" x14ac:dyDescent="0.25">
      <c r="A694" t="s">
        <v>72</v>
      </c>
      <c r="B694" t="s">
        <v>11943</v>
      </c>
      <c r="C694" t="s">
        <v>74</v>
      </c>
      <c r="D694" t="s">
        <v>74</v>
      </c>
      <c r="E694" t="s">
        <v>74</v>
      </c>
      <c r="F694" t="s">
        <v>11944</v>
      </c>
      <c r="G694" t="s">
        <v>74</v>
      </c>
      <c r="H694" t="s">
        <v>74</v>
      </c>
      <c r="I694" t="s">
        <v>11945</v>
      </c>
      <c r="J694" t="s">
        <v>1290</v>
      </c>
      <c r="K694" t="s">
        <v>74</v>
      </c>
      <c r="L694" t="s">
        <v>74</v>
      </c>
      <c r="M694" t="s">
        <v>77</v>
      </c>
      <c r="N694" t="s">
        <v>78</v>
      </c>
      <c r="O694" t="s">
        <v>74</v>
      </c>
      <c r="P694" t="s">
        <v>74</v>
      </c>
      <c r="Q694" t="s">
        <v>74</v>
      </c>
      <c r="R694" t="s">
        <v>74</v>
      </c>
      <c r="S694" t="s">
        <v>74</v>
      </c>
      <c r="T694" t="s">
        <v>11946</v>
      </c>
      <c r="U694" t="s">
        <v>11947</v>
      </c>
      <c r="V694" t="s">
        <v>11948</v>
      </c>
      <c r="W694" t="s">
        <v>11949</v>
      </c>
      <c r="X694" t="s">
        <v>11950</v>
      </c>
      <c r="Y694" t="s">
        <v>11951</v>
      </c>
      <c r="Z694" t="s">
        <v>11952</v>
      </c>
      <c r="AA694" t="s">
        <v>74</v>
      </c>
      <c r="AB694" t="s">
        <v>11953</v>
      </c>
      <c r="AC694" t="s">
        <v>11954</v>
      </c>
      <c r="AD694" t="s">
        <v>11955</v>
      </c>
      <c r="AE694" t="s">
        <v>11956</v>
      </c>
      <c r="AF694" t="s">
        <v>74</v>
      </c>
      <c r="AG694">
        <v>103</v>
      </c>
      <c r="AH694">
        <v>7</v>
      </c>
      <c r="AI694">
        <v>7</v>
      </c>
      <c r="AJ694">
        <v>19</v>
      </c>
      <c r="AK694">
        <v>39</v>
      </c>
      <c r="AL694" t="s">
        <v>665</v>
      </c>
      <c r="AM694" t="s">
        <v>666</v>
      </c>
      <c r="AN694" t="s">
        <v>667</v>
      </c>
      <c r="AO694" t="s">
        <v>1300</v>
      </c>
      <c r="AP694" t="s">
        <v>1301</v>
      </c>
      <c r="AQ694" t="s">
        <v>74</v>
      </c>
      <c r="AR694" t="s">
        <v>1302</v>
      </c>
      <c r="AS694" t="s">
        <v>1303</v>
      </c>
      <c r="AT694" t="s">
        <v>4237</v>
      </c>
      <c r="AU694">
        <v>2022</v>
      </c>
      <c r="AV694">
        <v>34</v>
      </c>
      <c r="AW694">
        <v>12</v>
      </c>
      <c r="AX694" t="s">
        <v>74</v>
      </c>
      <c r="AY694" t="s">
        <v>74</v>
      </c>
      <c r="AZ694" t="s">
        <v>74</v>
      </c>
      <c r="BA694" t="s">
        <v>74</v>
      </c>
      <c r="BB694">
        <v>4631</v>
      </c>
      <c r="BC694">
        <v>4652</v>
      </c>
      <c r="BD694" t="s">
        <v>74</v>
      </c>
      <c r="BE694" t="s">
        <v>11957</v>
      </c>
      <c r="BF694" t="str">
        <f>HYPERLINK("http://dx.doi.org/10.1108/IJCHM-12-2021-1512","http://dx.doi.org/10.1108/IJCHM-12-2021-1512")</f>
        <v>http://dx.doi.org/10.1108/IJCHM-12-2021-1512</v>
      </c>
      <c r="BG694" t="s">
        <v>74</v>
      </c>
      <c r="BH694" t="s">
        <v>11958</v>
      </c>
      <c r="BI694">
        <v>22</v>
      </c>
      <c r="BJ694" t="s">
        <v>1305</v>
      </c>
      <c r="BK694" t="s">
        <v>94</v>
      </c>
      <c r="BL694" t="s">
        <v>1306</v>
      </c>
      <c r="BM694" t="s">
        <v>11959</v>
      </c>
      <c r="BN694" t="s">
        <v>74</v>
      </c>
      <c r="BO694" t="s">
        <v>74</v>
      </c>
      <c r="BP694" t="s">
        <v>74</v>
      </c>
      <c r="BQ694" t="s">
        <v>74</v>
      </c>
      <c r="BR694" t="s">
        <v>97</v>
      </c>
      <c r="BS694" t="s">
        <v>11960</v>
      </c>
      <c r="BT694" t="str">
        <f>HYPERLINK("https%3A%2F%2Fwww.webofscience.com%2Fwos%2Fwoscc%2Ffull-record%2FWOS:000830502500001","View Full Record in Web of Science")</f>
        <v>View Full Record in Web of Science</v>
      </c>
    </row>
    <row r="695" spans="1:72" x14ac:dyDescent="0.25">
      <c r="A695" t="s">
        <v>72</v>
      </c>
      <c r="B695" t="s">
        <v>11961</v>
      </c>
      <c r="C695" t="s">
        <v>74</v>
      </c>
      <c r="D695" t="s">
        <v>74</v>
      </c>
      <c r="E695" t="s">
        <v>74</v>
      </c>
      <c r="F695" t="s">
        <v>11962</v>
      </c>
      <c r="G695" t="s">
        <v>74</v>
      </c>
      <c r="H695" t="s">
        <v>74</v>
      </c>
      <c r="I695" t="s">
        <v>11963</v>
      </c>
      <c r="J695" t="s">
        <v>6978</v>
      </c>
      <c r="K695" t="s">
        <v>74</v>
      </c>
      <c r="L695" t="s">
        <v>74</v>
      </c>
      <c r="M695" t="s">
        <v>77</v>
      </c>
      <c r="N695" t="s">
        <v>78</v>
      </c>
      <c r="O695" t="s">
        <v>74</v>
      </c>
      <c r="P695" t="s">
        <v>74</v>
      </c>
      <c r="Q695" t="s">
        <v>74</v>
      </c>
      <c r="R695" t="s">
        <v>74</v>
      </c>
      <c r="S695" t="s">
        <v>74</v>
      </c>
      <c r="T695" t="s">
        <v>11964</v>
      </c>
      <c r="U695" t="s">
        <v>11965</v>
      </c>
      <c r="V695" t="s">
        <v>11966</v>
      </c>
      <c r="W695" t="s">
        <v>11967</v>
      </c>
      <c r="X695" t="s">
        <v>11968</v>
      </c>
      <c r="Y695" t="s">
        <v>11969</v>
      </c>
      <c r="Z695" t="s">
        <v>11970</v>
      </c>
      <c r="AA695" t="s">
        <v>11971</v>
      </c>
      <c r="AB695" t="s">
        <v>11972</v>
      </c>
      <c r="AC695" t="s">
        <v>11973</v>
      </c>
      <c r="AD695" t="s">
        <v>575</v>
      </c>
      <c r="AE695" t="s">
        <v>11974</v>
      </c>
      <c r="AF695" t="s">
        <v>74</v>
      </c>
      <c r="AG695">
        <v>44</v>
      </c>
      <c r="AH695">
        <v>7</v>
      </c>
      <c r="AI695">
        <v>7</v>
      </c>
      <c r="AJ695">
        <v>36</v>
      </c>
      <c r="AK695">
        <v>64</v>
      </c>
      <c r="AL695" t="s">
        <v>1099</v>
      </c>
      <c r="AM695" t="s">
        <v>305</v>
      </c>
      <c r="AN695" t="s">
        <v>1100</v>
      </c>
      <c r="AO695" t="s">
        <v>6988</v>
      </c>
      <c r="AP695" t="s">
        <v>6989</v>
      </c>
      <c r="AQ695" t="s">
        <v>74</v>
      </c>
      <c r="AR695" t="s">
        <v>6990</v>
      </c>
      <c r="AS695" t="s">
        <v>6991</v>
      </c>
      <c r="AT695" t="s">
        <v>5161</v>
      </c>
      <c r="AU695">
        <v>2022</v>
      </c>
      <c r="AV695">
        <v>45</v>
      </c>
      <c r="AW695">
        <v>4</v>
      </c>
      <c r="AX695" t="s">
        <v>74</v>
      </c>
      <c r="AY695" t="s">
        <v>74</v>
      </c>
      <c r="AZ695" t="s">
        <v>74</v>
      </c>
      <c r="BA695" t="s">
        <v>74</v>
      </c>
      <c r="BB695">
        <v>737</v>
      </c>
      <c r="BC695">
        <v>750</v>
      </c>
      <c r="BD695" t="s">
        <v>74</v>
      </c>
      <c r="BE695" t="s">
        <v>11975</v>
      </c>
      <c r="BF695" t="str">
        <f>HYPERLINK("http://dx.doi.org/10.1080/15309576.2022.2079692","http://dx.doi.org/10.1080/15309576.2022.2079692")</f>
        <v>http://dx.doi.org/10.1080/15309576.2022.2079692</v>
      </c>
      <c r="BG695" t="s">
        <v>74</v>
      </c>
      <c r="BH695" t="s">
        <v>11976</v>
      </c>
      <c r="BI695">
        <v>14</v>
      </c>
      <c r="BJ695" t="s">
        <v>1564</v>
      </c>
      <c r="BK695" t="s">
        <v>94</v>
      </c>
      <c r="BL695" t="s">
        <v>1564</v>
      </c>
      <c r="BM695" t="s">
        <v>6993</v>
      </c>
      <c r="BN695" t="s">
        <v>74</v>
      </c>
      <c r="BO695" t="s">
        <v>74</v>
      </c>
      <c r="BP695" t="s">
        <v>74</v>
      </c>
      <c r="BQ695" t="s">
        <v>74</v>
      </c>
      <c r="BR695" t="s">
        <v>97</v>
      </c>
      <c r="BS695" t="s">
        <v>11977</v>
      </c>
      <c r="BT695" t="str">
        <f>HYPERLINK("https%3A%2F%2Fwww.webofscience.com%2Fwos%2Fwoscc%2Ffull-record%2FWOS:000805759200001","View Full Record in Web of Science")</f>
        <v>View Full Record in Web of Science</v>
      </c>
    </row>
    <row r="696" spans="1:72" x14ac:dyDescent="0.25">
      <c r="A696" t="s">
        <v>72</v>
      </c>
      <c r="B696" t="s">
        <v>11978</v>
      </c>
      <c r="C696" t="s">
        <v>74</v>
      </c>
      <c r="D696" t="s">
        <v>74</v>
      </c>
      <c r="E696" t="s">
        <v>74</v>
      </c>
      <c r="F696" t="s">
        <v>11979</v>
      </c>
      <c r="G696" t="s">
        <v>74</v>
      </c>
      <c r="H696" t="s">
        <v>74</v>
      </c>
      <c r="I696" t="s">
        <v>11980</v>
      </c>
      <c r="J696" t="s">
        <v>1798</v>
      </c>
      <c r="K696" t="s">
        <v>74</v>
      </c>
      <c r="L696" t="s">
        <v>74</v>
      </c>
      <c r="M696" t="s">
        <v>77</v>
      </c>
      <c r="N696" t="s">
        <v>78</v>
      </c>
      <c r="O696" t="s">
        <v>74</v>
      </c>
      <c r="P696" t="s">
        <v>74</v>
      </c>
      <c r="Q696" t="s">
        <v>74</v>
      </c>
      <c r="R696" t="s">
        <v>74</v>
      </c>
      <c r="S696" t="s">
        <v>74</v>
      </c>
      <c r="T696" t="s">
        <v>11981</v>
      </c>
      <c r="U696" t="s">
        <v>11982</v>
      </c>
      <c r="V696" t="s">
        <v>11983</v>
      </c>
      <c r="W696" t="s">
        <v>11984</v>
      </c>
      <c r="X696" t="s">
        <v>11985</v>
      </c>
      <c r="Y696" t="s">
        <v>11986</v>
      </c>
      <c r="Z696" t="s">
        <v>11987</v>
      </c>
      <c r="AA696" t="s">
        <v>74</v>
      </c>
      <c r="AB696" t="s">
        <v>11988</v>
      </c>
      <c r="AC696" t="s">
        <v>74</v>
      </c>
      <c r="AD696" t="s">
        <v>74</v>
      </c>
      <c r="AE696" t="s">
        <v>74</v>
      </c>
      <c r="AF696" t="s">
        <v>74</v>
      </c>
      <c r="AG696">
        <v>83</v>
      </c>
      <c r="AH696">
        <v>7</v>
      </c>
      <c r="AI696">
        <v>7</v>
      </c>
      <c r="AJ696">
        <v>75</v>
      </c>
      <c r="AK696">
        <v>157</v>
      </c>
      <c r="AL696" t="s">
        <v>1806</v>
      </c>
      <c r="AM696" t="s">
        <v>1046</v>
      </c>
      <c r="AN696" t="s">
        <v>1807</v>
      </c>
      <c r="AO696" t="s">
        <v>1808</v>
      </c>
      <c r="AP696" t="s">
        <v>1809</v>
      </c>
      <c r="AQ696" t="s">
        <v>74</v>
      </c>
      <c r="AR696" t="s">
        <v>1810</v>
      </c>
      <c r="AS696" t="s">
        <v>1811</v>
      </c>
      <c r="AT696" t="s">
        <v>584</v>
      </c>
      <c r="AU696">
        <v>2022</v>
      </c>
      <c r="AV696">
        <v>61</v>
      </c>
      <c r="AW696">
        <v>6</v>
      </c>
      <c r="AX696" t="s">
        <v>74</v>
      </c>
      <c r="AY696" t="s">
        <v>74</v>
      </c>
      <c r="AZ696" t="s">
        <v>74</v>
      </c>
      <c r="BA696" t="s">
        <v>74</v>
      </c>
      <c r="BB696">
        <v>663</v>
      </c>
      <c r="BC696">
        <v>679</v>
      </c>
      <c r="BD696" t="s">
        <v>74</v>
      </c>
      <c r="BE696" t="s">
        <v>11989</v>
      </c>
      <c r="BF696" t="str">
        <f>HYPERLINK("http://dx.doi.org/10.1002/hrm.22116","http://dx.doi.org/10.1002/hrm.22116")</f>
        <v>http://dx.doi.org/10.1002/hrm.22116</v>
      </c>
      <c r="BG696" t="s">
        <v>74</v>
      </c>
      <c r="BH696" t="s">
        <v>11990</v>
      </c>
      <c r="BI696">
        <v>17</v>
      </c>
      <c r="BJ696" t="s">
        <v>202</v>
      </c>
      <c r="BK696" t="s">
        <v>94</v>
      </c>
      <c r="BL696" t="s">
        <v>203</v>
      </c>
      <c r="BM696" t="s">
        <v>11991</v>
      </c>
      <c r="BN696" t="s">
        <v>74</v>
      </c>
      <c r="BO696" t="s">
        <v>4225</v>
      </c>
      <c r="BP696" t="s">
        <v>74</v>
      </c>
      <c r="BQ696" t="s">
        <v>74</v>
      </c>
      <c r="BR696" t="s">
        <v>97</v>
      </c>
      <c r="BS696" t="s">
        <v>11992</v>
      </c>
      <c r="BT696" t="str">
        <f>HYPERLINK("https%3A%2F%2Fwww.webofscience.com%2Fwos%2Fwoscc%2Ffull-record%2FWOS:000783307300001","View Full Record in Web of Science")</f>
        <v>View Full Record in Web of Science</v>
      </c>
    </row>
    <row r="697" spans="1:72" x14ac:dyDescent="0.25">
      <c r="A697" t="s">
        <v>72</v>
      </c>
      <c r="B697" t="s">
        <v>11993</v>
      </c>
      <c r="C697" t="s">
        <v>74</v>
      </c>
      <c r="D697" t="s">
        <v>74</v>
      </c>
      <c r="E697" t="s">
        <v>74</v>
      </c>
      <c r="F697" t="s">
        <v>11994</v>
      </c>
      <c r="G697" t="s">
        <v>74</v>
      </c>
      <c r="H697" t="s">
        <v>74</v>
      </c>
      <c r="I697" t="s">
        <v>11995</v>
      </c>
      <c r="J697" t="s">
        <v>11996</v>
      </c>
      <c r="K697" t="s">
        <v>74</v>
      </c>
      <c r="L697" t="s">
        <v>74</v>
      </c>
      <c r="M697" t="s">
        <v>77</v>
      </c>
      <c r="N697" t="s">
        <v>78</v>
      </c>
      <c r="O697" t="s">
        <v>74</v>
      </c>
      <c r="P697" t="s">
        <v>74</v>
      </c>
      <c r="Q697" t="s">
        <v>74</v>
      </c>
      <c r="R697" t="s">
        <v>74</v>
      </c>
      <c r="S697" t="s">
        <v>74</v>
      </c>
      <c r="T697" t="s">
        <v>11997</v>
      </c>
      <c r="U697" t="s">
        <v>11998</v>
      </c>
      <c r="V697" t="s">
        <v>11999</v>
      </c>
      <c r="W697" t="s">
        <v>12000</v>
      </c>
      <c r="X697" t="s">
        <v>12001</v>
      </c>
      <c r="Y697" t="s">
        <v>12002</v>
      </c>
      <c r="Z697" t="s">
        <v>4571</v>
      </c>
      <c r="AA697" t="s">
        <v>12003</v>
      </c>
      <c r="AB697" t="s">
        <v>12004</v>
      </c>
      <c r="AC697" t="s">
        <v>12005</v>
      </c>
      <c r="AD697" t="s">
        <v>12005</v>
      </c>
      <c r="AE697" t="s">
        <v>12006</v>
      </c>
      <c r="AF697" t="s">
        <v>74</v>
      </c>
      <c r="AG697">
        <v>87</v>
      </c>
      <c r="AH697">
        <v>7</v>
      </c>
      <c r="AI697">
        <v>7</v>
      </c>
      <c r="AJ697">
        <v>5</v>
      </c>
      <c r="AK697">
        <v>22</v>
      </c>
      <c r="AL697" t="s">
        <v>1806</v>
      </c>
      <c r="AM697" t="s">
        <v>1046</v>
      </c>
      <c r="AN697" t="s">
        <v>1807</v>
      </c>
      <c r="AO697" t="s">
        <v>12007</v>
      </c>
      <c r="AP697" t="s">
        <v>12008</v>
      </c>
      <c r="AQ697" t="s">
        <v>74</v>
      </c>
      <c r="AR697" t="s">
        <v>12009</v>
      </c>
      <c r="AS697" t="s">
        <v>12010</v>
      </c>
      <c r="AT697" t="s">
        <v>392</v>
      </c>
      <c r="AU697">
        <v>2022</v>
      </c>
      <c r="AV697">
        <v>33</v>
      </c>
      <c r="AW697">
        <v>1</v>
      </c>
      <c r="AX697" t="s">
        <v>74</v>
      </c>
      <c r="AY697" t="s">
        <v>74</v>
      </c>
      <c r="AZ697" t="s">
        <v>74</v>
      </c>
      <c r="BA697" t="s">
        <v>74</v>
      </c>
      <c r="BB697">
        <v>109</v>
      </c>
      <c r="BC697">
        <v>129</v>
      </c>
      <c r="BD697" t="s">
        <v>74</v>
      </c>
      <c r="BE697" t="s">
        <v>12011</v>
      </c>
      <c r="BF697" t="str">
        <f>HYPERLINK("http://dx.doi.org/10.1002/nml.21505","http://dx.doi.org/10.1002/nml.21505")</f>
        <v>http://dx.doi.org/10.1002/nml.21505</v>
      </c>
      <c r="BG697" t="s">
        <v>74</v>
      </c>
      <c r="BH697" t="s">
        <v>7969</v>
      </c>
      <c r="BI697">
        <v>21</v>
      </c>
      <c r="BJ697" t="s">
        <v>2245</v>
      </c>
      <c r="BK697" t="s">
        <v>94</v>
      </c>
      <c r="BL697" t="s">
        <v>2246</v>
      </c>
      <c r="BM697" t="s">
        <v>12012</v>
      </c>
      <c r="BN697" t="s">
        <v>74</v>
      </c>
      <c r="BO697" t="s">
        <v>408</v>
      </c>
      <c r="BP697" t="s">
        <v>74</v>
      </c>
      <c r="BQ697" t="s">
        <v>74</v>
      </c>
      <c r="BR697" t="s">
        <v>97</v>
      </c>
      <c r="BS697" t="s">
        <v>12013</v>
      </c>
      <c r="BT697" t="str">
        <f>HYPERLINK("https%3A%2F%2Fwww.webofscience.com%2Fwos%2Fwoscc%2Ffull-record%2FWOS:000764963600001","View Full Record in Web of Science")</f>
        <v>View Full Record in Web of Science</v>
      </c>
    </row>
    <row r="698" spans="1:72" x14ac:dyDescent="0.25">
      <c r="A698" t="s">
        <v>72</v>
      </c>
      <c r="B698" t="s">
        <v>12014</v>
      </c>
      <c r="C698" t="s">
        <v>74</v>
      </c>
      <c r="D698" t="s">
        <v>74</v>
      </c>
      <c r="E698" t="s">
        <v>74</v>
      </c>
      <c r="F698" t="s">
        <v>12015</v>
      </c>
      <c r="G698" t="s">
        <v>74</v>
      </c>
      <c r="H698" t="s">
        <v>74</v>
      </c>
      <c r="I698" t="s">
        <v>12016</v>
      </c>
      <c r="J698" t="s">
        <v>616</v>
      </c>
      <c r="K698" t="s">
        <v>74</v>
      </c>
      <c r="L698" t="s">
        <v>74</v>
      </c>
      <c r="M698" t="s">
        <v>77</v>
      </c>
      <c r="N698" t="s">
        <v>78</v>
      </c>
      <c r="O698" t="s">
        <v>74</v>
      </c>
      <c r="P698" t="s">
        <v>74</v>
      </c>
      <c r="Q698" t="s">
        <v>74</v>
      </c>
      <c r="R698" t="s">
        <v>74</v>
      </c>
      <c r="S698" t="s">
        <v>74</v>
      </c>
      <c r="T698" t="s">
        <v>12017</v>
      </c>
      <c r="U698" t="s">
        <v>12018</v>
      </c>
      <c r="V698" t="s">
        <v>12019</v>
      </c>
      <c r="W698" t="s">
        <v>12020</v>
      </c>
      <c r="X698" t="s">
        <v>12021</v>
      </c>
      <c r="Y698" t="s">
        <v>12022</v>
      </c>
      <c r="Z698" t="s">
        <v>12023</v>
      </c>
      <c r="AA698" t="s">
        <v>12024</v>
      </c>
      <c r="AB698" t="s">
        <v>12025</v>
      </c>
      <c r="AC698" t="s">
        <v>12026</v>
      </c>
      <c r="AD698" t="s">
        <v>575</v>
      </c>
      <c r="AE698" t="s">
        <v>12027</v>
      </c>
      <c r="AF698" t="s">
        <v>74</v>
      </c>
      <c r="AG698">
        <v>66</v>
      </c>
      <c r="AH698">
        <v>7</v>
      </c>
      <c r="AI698">
        <v>7</v>
      </c>
      <c r="AJ698">
        <v>10</v>
      </c>
      <c r="AK698">
        <v>38</v>
      </c>
      <c r="AL698" t="s">
        <v>602</v>
      </c>
      <c r="AM698" t="s">
        <v>160</v>
      </c>
      <c r="AN698" t="s">
        <v>603</v>
      </c>
      <c r="AO698" t="s">
        <v>625</v>
      </c>
      <c r="AP698" t="s">
        <v>626</v>
      </c>
      <c r="AQ698" t="s">
        <v>74</v>
      </c>
      <c r="AR698" t="s">
        <v>627</v>
      </c>
      <c r="AS698" t="s">
        <v>628</v>
      </c>
      <c r="AT698" t="s">
        <v>122</v>
      </c>
      <c r="AU698">
        <v>2022</v>
      </c>
      <c r="AV698">
        <v>102</v>
      </c>
      <c r="AW698" t="s">
        <v>74</v>
      </c>
      <c r="AX698" t="s">
        <v>74</v>
      </c>
      <c r="AY698" t="s">
        <v>74</v>
      </c>
      <c r="AZ698" t="s">
        <v>74</v>
      </c>
      <c r="BA698" t="s">
        <v>74</v>
      </c>
      <c r="BB698" t="s">
        <v>74</v>
      </c>
      <c r="BC698" t="s">
        <v>74</v>
      </c>
      <c r="BD698">
        <v>103160</v>
      </c>
      <c r="BE698" t="s">
        <v>12028</v>
      </c>
      <c r="BF698" t="str">
        <f>HYPERLINK("http://dx.doi.org/10.1016/j.ijhm.2022.103160","http://dx.doi.org/10.1016/j.ijhm.2022.103160")</f>
        <v>http://dx.doi.org/10.1016/j.ijhm.2022.103160</v>
      </c>
      <c r="BG698" t="s">
        <v>74</v>
      </c>
      <c r="BH698" t="s">
        <v>9259</v>
      </c>
      <c r="BI698">
        <v>9</v>
      </c>
      <c r="BJ698" t="s">
        <v>630</v>
      </c>
      <c r="BK698" t="s">
        <v>94</v>
      </c>
      <c r="BL698" t="s">
        <v>631</v>
      </c>
      <c r="BM698" t="s">
        <v>9260</v>
      </c>
      <c r="BN698" t="s">
        <v>74</v>
      </c>
      <c r="BO698" t="s">
        <v>74</v>
      </c>
      <c r="BP698" t="s">
        <v>74</v>
      </c>
      <c r="BQ698" t="s">
        <v>74</v>
      </c>
      <c r="BR698" t="s">
        <v>97</v>
      </c>
      <c r="BS698" t="s">
        <v>12029</v>
      </c>
      <c r="BT698" t="str">
        <f>HYPERLINK("https%3A%2F%2Fwww.webofscience.com%2Fwos%2Fwoscc%2Ffull-record%2FWOS:000766151400026","View Full Record in Web of Science")</f>
        <v>View Full Record in Web of Science</v>
      </c>
    </row>
    <row r="699" spans="1:72" x14ac:dyDescent="0.25">
      <c r="A699" t="s">
        <v>72</v>
      </c>
      <c r="B699" t="s">
        <v>12030</v>
      </c>
      <c r="C699" t="s">
        <v>74</v>
      </c>
      <c r="D699" t="s">
        <v>74</v>
      </c>
      <c r="E699" t="s">
        <v>74</v>
      </c>
      <c r="F699" t="s">
        <v>12031</v>
      </c>
      <c r="G699" t="s">
        <v>74</v>
      </c>
      <c r="H699" t="s">
        <v>74</v>
      </c>
      <c r="I699" t="s">
        <v>12032</v>
      </c>
      <c r="J699" t="s">
        <v>318</v>
      </c>
      <c r="K699" t="s">
        <v>74</v>
      </c>
      <c r="L699" t="s">
        <v>74</v>
      </c>
      <c r="M699" t="s">
        <v>77</v>
      </c>
      <c r="N699" t="s">
        <v>78</v>
      </c>
      <c r="O699" t="s">
        <v>74</v>
      </c>
      <c r="P699" t="s">
        <v>74</v>
      </c>
      <c r="Q699" t="s">
        <v>74</v>
      </c>
      <c r="R699" t="s">
        <v>74</v>
      </c>
      <c r="S699" t="s">
        <v>74</v>
      </c>
      <c r="T699" t="s">
        <v>12033</v>
      </c>
      <c r="U699" t="s">
        <v>12034</v>
      </c>
      <c r="V699" t="s">
        <v>12035</v>
      </c>
      <c r="W699" t="s">
        <v>12036</v>
      </c>
      <c r="X699" t="s">
        <v>12037</v>
      </c>
      <c r="Y699" t="s">
        <v>12038</v>
      </c>
      <c r="Z699" t="s">
        <v>12039</v>
      </c>
      <c r="AA699" t="s">
        <v>12040</v>
      </c>
      <c r="AB699" t="s">
        <v>12041</v>
      </c>
      <c r="AC699" t="s">
        <v>12042</v>
      </c>
      <c r="AD699" t="s">
        <v>2349</v>
      </c>
      <c r="AE699" t="s">
        <v>12043</v>
      </c>
      <c r="AF699" t="s">
        <v>74</v>
      </c>
      <c r="AG699">
        <v>92</v>
      </c>
      <c r="AH699">
        <v>7</v>
      </c>
      <c r="AI699">
        <v>7</v>
      </c>
      <c r="AJ699">
        <v>11</v>
      </c>
      <c r="AK699">
        <v>44</v>
      </c>
      <c r="AL699" t="s">
        <v>329</v>
      </c>
      <c r="AM699" t="s">
        <v>330</v>
      </c>
      <c r="AN699" t="s">
        <v>331</v>
      </c>
      <c r="AO699" t="s">
        <v>332</v>
      </c>
      <c r="AP699" t="s">
        <v>333</v>
      </c>
      <c r="AQ699" t="s">
        <v>74</v>
      </c>
      <c r="AR699" t="s">
        <v>334</v>
      </c>
      <c r="AS699" t="s">
        <v>335</v>
      </c>
      <c r="AT699" t="s">
        <v>375</v>
      </c>
      <c r="AU699">
        <v>2021</v>
      </c>
      <c r="AV699">
        <v>137</v>
      </c>
      <c r="AW699" t="s">
        <v>74</v>
      </c>
      <c r="AX699" t="s">
        <v>74</v>
      </c>
      <c r="AY699" t="s">
        <v>74</v>
      </c>
      <c r="AZ699" t="s">
        <v>74</v>
      </c>
      <c r="BA699" t="s">
        <v>74</v>
      </c>
      <c r="BB699">
        <v>588</v>
      </c>
      <c r="BC699">
        <v>600</v>
      </c>
      <c r="BD699" t="s">
        <v>74</v>
      </c>
      <c r="BE699" t="s">
        <v>12044</v>
      </c>
      <c r="BF699" t="str">
        <f>HYPERLINK("http://dx.doi.org/10.1016/j.jbusres.2021.08.072","http://dx.doi.org/10.1016/j.jbusres.2021.08.072")</f>
        <v>http://dx.doi.org/10.1016/j.jbusres.2021.08.072</v>
      </c>
      <c r="BG699" t="s">
        <v>74</v>
      </c>
      <c r="BH699" t="s">
        <v>6758</v>
      </c>
      <c r="BI699">
        <v>13</v>
      </c>
      <c r="BJ699" t="s">
        <v>337</v>
      </c>
      <c r="BK699" t="s">
        <v>94</v>
      </c>
      <c r="BL699" t="s">
        <v>95</v>
      </c>
      <c r="BM699" t="s">
        <v>12045</v>
      </c>
      <c r="BN699" t="s">
        <v>74</v>
      </c>
      <c r="BO699" t="s">
        <v>74</v>
      </c>
      <c r="BP699" t="s">
        <v>74</v>
      </c>
      <c r="BQ699" t="s">
        <v>74</v>
      </c>
      <c r="BR699" t="s">
        <v>97</v>
      </c>
      <c r="BS699" t="s">
        <v>12046</v>
      </c>
      <c r="BT699" t="str">
        <f>HYPERLINK("https%3A%2F%2Fwww.webofscience.com%2Fwos%2Fwoscc%2Ffull-record%2FWOS:000702884800020","View Full Record in Web of Science")</f>
        <v>View Full Record in Web of Science</v>
      </c>
    </row>
    <row r="700" spans="1:72" x14ac:dyDescent="0.25">
      <c r="A700" t="s">
        <v>72</v>
      </c>
      <c r="B700" t="s">
        <v>12047</v>
      </c>
      <c r="C700" t="s">
        <v>74</v>
      </c>
      <c r="D700" t="s">
        <v>74</v>
      </c>
      <c r="E700" t="s">
        <v>74</v>
      </c>
      <c r="F700" t="s">
        <v>12048</v>
      </c>
      <c r="G700" t="s">
        <v>74</v>
      </c>
      <c r="H700" t="s">
        <v>74</v>
      </c>
      <c r="I700" t="s">
        <v>12049</v>
      </c>
      <c r="J700" t="s">
        <v>4081</v>
      </c>
      <c r="K700" t="s">
        <v>74</v>
      </c>
      <c r="L700" t="s">
        <v>74</v>
      </c>
      <c r="M700" t="s">
        <v>77</v>
      </c>
      <c r="N700" t="s">
        <v>78</v>
      </c>
      <c r="O700" t="s">
        <v>74</v>
      </c>
      <c r="P700" t="s">
        <v>74</v>
      </c>
      <c r="Q700" t="s">
        <v>74</v>
      </c>
      <c r="R700" t="s">
        <v>74</v>
      </c>
      <c r="S700" t="s">
        <v>74</v>
      </c>
      <c r="T700" t="s">
        <v>12050</v>
      </c>
      <c r="U700" t="s">
        <v>12051</v>
      </c>
      <c r="V700" t="s">
        <v>12052</v>
      </c>
      <c r="W700" t="s">
        <v>12053</v>
      </c>
      <c r="X700" t="s">
        <v>12054</v>
      </c>
      <c r="Y700" t="s">
        <v>12055</v>
      </c>
      <c r="Z700" t="s">
        <v>12056</v>
      </c>
      <c r="AA700" t="s">
        <v>74</v>
      </c>
      <c r="AB700" t="s">
        <v>12057</v>
      </c>
      <c r="AC700" t="s">
        <v>74</v>
      </c>
      <c r="AD700" t="s">
        <v>74</v>
      </c>
      <c r="AE700" t="s">
        <v>74</v>
      </c>
      <c r="AF700" t="s">
        <v>74</v>
      </c>
      <c r="AG700">
        <v>56</v>
      </c>
      <c r="AH700">
        <v>7</v>
      </c>
      <c r="AI700">
        <v>8</v>
      </c>
      <c r="AJ700">
        <v>11</v>
      </c>
      <c r="AK700">
        <v>59</v>
      </c>
      <c r="AL700" t="s">
        <v>218</v>
      </c>
      <c r="AM700" t="s">
        <v>219</v>
      </c>
      <c r="AN700" t="s">
        <v>220</v>
      </c>
      <c r="AO700" t="s">
        <v>4093</v>
      </c>
      <c r="AP700" t="s">
        <v>4094</v>
      </c>
      <c r="AQ700" t="s">
        <v>74</v>
      </c>
      <c r="AR700" t="s">
        <v>4095</v>
      </c>
      <c r="AS700" t="s">
        <v>4096</v>
      </c>
      <c r="AT700" t="s">
        <v>256</v>
      </c>
      <c r="AU700">
        <v>2021</v>
      </c>
      <c r="AV700">
        <v>29</v>
      </c>
      <c r="AW700">
        <v>7</v>
      </c>
      <c r="AX700" t="s">
        <v>74</v>
      </c>
      <c r="AY700" t="s">
        <v>74</v>
      </c>
      <c r="AZ700" t="s">
        <v>74</v>
      </c>
      <c r="BA700" t="s">
        <v>74</v>
      </c>
      <c r="BB700">
        <v>2225</v>
      </c>
      <c r="BC700">
        <v>2233</v>
      </c>
      <c r="BD700" t="s">
        <v>74</v>
      </c>
      <c r="BE700" t="s">
        <v>12058</v>
      </c>
      <c r="BF700" t="str">
        <f>HYPERLINK("http://dx.doi.org/10.1111/jonm.13381","http://dx.doi.org/10.1111/jonm.13381")</f>
        <v>http://dx.doi.org/10.1111/jonm.13381</v>
      </c>
      <c r="BG700" t="s">
        <v>74</v>
      </c>
      <c r="BH700" t="s">
        <v>8573</v>
      </c>
      <c r="BI700">
        <v>9</v>
      </c>
      <c r="BJ700" t="s">
        <v>4098</v>
      </c>
      <c r="BK700" t="s">
        <v>147</v>
      </c>
      <c r="BL700" t="s">
        <v>4099</v>
      </c>
      <c r="BM700" t="s">
        <v>11583</v>
      </c>
      <c r="BN700">
        <v>34021661</v>
      </c>
      <c r="BO700" t="s">
        <v>2482</v>
      </c>
      <c r="BP700" t="s">
        <v>74</v>
      </c>
      <c r="BQ700" t="s">
        <v>74</v>
      </c>
      <c r="BR700" t="s">
        <v>97</v>
      </c>
      <c r="BS700" t="s">
        <v>12059</v>
      </c>
      <c r="BT700" t="str">
        <f>HYPERLINK("https%3A%2F%2Fwww.webofscience.com%2Fwos%2Fwoscc%2Ffull-record%2FWOS:000678810100001","View Full Record in Web of Science")</f>
        <v>View Full Record in Web of Science</v>
      </c>
    </row>
    <row r="701" spans="1:72" x14ac:dyDescent="0.25">
      <c r="A701" t="s">
        <v>72</v>
      </c>
      <c r="B701" t="s">
        <v>12060</v>
      </c>
      <c r="C701" t="s">
        <v>74</v>
      </c>
      <c r="D701" t="s">
        <v>74</v>
      </c>
      <c r="E701" t="s">
        <v>74</v>
      </c>
      <c r="F701" t="s">
        <v>12061</v>
      </c>
      <c r="G701" t="s">
        <v>74</v>
      </c>
      <c r="H701" t="s">
        <v>74</v>
      </c>
      <c r="I701" t="s">
        <v>12062</v>
      </c>
      <c r="J701" t="s">
        <v>2463</v>
      </c>
      <c r="K701" t="s">
        <v>74</v>
      </c>
      <c r="L701" t="s">
        <v>74</v>
      </c>
      <c r="M701" t="s">
        <v>77</v>
      </c>
      <c r="N701" t="s">
        <v>78</v>
      </c>
      <c r="O701" t="s">
        <v>74</v>
      </c>
      <c r="P701" t="s">
        <v>74</v>
      </c>
      <c r="Q701" t="s">
        <v>74</v>
      </c>
      <c r="R701" t="s">
        <v>74</v>
      </c>
      <c r="S701" t="s">
        <v>74</v>
      </c>
      <c r="T701" t="s">
        <v>12063</v>
      </c>
      <c r="U701" t="s">
        <v>12064</v>
      </c>
      <c r="V701" t="s">
        <v>12065</v>
      </c>
      <c r="W701" t="s">
        <v>12066</v>
      </c>
      <c r="X701" t="s">
        <v>12067</v>
      </c>
      <c r="Y701" t="s">
        <v>12068</v>
      </c>
      <c r="Z701" t="s">
        <v>12069</v>
      </c>
      <c r="AA701" t="s">
        <v>12070</v>
      </c>
      <c r="AB701" t="s">
        <v>12071</v>
      </c>
      <c r="AC701" t="s">
        <v>74</v>
      </c>
      <c r="AD701" t="s">
        <v>74</v>
      </c>
      <c r="AE701" t="s">
        <v>74</v>
      </c>
      <c r="AF701" t="s">
        <v>74</v>
      </c>
      <c r="AG701">
        <v>132</v>
      </c>
      <c r="AH701">
        <v>7</v>
      </c>
      <c r="AI701">
        <v>7</v>
      </c>
      <c r="AJ701">
        <v>12</v>
      </c>
      <c r="AK701">
        <v>45</v>
      </c>
      <c r="AL701" t="s">
        <v>2473</v>
      </c>
      <c r="AM701" t="s">
        <v>2102</v>
      </c>
      <c r="AN701" t="s">
        <v>2474</v>
      </c>
      <c r="AO701" t="s">
        <v>74</v>
      </c>
      <c r="AP701" t="s">
        <v>2475</v>
      </c>
      <c r="AQ701" t="s">
        <v>74</v>
      </c>
      <c r="AR701" t="s">
        <v>2476</v>
      </c>
      <c r="AS701" t="s">
        <v>2477</v>
      </c>
      <c r="AT701" t="s">
        <v>165</v>
      </c>
      <c r="AU701">
        <v>2021</v>
      </c>
      <c r="AV701">
        <v>13</v>
      </c>
      <c r="AW701">
        <v>10</v>
      </c>
      <c r="AX701" t="s">
        <v>74</v>
      </c>
      <c r="AY701" t="s">
        <v>74</v>
      </c>
      <c r="AZ701" t="s">
        <v>74</v>
      </c>
      <c r="BA701" t="s">
        <v>74</v>
      </c>
      <c r="BB701" t="s">
        <v>74</v>
      </c>
      <c r="BC701" t="s">
        <v>74</v>
      </c>
      <c r="BD701">
        <v>5409</v>
      </c>
      <c r="BE701" t="s">
        <v>12072</v>
      </c>
      <c r="BF701" t="str">
        <f>HYPERLINK("http://dx.doi.org/10.3390/su13105409","http://dx.doi.org/10.3390/su13105409")</f>
        <v>http://dx.doi.org/10.3390/su13105409</v>
      </c>
      <c r="BG701" t="s">
        <v>74</v>
      </c>
      <c r="BH701" t="s">
        <v>74</v>
      </c>
      <c r="BI701">
        <v>18</v>
      </c>
      <c r="BJ701" t="s">
        <v>2479</v>
      </c>
      <c r="BK701" t="s">
        <v>147</v>
      </c>
      <c r="BL701" t="s">
        <v>2480</v>
      </c>
      <c r="BM701" t="s">
        <v>12073</v>
      </c>
      <c r="BN701" t="s">
        <v>74</v>
      </c>
      <c r="BO701" t="s">
        <v>3205</v>
      </c>
      <c r="BP701" t="s">
        <v>74</v>
      </c>
      <c r="BQ701" t="s">
        <v>74</v>
      </c>
      <c r="BR701" t="s">
        <v>97</v>
      </c>
      <c r="BS701" t="s">
        <v>12074</v>
      </c>
      <c r="BT701" t="str">
        <f>HYPERLINK("https%3A%2F%2Fwww.webofscience.com%2Fwos%2Fwoscc%2Ffull-record%2FWOS:000662546200001","View Full Record in Web of Science")</f>
        <v>View Full Record in Web of Science</v>
      </c>
    </row>
    <row r="702" spans="1:72" x14ac:dyDescent="0.25">
      <c r="A702" t="s">
        <v>72</v>
      </c>
      <c r="B702" t="s">
        <v>3981</v>
      </c>
      <c r="C702" t="s">
        <v>74</v>
      </c>
      <c r="D702" t="s">
        <v>74</v>
      </c>
      <c r="E702" t="s">
        <v>74</v>
      </c>
      <c r="F702" t="s">
        <v>3982</v>
      </c>
      <c r="G702" t="s">
        <v>74</v>
      </c>
      <c r="H702" t="s">
        <v>74</v>
      </c>
      <c r="I702" t="s">
        <v>3983</v>
      </c>
      <c r="J702" t="s">
        <v>3984</v>
      </c>
      <c r="K702" t="s">
        <v>74</v>
      </c>
      <c r="L702" t="s">
        <v>74</v>
      </c>
      <c r="M702" t="s">
        <v>77</v>
      </c>
      <c r="N702" t="s">
        <v>78</v>
      </c>
      <c r="O702" t="s">
        <v>74</v>
      </c>
      <c r="P702" t="s">
        <v>74</v>
      </c>
      <c r="Q702" t="s">
        <v>74</v>
      </c>
      <c r="R702" t="s">
        <v>74</v>
      </c>
      <c r="S702" t="s">
        <v>74</v>
      </c>
      <c r="T702" t="s">
        <v>74</v>
      </c>
      <c r="U702" t="s">
        <v>3985</v>
      </c>
      <c r="V702" t="s">
        <v>3986</v>
      </c>
      <c r="W702" t="s">
        <v>3987</v>
      </c>
      <c r="X702" t="s">
        <v>3988</v>
      </c>
      <c r="Y702" t="s">
        <v>3989</v>
      </c>
      <c r="Z702" t="s">
        <v>3990</v>
      </c>
      <c r="AA702" t="s">
        <v>3991</v>
      </c>
      <c r="AB702" t="s">
        <v>3992</v>
      </c>
      <c r="AC702" t="s">
        <v>74</v>
      </c>
      <c r="AD702" t="s">
        <v>74</v>
      </c>
      <c r="AE702" t="s">
        <v>74</v>
      </c>
      <c r="AF702" t="s">
        <v>74</v>
      </c>
      <c r="AG702">
        <v>61</v>
      </c>
      <c r="AH702">
        <v>41</v>
      </c>
      <c r="AI702">
        <v>42</v>
      </c>
      <c r="AJ702">
        <v>1</v>
      </c>
      <c r="AK702">
        <v>63</v>
      </c>
      <c r="AL702" t="s">
        <v>1099</v>
      </c>
      <c r="AM702" t="s">
        <v>305</v>
      </c>
      <c r="AN702" t="s">
        <v>1100</v>
      </c>
      <c r="AO702" t="s">
        <v>3993</v>
      </c>
      <c r="AP702" t="s">
        <v>3994</v>
      </c>
      <c r="AQ702" t="s">
        <v>74</v>
      </c>
      <c r="AR702" t="s">
        <v>3995</v>
      </c>
      <c r="AS702" t="s">
        <v>3996</v>
      </c>
      <c r="AT702" t="s">
        <v>1717</v>
      </c>
      <c r="AU702">
        <v>2014</v>
      </c>
      <c r="AV702">
        <v>22</v>
      </c>
      <c r="AW702">
        <v>1</v>
      </c>
      <c r="AX702" t="s">
        <v>74</v>
      </c>
      <c r="AY702" t="s">
        <v>74</v>
      </c>
      <c r="AZ702" t="s">
        <v>74</v>
      </c>
      <c r="BA702" t="s">
        <v>74</v>
      </c>
      <c r="BB702">
        <v>64</v>
      </c>
      <c r="BC702">
        <v>83</v>
      </c>
      <c r="BD702" t="s">
        <v>74</v>
      </c>
      <c r="BE702" t="s">
        <v>3997</v>
      </c>
      <c r="BF702" t="str">
        <f>HYPERLINK("http://dx.doi.org/10.1080/09654313.2012.722977","http://dx.doi.org/10.1080/09654313.2012.722977")</f>
        <v>http://dx.doi.org/10.1080/09654313.2012.722977</v>
      </c>
      <c r="BG702" t="s">
        <v>74</v>
      </c>
      <c r="BH702" t="s">
        <v>74</v>
      </c>
      <c r="BI702">
        <v>20</v>
      </c>
      <c r="BJ702" t="s">
        <v>3998</v>
      </c>
      <c r="BK702" t="s">
        <v>94</v>
      </c>
      <c r="BL702" t="s">
        <v>3999</v>
      </c>
      <c r="BM702" t="s">
        <v>4000</v>
      </c>
      <c r="BN702" t="s">
        <v>74</v>
      </c>
      <c r="BO702" t="s">
        <v>74</v>
      </c>
      <c r="BP702" t="s">
        <v>74</v>
      </c>
      <c r="BQ702" t="s">
        <v>74</v>
      </c>
      <c r="BR702" t="s">
        <v>97</v>
      </c>
      <c r="BS702" t="s">
        <v>4001</v>
      </c>
      <c r="BT702" t="str">
        <f>HYPERLINK("https%3A%2F%2Fwww.webofscience.com%2Fwos%2Fwoscc%2Ffull-record%2FWOS:000329509800011","View Full Record in Web of Science")</f>
        <v>View Full Record in Web of Science</v>
      </c>
    </row>
    <row r="703" spans="1:72" x14ac:dyDescent="0.25">
      <c r="A703" t="s">
        <v>72</v>
      </c>
      <c r="B703" t="s">
        <v>12094</v>
      </c>
      <c r="C703" t="s">
        <v>74</v>
      </c>
      <c r="D703" t="s">
        <v>74</v>
      </c>
      <c r="E703" t="s">
        <v>74</v>
      </c>
      <c r="F703" t="s">
        <v>12095</v>
      </c>
      <c r="G703" t="s">
        <v>74</v>
      </c>
      <c r="H703" t="s">
        <v>74</v>
      </c>
      <c r="I703" t="s">
        <v>12096</v>
      </c>
      <c r="J703" t="s">
        <v>2502</v>
      </c>
      <c r="K703" t="s">
        <v>74</v>
      </c>
      <c r="L703" t="s">
        <v>74</v>
      </c>
      <c r="M703" t="s">
        <v>77</v>
      </c>
      <c r="N703" t="s">
        <v>78</v>
      </c>
      <c r="O703" t="s">
        <v>74</v>
      </c>
      <c r="P703" t="s">
        <v>74</v>
      </c>
      <c r="Q703" t="s">
        <v>74</v>
      </c>
      <c r="R703" t="s">
        <v>74</v>
      </c>
      <c r="S703" t="s">
        <v>74</v>
      </c>
      <c r="T703" t="s">
        <v>12097</v>
      </c>
      <c r="U703" t="s">
        <v>12098</v>
      </c>
      <c r="V703" t="s">
        <v>12099</v>
      </c>
      <c r="W703" t="s">
        <v>12100</v>
      </c>
      <c r="X703" t="s">
        <v>12101</v>
      </c>
      <c r="Y703" t="s">
        <v>12102</v>
      </c>
      <c r="Z703" t="s">
        <v>12103</v>
      </c>
      <c r="AA703" t="s">
        <v>1608</v>
      </c>
      <c r="AB703" t="s">
        <v>12104</v>
      </c>
      <c r="AC703" t="s">
        <v>74</v>
      </c>
      <c r="AD703" t="s">
        <v>74</v>
      </c>
      <c r="AE703" t="s">
        <v>74</v>
      </c>
      <c r="AF703" t="s">
        <v>74</v>
      </c>
      <c r="AG703">
        <v>84</v>
      </c>
      <c r="AH703">
        <v>7</v>
      </c>
      <c r="AI703">
        <v>7</v>
      </c>
      <c r="AJ703">
        <v>1</v>
      </c>
      <c r="AK703">
        <v>21</v>
      </c>
      <c r="AL703" t="s">
        <v>665</v>
      </c>
      <c r="AM703" t="s">
        <v>666</v>
      </c>
      <c r="AN703" t="s">
        <v>667</v>
      </c>
      <c r="AO703" t="s">
        <v>2510</v>
      </c>
      <c r="AP703" t="s">
        <v>2511</v>
      </c>
      <c r="AQ703" t="s">
        <v>74</v>
      </c>
      <c r="AR703" t="s">
        <v>2512</v>
      </c>
      <c r="AS703" t="s">
        <v>2513</v>
      </c>
      <c r="AT703" t="s">
        <v>12105</v>
      </c>
      <c r="AU703">
        <v>2021</v>
      </c>
      <c r="AV703">
        <v>50</v>
      </c>
      <c r="AW703" t="s">
        <v>6959</v>
      </c>
      <c r="AX703" t="s">
        <v>74</v>
      </c>
      <c r="AY703" t="s">
        <v>74</v>
      </c>
      <c r="AZ703" t="s">
        <v>860</v>
      </c>
      <c r="BA703" t="s">
        <v>74</v>
      </c>
      <c r="BB703">
        <v>1665</v>
      </c>
      <c r="BC703">
        <v>1684</v>
      </c>
      <c r="BD703" t="s">
        <v>74</v>
      </c>
      <c r="BE703" t="s">
        <v>12106</v>
      </c>
      <c r="BF703" t="str">
        <f>HYPERLINK("http://dx.doi.org/10.1108/PR-06-2020-0484","http://dx.doi.org/10.1108/PR-06-2020-0484")</f>
        <v>http://dx.doi.org/10.1108/PR-06-2020-0484</v>
      </c>
      <c r="BG703" t="s">
        <v>74</v>
      </c>
      <c r="BH703" t="s">
        <v>6664</v>
      </c>
      <c r="BI703">
        <v>20</v>
      </c>
      <c r="BJ703" t="s">
        <v>2515</v>
      </c>
      <c r="BK703" t="s">
        <v>94</v>
      </c>
      <c r="BL703" t="s">
        <v>227</v>
      </c>
      <c r="BM703" t="s">
        <v>12107</v>
      </c>
      <c r="BN703" t="s">
        <v>74</v>
      </c>
      <c r="BO703" t="s">
        <v>74</v>
      </c>
      <c r="BP703" t="s">
        <v>74</v>
      </c>
      <c r="BQ703" t="s">
        <v>74</v>
      </c>
      <c r="BR703" t="s">
        <v>97</v>
      </c>
      <c r="BS703" t="s">
        <v>12108</v>
      </c>
      <c r="BT703" t="str">
        <f>HYPERLINK("https%3A%2F%2Fwww.webofscience.com%2Fwos%2Fwoscc%2Ffull-record%2FWOS:000612941800001","View Full Record in Web of Science")</f>
        <v>View Full Record in Web of Science</v>
      </c>
    </row>
    <row r="704" spans="1:72" x14ac:dyDescent="0.25">
      <c r="A704" t="s">
        <v>72</v>
      </c>
      <c r="B704" t="s">
        <v>12109</v>
      </c>
      <c r="C704" t="s">
        <v>74</v>
      </c>
      <c r="D704" t="s">
        <v>74</v>
      </c>
      <c r="E704" t="s">
        <v>74</v>
      </c>
      <c r="F704" t="s">
        <v>12110</v>
      </c>
      <c r="G704" t="s">
        <v>74</v>
      </c>
      <c r="H704" t="s">
        <v>74</v>
      </c>
      <c r="I704" t="s">
        <v>12111</v>
      </c>
      <c r="J704" t="s">
        <v>2463</v>
      </c>
      <c r="K704" t="s">
        <v>74</v>
      </c>
      <c r="L704" t="s">
        <v>74</v>
      </c>
      <c r="M704" t="s">
        <v>77</v>
      </c>
      <c r="N704" t="s">
        <v>78</v>
      </c>
      <c r="O704" t="s">
        <v>74</v>
      </c>
      <c r="P704" t="s">
        <v>74</v>
      </c>
      <c r="Q704" t="s">
        <v>74</v>
      </c>
      <c r="R704" t="s">
        <v>74</v>
      </c>
      <c r="S704" t="s">
        <v>74</v>
      </c>
      <c r="T704" t="s">
        <v>12112</v>
      </c>
      <c r="U704" t="s">
        <v>12113</v>
      </c>
      <c r="V704" t="s">
        <v>12114</v>
      </c>
      <c r="W704" t="s">
        <v>12115</v>
      </c>
      <c r="X704" t="s">
        <v>12116</v>
      </c>
      <c r="Y704" t="s">
        <v>12117</v>
      </c>
      <c r="Z704" t="s">
        <v>12118</v>
      </c>
      <c r="AA704" t="s">
        <v>12119</v>
      </c>
      <c r="AB704" t="s">
        <v>12120</v>
      </c>
      <c r="AC704" t="s">
        <v>74</v>
      </c>
      <c r="AD704" t="s">
        <v>74</v>
      </c>
      <c r="AE704" t="s">
        <v>74</v>
      </c>
      <c r="AF704" t="s">
        <v>74</v>
      </c>
      <c r="AG704">
        <v>56</v>
      </c>
      <c r="AH704">
        <v>7</v>
      </c>
      <c r="AI704">
        <v>7</v>
      </c>
      <c r="AJ704">
        <v>1</v>
      </c>
      <c r="AK704">
        <v>9</v>
      </c>
      <c r="AL704" t="s">
        <v>2473</v>
      </c>
      <c r="AM704" t="s">
        <v>2102</v>
      </c>
      <c r="AN704" t="s">
        <v>2474</v>
      </c>
      <c r="AO704" t="s">
        <v>74</v>
      </c>
      <c r="AP704" t="s">
        <v>2475</v>
      </c>
      <c r="AQ704" t="s">
        <v>74</v>
      </c>
      <c r="AR704" t="s">
        <v>2476</v>
      </c>
      <c r="AS704" t="s">
        <v>2477</v>
      </c>
      <c r="AT704" t="s">
        <v>256</v>
      </c>
      <c r="AU704">
        <v>2020</v>
      </c>
      <c r="AV704">
        <v>12</v>
      </c>
      <c r="AW704">
        <v>20</v>
      </c>
      <c r="AX704" t="s">
        <v>74</v>
      </c>
      <c r="AY704" t="s">
        <v>74</v>
      </c>
      <c r="AZ704" t="s">
        <v>74</v>
      </c>
      <c r="BA704" t="s">
        <v>74</v>
      </c>
      <c r="BB704" t="s">
        <v>74</v>
      </c>
      <c r="BC704" t="s">
        <v>74</v>
      </c>
      <c r="BD704">
        <v>8753</v>
      </c>
      <c r="BE704" t="s">
        <v>12121</v>
      </c>
      <c r="BF704" t="str">
        <f>HYPERLINK("http://dx.doi.org/10.3390/su12208753","http://dx.doi.org/10.3390/su12208753")</f>
        <v>http://dx.doi.org/10.3390/su12208753</v>
      </c>
      <c r="BG704" t="s">
        <v>74</v>
      </c>
      <c r="BH704" t="s">
        <v>74</v>
      </c>
      <c r="BI704">
        <v>15</v>
      </c>
      <c r="BJ704" t="s">
        <v>2479</v>
      </c>
      <c r="BK704" t="s">
        <v>147</v>
      </c>
      <c r="BL704" t="s">
        <v>2480</v>
      </c>
      <c r="BM704" t="s">
        <v>12122</v>
      </c>
      <c r="BN704" t="s">
        <v>74</v>
      </c>
      <c r="BO704" t="s">
        <v>4398</v>
      </c>
      <c r="BP704" t="s">
        <v>74</v>
      </c>
      <c r="BQ704" t="s">
        <v>74</v>
      </c>
      <c r="BR704" t="s">
        <v>97</v>
      </c>
      <c r="BS704" t="s">
        <v>12123</v>
      </c>
      <c r="BT704" t="str">
        <f>HYPERLINK("https%3A%2F%2Fwww.webofscience.com%2Fwos%2Fwoscc%2Ffull-record%2FWOS:000583083600001","View Full Record in Web of Science")</f>
        <v>View Full Record in Web of Science</v>
      </c>
    </row>
    <row r="705" spans="1:72" x14ac:dyDescent="0.25">
      <c r="A705" t="s">
        <v>72</v>
      </c>
      <c r="B705" t="s">
        <v>12124</v>
      </c>
      <c r="C705" t="s">
        <v>74</v>
      </c>
      <c r="D705" t="s">
        <v>74</v>
      </c>
      <c r="E705" t="s">
        <v>74</v>
      </c>
      <c r="F705" t="s">
        <v>12125</v>
      </c>
      <c r="G705" t="s">
        <v>74</v>
      </c>
      <c r="H705" t="s">
        <v>74</v>
      </c>
      <c r="I705" t="s">
        <v>12126</v>
      </c>
      <c r="J705" t="s">
        <v>2463</v>
      </c>
      <c r="K705" t="s">
        <v>74</v>
      </c>
      <c r="L705" t="s">
        <v>74</v>
      </c>
      <c r="M705" t="s">
        <v>77</v>
      </c>
      <c r="N705" t="s">
        <v>78</v>
      </c>
      <c r="O705" t="s">
        <v>74</v>
      </c>
      <c r="P705" t="s">
        <v>74</v>
      </c>
      <c r="Q705" t="s">
        <v>74</v>
      </c>
      <c r="R705" t="s">
        <v>74</v>
      </c>
      <c r="S705" t="s">
        <v>74</v>
      </c>
      <c r="T705" t="s">
        <v>12127</v>
      </c>
      <c r="U705" t="s">
        <v>12128</v>
      </c>
      <c r="V705" t="s">
        <v>12129</v>
      </c>
      <c r="W705" t="s">
        <v>12130</v>
      </c>
      <c r="X705" t="s">
        <v>12131</v>
      </c>
      <c r="Y705" t="s">
        <v>12132</v>
      </c>
      <c r="Z705" t="s">
        <v>12133</v>
      </c>
      <c r="AA705" t="s">
        <v>74</v>
      </c>
      <c r="AB705" t="s">
        <v>12134</v>
      </c>
      <c r="AC705" t="s">
        <v>12135</v>
      </c>
      <c r="AD705" t="s">
        <v>12136</v>
      </c>
      <c r="AE705" t="s">
        <v>12137</v>
      </c>
      <c r="AF705" t="s">
        <v>74</v>
      </c>
      <c r="AG705">
        <v>81</v>
      </c>
      <c r="AH705">
        <v>7</v>
      </c>
      <c r="AI705">
        <v>7</v>
      </c>
      <c r="AJ705">
        <v>10</v>
      </c>
      <c r="AK705">
        <v>34</v>
      </c>
      <c r="AL705" t="s">
        <v>2473</v>
      </c>
      <c r="AM705" t="s">
        <v>2102</v>
      </c>
      <c r="AN705" t="s">
        <v>2474</v>
      </c>
      <c r="AO705" t="s">
        <v>74</v>
      </c>
      <c r="AP705" t="s">
        <v>2475</v>
      </c>
      <c r="AQ705" t="s">
        <v>74</v>
      </c>
      <c r="AR705" t="s">
        <v>2476</v>
      </c>
      <c r="AS705" t="s">
        <v>2477</v>
      </c>
      <c r="AT705" t="s">
        <v>256</v>
      </c>
      <c r="AU705">
        <v>2020</v>
      </c>
      <c r="AV705">
        <v>12</v>
      </c>
      <c r="AW705">
        <v>20</v>
      </c>
      <c r="AX705" t="s">
        <v>74</v>
      </c>
      <c r="AY705" t="s">
        <v>74</v>
      </c>
      <c r="AZ705" t="s">
        <v>74</v>
      </c>
      <c r="BA705" t="s">
        <v>74</v>
      </c>
      <c r="BB705" t="s">
        <v>74</v>
      </c>
      <c r="BC705" t="s">
        <v>74</v>
      </c>
      <c r="BD705">
        <v>8510</v>
      </c>
      <c r="BE705" t="s">
        <v>12138</v>
      </c>
      <c r="BF705" t="str">
        <f>HYPERLINK("http://dx.doi.org/10.3390/su12208510","http://dx.doi.org/10.3390/su12208510")</f>
        <v>http://dx.doi.org/10.3390/su12208510</v>
      </c>
      <c r="BG705" t="s">
        <v>74</v>
      </c>
      <c r="BH705" t="s">
        <v>74</v>
      </c>
      <c r="BI705">
        <v>15</v>
      </c>
      <c r="BJ705" t="s">
        <v>2479</v>
      </c>
      <c r="BK705" t="s">
        <v>147</v>
      </c>
      <c r="BL705" t="s">
        <v>2480</v>
      </c>
      <c r="BM705" t="s">
        <v>12139</v>
      </c>
      <c r="BN705" t="s">
        <v>74</v>
      </c>
      <c r="BO705" t="s">
        <v>4398</v>
      </c>
      <c r="BP705" t="s">
        <v>74</v>
      </c>
      <c r="BQ705" t="s">
        <v>74</v>
      </c>
      <c r="BR705" t="s">
        <v>97</v>
      </c>
      <c r="BS705" t="s">
        <v>12140</v>
      </c>
      <c r="BT705" t="str">
        <f>HYPERLINK("https%3A%2F%2Fwww.webofscience.com%2Fwos%2Fwoscc%2Ffull-record%2FWOS:000583142700001","View Full Record in Web of Science")</f>
        <v>View Full Record in Web of Science</v>
      </c>
    </row>
    <row r="706" spans="1:72" x14ac:dyDescent="0.25">
      <c r="A706" t="s">
        <v>72</v>
      </c>
      <c r="B706" t="s">
        <v>7794</v>
      </c>
      <c r="C706" t="s">
        <v>74</v>
      </c>
      <c r="D706" t="s">
        <v>74</v>
      </c>
      <c r="E706" t="s">
        <v>74</v>
      </c>
      <c r="F706" t="s">
        <v>7795</v>
      </c>
      <c r="G706" t="s">
        <v>74</v>
      </c>
      <c r="H706" t="s">
        <v>74</v>
      </c>
      <c r="I706" t="s">
        <v>12141</v>
      </c>
      <c r="J706" t="s">
        <v>5442</v>
      </c>
      <c r="K706" t="s">
        <v>74</v>
      </c>
      <c r="L706" t="s">
        <v>74</v>
      </c>
      <c r="M706" t="s">
        <v>77</v>
      </c>
      <c r="N706" t="s">
        <v>78</v>
      </c>
      <c r="O706" t="s">
        <v>74</v>
      </c>
      <c r="P706" t="s">
        <v>74</v>
      </c>
      <c r="Q706" t="s">
        <v>74</v>
      </c>
      <c r="R706" t="s">
        <v>74</v>
      </c>
      <c r="S706" t="s">
        <v>74</v>
      </c>
      <c r="T706" t="s">
        <v>12142</v>
      </c>
      <c r="U706" t="s">
        <v>12143</v>
      </c>
      <c r="V706" t="s">
        <v>12144</v>
      </c>
      <c r="W706" t="s">
        <v>7800</v>
      </c>
      <c r="X706" t="s">
        <v>4329</v>
      </c>
      <c r="Y706" t="s">
        <v>7801</v>
      </c>
      <c r="Z706" t="s">
        <v>7802</v>
      </c>
      <c r="AA706" t="s">
        <v>12145</v>
      </c>
      <c r="AB706" t="s">
        <v>7804</v>
      </c>
      <c r="AC706" t="s">
        <v>4329</v>
      </c>
      <c r="AD706" t="s">
        <v>4329</v>
      </c>
      <c r="AE706" t="s">
        <v>12146</v>
      </c>
      <c r="AF706" t="s">
        <v>74</v>
      </c>
      <c r="AG706">
        <v>82</v>
      </c>
      <c r="AH706">
        <v>7</v>
      </c>
      <c r="AI706">
        <v>7</v>
      </c>
      <c r="AJ706">
        <v>5</v>
      </c>
      <c r="AK706">
        <v>33</v>
      </c>
      <c r="AL706" t="s">
        <v>5452</v>
      </c>
      <c r="AM706" t="s">
        <v>5453</v>
      </c>
      <c r="AN706" t="s">
        <v>5454</v>
      </c>
      <c r="AO706" t="s">
        <v>5455</v>
      </c>
      <c r="AP706" t="s">
        <v>5456</v>
      </c>
      <c r="AQ706" t="s">
        <v>74</v>
      </c>
      <c r="AR706" t="s">
        <v>5457</v>
      </c>
      <c r="AS706" t="s">
        <v>5458</v>
      </c>
      <c r="AT706" t="s">
        <v>496</v>
      </c>
      <c r="AU706">
        <v>2020</v>
      </c>
      <c r="AV706">
        <v>26</v>
      </c>
      <c r="AW706">
        <v>5</v>
      </c>
      <c r="AX706" t="s">
        <v>74</v>
      </c>
      <c r="AY706" t="s">
        <v>74</v>
      </c>
      <c r="AZ706" t="s">
        <v>74</v>
      </c>
      <c r="BA706" t="s">
        <v>74</v>
      </c>
      <c r="BB706">
        <v>719</v>
      </c>
      <c r="BC706">
        <v>735</v>
      </c>
      <c r="BD706" t="s">
        <v>12147</v>
      </c>
      <c r="BE706" t="s">
        <v>12148</v>
      </c>
      <c r="BF706" t="str">
        <f>HYPERLINK("http://dx.doi.org/10.1017/jmo.2018.42","http://dx.doi.org/10.1017/jmo.2018.42")</f>
        <v>http://dx.doi.org/10.1017/jmo.2018.42</v>
      </c>
      <c r="BG706" t="s">
        <v>74</v>
      </c>
      <c r="BH706" t="s">
        <v>74</v>
      </c>
      <c r="BI706">
        <v>17</v>
      </c>
      <c r="BJ706" t="s">
        <v>442</v>
      </c>
      <c r="BK706" t="s">
        <v>94</v>
      </c>
      <c r="BL706" t="s">
        <v>95</v>
      </c>
      <c r="BM706" t="s">
        <v>12149</v>
      </c>
      <c r="BN706" t="s">
        <v>74</v>
      </c>
      <c r="BO706" t="s">
        <v>74</v>
      </c>
      <c r="BP706" t="s">
        <v>74</v>
      </c>
      <c r="BQ706" t="s">
        <v>74</v>
      </c>
      <c r="BR706" t="s">
        <v>97</v>
      </c>
      <c r="BS706" t="s">
        <v>12150</v>
      </c>
      <c r="BT706" t="str">
        <f>HYPERLINK("https%3A%2F%2Fwww.webofscience.com%2Fwos%2Fwoscc%2Ffull-record%2FWOS:000579314400005","View Full Record in Web of Science")</f>
        <v>View Full Record in Web of Science</v>
      </c>
    </row>
    <row r="707" spans="1:72" x14ac:dyDescent="0.25">
      <c r="A707" t="s">
        <v>72</v>
      </c>
      <c r="B707" t="s">
        <v>12151</v>
      </c>
      <c r="C707" t="s">
        <v>74</v>
      </c>
      <c r="D707" t="s">
        <v>74</v>
      </c>
      <c r="E707" t="s">
        <v>74</v>
      </c>
      <c r="F707" t="s">
        <v>12152</v>
      </c>
      <c r="G707" t="s">
        <v>74</v>
      </c>
      <c r="H707" t="s">
        <v>74</v>
      </c>
      <c r="I707" t="s">
        <v>12153</v>
      </c>
      <c r="J707" t="s">
        <v>9332</v>
      </c>
      <c r="K707" t="s">
        <v>74</v>
      </c>
      <c r="L707" t="s">
        <v>74</v>
      </c>
      <c r="M707" t="s">
        <v>77</v>
      </c>
      <c r="N707" t="s">
        <v>78</v>
      </c>
      <c r="O707" t="s">
        <v>74</v>
      </c>
      <c r="P707" t="s">
        <v>74</v>
      </c>
      <c r="Q707" t="s">
        <v>74</v>
      </c>
      <c r="R707" t="s">
        <v>74</v>
      </c>
      <c r="S707" t="s">
        <v>74</v>
      </c>
      <c r="T707" t="s">
        <v>12154</v>
      </c>
      <c r="U707" t="s">
        <v>12155</v>
      </c>
      <c r="V707" t="s">
        <v>12156</v>
      </c>
      <c r="W707" t="s">
        <v>12157</v>
      </c>
      <c r="X707" t="s">
        <v>7998</v>
      </c>
      <c r="Y707" t="s">
        <v>12158</v>
      </c>
      <c r="Z707" t="s">
        <v>8000</v>
      </c>
      <c r="AA707" t="s">
        <v>8001</v>
      </c>
      <c r="AB707" t="s">
        <v>74</v>
      </c>
      <c r="AC707" t="s">
        <v>74</v>
      </c>
      <c r="AD707" t="s">
        <v>74</v>
      </c>
      <c r="AE707" t="s">
        <v>74</v>
      </c>
      <c r="AF707" t="s">
        <v>74</v>
      </c>
      <c r="AG707">
        <v>62</v>
      </c>
      <c r="AH707">
        <v>7</v>
      </c>
      <c r="AI707">
        <v>7</v>
      </c>
      <c r="AJ707">
        <v>7</v>
      </c>
      <c r="AK707">
        <v>41</v>
      </c>
      <c r="AL707" t="s">
        <v>766</v>
      </c>
      <c r="AM707" t="s">
        <v>330</v>
      </c>
      <c r="AN707" t="s">
        <v>1452</v>
      </c>
      <c r="AO707" t="s">
        <v>9344</v>
      </c>
      <c r="AP707" t="s">
        <v>9345</v>
      </c>
      <c r="AQ707" t="s">
        <v>74</v>
      </c>
      <c r="AR707" t="s">
        <v>9346</v>
      </c>
      <c r="AS707" t="s">
        <v>9347</v>
      </c>
      <c r="AT707" t="s">
        <v>392</v>
      </c>
      <c r="AU707">
        <v>2022</v>
      </c>
      <c r="AV707">
        <v>41</v>
      </c>
      <c r="AW707">
        <v>8</v>
      </c>
      <c r="AX707" t="s">
        <v>74</v>
      </c>
      <c r="AY707" t="s">
        <v>74</v>
      </c>
      <c r="AZ707" t="s">
        <v>74</v>
      </c>
      <c r="BA707" t="s">
        <v>74</v>
      </c>
      <c r="BB707">
        <v>5143</v>
      </c>
      <c r="BC707">
        <v>5150</v>
      </c>
      <c r="BD707" t="s">
        <v>74</v>
      </c>
      <c r="BE707" t="s">
        <v>12159</v>
      </c>
      <c r="BF707" t="str">
        <f>HYPERLINK("http://dx.doi.org/10.1007/s12144-020-01029-z","http://dx.doi.org/10.1007/s12144-020-01029-z")</f>
        <v>http://dx.doi.org/10.1007/s12144-020-01029-z</v>
      </c>
      <c r="BG707" t="s">
        <v>74</v>
      </c>
      <c r="BH707" t="s">
        <v>7030</v>
      </c>
      <c r="BI707">
        <v>8</v>
      </c>
      <c r="BJ707" t="s">
        <v>3203</v>
      </c>
      <c r="BK707" t="s">
        <v>94</v>
      </c>
      <c r="BL707" t="s">
        <v>460</v>
      </c>
      <c r="BM707" t="s">
        <v>9349</v>
      </c>
      <c r="BN707" t="s">
        <v>74</v>
      </c>
      <c r="BO707" t="s">
        <v>74</v>
      </c>
      <c r="BP707" t="s">
        <v>74</v>
      </c>
      <c r="BQ707" t="s">
        <v>74</v>
      </c>
      <c r="BR707" t="s">
        <v>97</v>
      </c>
      <c r="BS707" t="s">
        <v>12160</v>
      </c>
      <c r="BT707" t="str">
        <f>HYPERLINK("https%3A%2F%2Fwww.webofscience.com%2Fwos%2Fwoscc%2Ffull-record%2FWOS:000563607900002","View Full Record in Web of Science")</f>
        <v>View Full Record in Web of Science</v>
      </c>
    </row>
    <row r="708" spans="1:72" x14ac:dyDescent="0.25">
      <c r="A708" t="s">
        <v>72</v>
      </c>
      <c r="B708" t="s">
        <v>12161</v>
      </c>
      <c r="C708" t="s">
        <v>74</v>
      </c>
      <c r="D708" t="s">
        <v>74</v>
      </c>
      <c r="E708" t="s">
        <v>74</v>
      </c>
      <c r="F708" t="s">
        <v>12162</v>
      </c>
      <c r="G708" t="s">
        <v>74</v>
      </c>
      <c r="H708" t="s">
        <v>74</v>
      </c>
      <c r="I708" t="s">
        <v>12163</v>
      </c>
      <c r="J708" t="s">
        <v>2502</v>
      </c>
      <c r="K708" t="s">
        <v>74</v>
      </c>
      <c r="L708" t="s">
        <v>74</v>
      </c>
      <c r="M708" t="s">
        <v>77</v>
      </c>
      <c r="N708" t="s">
        <v>78</v>
      </c>
      <c r="O708" t="s">
        <v>74</v>
      </c>
      <c r="P708" t="s">
        <v>74</v>
      </c>
      <c r="Q708" t="s">
        <v>74</v>
      </c>
      <c r="R708" t="s">
        <v>74</v>
      </c>
      <c r="S708" t="s">
        <v>74</v>
      </c>
      <c r="T708" t="s">
        <v>12164</v>
      </c>
      <c r="U708" t="s">
        <v>12165</v>
      </c>
      <c r="V708" t="s">
        <v>12166</v>
      </c>
      <c r="W708" t="s">
        <v>12167</v>
      </c>
      <c r="X708" t="s">
        <v>12168</v>
      </c>
      <c r="Y708" t="s">
        <v>12169</v>
      </c>
      <c r="Z708" t="s">
        <v>12170</v>
      </c>
      <c r="AA708" t="s">
        <v>8273</v>
      </c>
      <c r="AB708" t="s">
        <v>11643</v>
      </c>
      <c r="AC708" t="s">
        <v>74</v>
      </c>
      <c r="AD708" t="s">
        <v>74</v>
      </c>
      <c r="AE708" t="s">
        <v>74</v>
      </c>
      <c r="AF708" t="s">
        <v>74</v>
      </c>
      <c r="AG708">
        <v>89</v>
      </c>
      <c r="AH708">
        <v>7</v>
      </c>
      <c r="AI708">
        <v>7</v>
      </c>
      <c r="AJ708">
        <v>3</v>
      </c>
      <c r="AK708">
        <v>17</v>
      </c>
      <c r="AL708" t="s">
        <v>665</v>
      </c>
      <c r="AM708" t="s">
        <v>666</v>
      </c>
      <c r="AN708" t="s">
        <v>667</v>
      </c>
      <c r="AO708" t="s">
        <v>2510</v>
      </c>
      <c r="AP708" t="s">
        <v>2511</v>
      </c>
      <c r="AQ708" t="s">
        <v>74</v>
      </c>
      <c r="AR708" t="s">
        <v>2512</v>
      </c>
      <c r="AS708" t="s">
        <v>2513</v>
      </c>
      <c r="AT708" t="s">
        <v>5939</v>
      </c>
      <c r="AU708">
        <v>2021</v>
      </c>
      <c r="AV708">
        <v>50</v>
      </c>
      <c r="AW708">
        <v>2</v>
      </c>
      <c r="AX708" t="s">
        <v>74</v>
      </c>
      <c r="AY708" t="s">
        <v>74</v>
      </c>
      <c r="AZ708" t="s">
        <v>74</v>
      </c>
      <c r="BA708" t="s">
        <v>74</v>
      </c>
      <c r="BB708">
        <v>610</v>
      </c>
      <c r="BC708">
        <v>629</v>
      </c>
      <c r="BD708" t="s">
        <v>74</v>
      </c>
      <c r="BE708" t="s">
        <v>12171</v>
      </c>
      <c r="BF708" t="str">
        <f>HYPERLINK("http://dx.doi.org/10.1108/PR-11-2019-0600","http://dx.doi.org/10.1108/PR-11-2019-0600")</f>
        <v>http://dx.doi.org/10.1108/PR-11-2019-0600</v>
      </c>
      <c r="BG708" t="s">
        <v>74</v>
      </c>
      <c r="BH708" t="s">
        <v>7030</v>
      </c>
      <c r="BI708">
        <v>20</v>
      </c>
      <c r="BJ708" t="s">
        <v>2515</v>
      </c>
      <c r="BK708" t="s">
        <v>94</v>
      </c>
      <c r="BL708" t="s">
        <v>227</v>
      </c>
      <c r="BM708" t="s">
        <v>5941</v>
      </c>
      <c r="BN708" t="s">
        <v>74</v>
      </c>
      <c r="BO708" t="s">
        <v>74</v>
      </c>
      <c r="BP708" t="s">
        <v>74</v>
      </c>
      <c r="BQ708" t="s">
        <v>74</v>
      </c>
      <c r="BR708" t="s">
        <v>97</v>
      </c>
      <c r="BS708" t="s">
        <v>12172</v>
      </c>
      <c r="BT708" t="str">
        <f>HYPERLINK("https%3A%2F%2Fwww.webofscience.com%2Fwos%2Fwoscc%2Ffull-record%2FWOS:000558294600001","View Full Record in Web of Science")</f>
        <v>View Full Record in Web of Science</v>
      </c>
    </row>
    <row r="709" spans="1:72" x14ac:dyDescent="0.25">
      <c r="A709" t="s">
        <v>72</v>
      </c>
      <c r="B709" t="s">
        <v>12173</v>
      </c>
      <c r="C709" t="s">
        <v>74</v>
      </c>
      <c r="D709" t="s">
        <v>74</v>
      </c>
      <c r="E709" t="s">
        <v>74</v>
      </c>
      <c r="F709" t="s">
        <v>12174</v>
      </c>
      <c r="G709" t="s">
        <v>74</v>
      </c>
      <c r="H709" t="s">
        <v>74</v>
      </c>
      <c r="I709" t="s">
        <v>12175</v>
      </c>
      <c r="J709" t="s">
        <v>4325</v>
      </c>
      <c r="K709" t="s">
        <v>74</v>
      </c>
      <c r="L709" t="s">
        <v>74</v>
      </c>
      <c r="M709" t="s">
        <v>77</v>
      </c>
      <c r="N709" t="s">
        <v>78</v>
      </c>
      <c r="O709" t="s">
        <v>74</v>
      </c>
      <c r="P709" t="s">
        <v>74</v>
      </c>
      <c r="Q709" t="s">
        <v>74</v>
      </c>
      <c r="R709" t="s">
        <v>74</v>
      </c>
      <c r="S709" t="s">
        <v>74</v>
      </c>
      <c r="T709" t="s">
        <v>12176</v>
      </c>
      <c r="U709" t="s">
        <v>12177</v>
      </c>
      <c r="V709" t="s">
        <v>12178</v>
      </c>
      <c r="W709" t="s">
        <v>12179</v>
      </c>
      <c r="X709" t="s">
        <v>12180</v>
      </c>
      <c r="Y709" t="s">
        <v>12181</v>
      </c>
      <c r="Z709" t="s">
        <v>12182</v>
      </c>
      <c r="AA709" t="s">
        <v>12183</v>
      </c>
      <c r="AB709" t="s">
        <v>12184</v>
      </c>
      <c r="AC709" t="s">
        <v>12185</v>
      </c>
      <c r="AD709" t="s">
        <v>12185</v>
      </c>
      <c r="AE709" t="s">
        <v>12186</v>
      </c>
      <c r="AF709" t="s">
        <v>74</v>
      </c>
      <c r="AG709">
        <v>45</v>
      </c>
      <c r="AH709">
        <v>7</v>
      </c>
      <c r="AI709">
        <v>7</v>
      </c>
      <c r="AJ709">
        <v>3</v>
      </c>
      <c r="AK709">
        <v>22</v>
      </c>
      <c r="AL709" t="s">
        <v>218</v>
      </c>
      <c r="AM709" t="s">
        <v>219</v>
      </c>
      <c r="AN709" t="s">
        <v>220</v>
      </c>
      <c r="AO709" t="s">
        <v>4332</v>
      </c>
      <c r="AP709" t="s">
        <v>4333</v>
      </c>
      <c r="AQ709" t="s">
        <v>74</v>
      </c>
      <c r="AR709" t="s">
        <v>4334</v>
      </c>
      <c r="AS709" t="s">
        <v>4335</v>
      </c>
      <c r="AT709" t="s">
        <v>496</v>
      </c>
      <c r="AU709">
        <v>2020</v>
      </c>
      <c r="AV709">
        <v>29</v>
      </c>
      <c r="AW709">
        <v>3</v>
      </c>
      <c r="AX709" t="s">
        <v>74</v>
      </c>
      <c r="AY709" t="s">
        <v>74</v>
      </c>
      <c r="AZ709" t="s">
        <v>74</v>
      </c>
      <c r="BA709" t="s">
        <v>74</v>
      </c>
      <c r="BB709">
        <v>453</v>
      </c>
      <c r="BC709">
        <v>464</v>
      </c>
      <c r="BD709" t="s">
        <v>74</v>
      </c>
      <c r="BE709" t="s">
        <v>12187</v>
      </c>
      <c r="BF709" t="str">
        <f>HYPERLINK("http://dx.doi.org/10.1111/caim.12397","http://dx.doi.org/10.1111/caim.12397")</f>
        <v>http://dx.doi.org/10.1111/caim.12397</v>
      </c>
      <c r="BG709" t="s">
        <v>74</v>
      </c>
      <c r="BH709" t="s">
        <v>2176</v>
      </c>
      <c r="BI709">
        <v>12</v>
      </c>
      <c r="BJ709" t="s">
        <v>442</v>
      </c>
      <c r="BK709" t="s">
        <v>94</v>
      </c>
      <c r="BL709" t="s">
        <v>95</v>
      </c>
      <c r="BM709" t="s">
        <v>10226</v>
      </c>
      <c r="BN709" t="s">
        <v>74</v>
      </c>
      <c r="BO709" t="s">
        <v>74</v>
      </c>
      <c r="BP709" t="s">
        <v>74</v>
      </c>
      <c r="BQ709" t="s">
        <v>74</v>
      </c>
      <c r="BR709" t="s">
        <v>97</v>
      </c>
      <c r="BS709" t="s">
        <v>12188</v>
      </c>
      <c r="BT709" t="str">
        <f>HYPERLINK("https%3A%2F%2Fwww.webofscience.com%2Fwos%2Fwoscc%2Ffull-record%2FWOS:000545144800001","View Full Record in Web of Science")</f>
        <v>View Full Record in Web of Science</v>
      </c>
    </row>
    <row r="710" spans="1:72" x14ac:dyDescent="0.25">
      <c r="A710" t="s">
        <v>72</v>
      </c>
      <c r="B710" t="s">
        <v>12189</v>
      </c>
      <c r="C710" t="s">
        <v>74</v>
      </c>
      <c r="D710" t="s">
        <v>74</v>
      </c>
      <c r="E710" t="s">
        <v>74</v>
      </c>
      <c r="F710" t="s">
        <v>12190</v>
      </c>
      <c r="G710" t="s">
        <v>74</v>
      </c>
      <c r="H710" t="s">
        <v>74</v>
      </c>
      <c r="I710" t="s">
        <v>12191</v>
      </c>
      <c r="J710" t="s">
        <v>3375</v>
      </c>
      <c r="K710" t="s">
        <v>74</v>
      </c>
      <c r="L710" t="s">
        <v>74</v>
      </c>
      <c r="M710" t="s">
        <v>77</v>
      </c>
      <c r="N710" t="s">
        <v>78</v>
      </c>
      <c r="O710" t="s">
        <v>74</v>
      </c>
      <c r="P710" t="s">
        <v>74</v>
      </c>
      <c r="Q710" t="s">
        <v>74</v>
      </c>
      <c r="R710" t="s">
        <v>74</v>
      </c>
      <c r="S710" t="s">
        <v>74</v>
      </c>
      <c r="T710" t="s">
        <v>12192</v>
      </c>
      <c r="U710" t="s">
        <v>12193</v>
      </c>
      <c r="V710" t="s">
        <v>12194</v>
      </c>
      <c r="W710" t="s">
        <v>12195</v>
      </c>
      <c r="X710" t="s">
        <v>12196</v>
      </c>
      <c r="Y710" t="s">
        <v>12197</v>
      </c>
      <c r="Z710" t="s">
        <v>6985</v>
      </c>
      <c r="AA710" t="s">
        <v>1608</v>
      </c>
      <c r="AB710" t="s">
        <v>12104</v>
      </c>
      <c r="AC710" t="s">
        <v>12198</v>
      </c>
      <c r="AD710" t="s">
        <v>12198</v>
      </c>
      <c r="AE710" t="s">
        <v>12199</v>
      </c>
      <c r="AF710" t="s">
        <v>74</v>
      </c>
      <c r="AG710">
        <v>57</v>
      </c>
      <c r="AH710">
        <v>7</v>
      </c>
      <c r="AI710">
        <v>7</v>
      </c>
      <c r="AJ710">
        <v>5</v>
      </c>
      <c r="AK710">
        <v>19</v>
      </c>
      <c r="AL710" t="s">
        <v>218</v>
      </c>
      <c r="AM710" t="s">
        <v>219</v>
      </c>
      <c r="AN710" t="s">
        <v>220</v>
      </c>
      <c r="AO710" t="s">
        <v>3382</v>
      </c>
      <c r="AP710" t="s">
        <v>3383</v>
      </c>
      <c r="AQ710" t="s">
        <v>74</v>
      </c>
      <c r="AR710" t="s">
        <v>3384</v>
      </c>
      <c r="AS710" t="s">
        <v>3385</v>
      </c>
      <c r="AT710" t="s">
        <v>496</v>
      </c>
      <c r="AU710">
        <v>2020</v>
      </c>
      <c r="AV710">
        <v>79</v>
      </c>
      <c r="AW710">
        <v>3</v>
      </c>
      <c r="AX710" t="s">
        <v>74</v>
      </c>
      <c r="AY710" t="s">
        <v>74</v>
      </c>
      <c r="AZ710" t="s">
        <v>74</v>
      </c>
      <c r="BA710" t="s">
        <v>74</v>
      </c>
      <c r="BB710">
        <v>279</v>
      </c>
      <c r="BC710">
        <v>297</v>
      </c>
      <c r="BD710" t="s">
        <v>74</v>
      </c>
      <c r="BE710" t="s">
        <v>12200</v>
      </c>
      <c r="BF710" t="str">
        <f>HYPERLINK("http://dx.doi.org/10.1111/1467-8500.12414","http://dx.doi.org/10.1111/1467-8500.12414")</f>
        <v>http://dx.doi.org/10.1111/1467-8500.12414</v>
      </c>
      <c r="BG710" t="s">
        <v>74</v>
      </c>
      <c r="BH710" t="s">
        <v>6160</v>
      </c>
      <c r="BI710">
        <v>19</v>
      </c>
      <c r="BJ710" t="s">
        <v>1564</v>
      </c>
      <c r="BK710" t="s">
        <v>94</v>
      </c>
      <c r="BL710" t="s">
        <v>1564</v>
      </c>
      <c r="BM710" t="s">
        <v>8039</v>
      </c>
      <c r="BN710" t="s">
        <v>74</v>
      </c>
      <c r="BO710" t="s">
        <v>74</v>
      </c>
      <c r="BP710" t="s">
        <v>74</v>
      </c>
      <c r="BQ710" t="s">
        <v>74</v>
      </c>
      <c r="BR710" t="s">
        <v>97</v>
      </c>
      <c r="BS710" t="s">
        <v>12201</v>
      </c>
      <c r="BT710" t="str">
        <f>HYPERLINK("https%3A%2F%2Fwww.webofscience.com%2Fwos%2Fwoscc%2Ffull-record%2FWOS:000562311900001","View Full Record in Web of Science")</f>
        <v>View Full Record in Web of Science</v>
      </c>
    </row>
    <row r="711" spans="1:72" x14ac:dyDescent="0.25">
      <c r="A711" t="s">
        <v>72</v>
      </c>
      <c r="B711" t="s">
        <v>12202</v>
      </c>
      <c r="C711" t="s">
        <v>74</v>
      </c>
      <c r="D711" t="s">
        <v>74</v>
      </c>
      <c r="E711" t="s">
        <v>74</v>
      </c>
      <c r="F711" t="s">
        <v>12203</v>
      </c>
      <c r="G711" t="s">
        <v>74</v>
      </c>
      <c r="H711" t="s">
        <v>74</v>
      </c>
      <c r="I711" t="s">
        <v>12204</v>
      </c>
      <c r="J711" t="s">
        <v>2463</v>
      </c>
      <c r="K711" t="s">
        <v>74</v>
      </c>
      <c r="L711" t="s">
        <v>74</v>
      </c>
      <c r="M711" t="s">
        <v>77</v>
      </c>
      <c r="N711" t="s">
        <v>78</v>
      </c>
      <c r="O711" t="s">
        <v>74</v>
      </c>
      <c r="P711" t="s">
        <v>74</v>
      </c>
      <c r="Q711" t="s">
        <v>74</v>
      </c>
      <c r="R711" t="s">
        <v>74</v>
      </c>
      <c r="S711" t="s">
        <v>74</v>
      </c>
      <c r="T711" t="s">
        <v>12205</v>
      </c>
      <c r="U711" t="s">
        <v>12206</v>
      </c>
      <c r="V711" t="s">
        <v>12207</v>
      </c>
      <c r="W711" t="s">
        <v>12208</v>
      </c>
      <c r="X711" t="s">
        <v>12209</v>
      </c>
      <c r="Y711" t="s">
        <v>12210</v>
      </c>
      <c r="Z711" t="s">
        <v>12211</v>
      </c>
      <c r="AA711" t="s">
        <v>12212</v>
      </c>
      <c r="AB711" t="s">
        <v>12213</v>
      </c>
      <c r="AC711" t="s">
        <v>12214</v>
      </c>
      <c r="AD711" t="s">
        <v>12215</v>
      </c>
      <c r="AE711" t="s">
        <v>12216</v>
      </c>
      <c r="AF711" t="s">
        <v>74</v>
      </c>
      <c r="AG711">
        <v>91</v>
      </c>
      <c r="AH711">
        <v>7</v>
      </c>
      <c r="AI711">
        <v>7</v>
      </c>
      <c r="AJ711">
        <v>7</v>
      </c>
      <c r="AK711">
        <v>48</v>
      </c>
      <c r="AL711" t="s">
        <v>2473</v>
      </c>
      <c r="AM711" t="s">
        <v>2102</v>
      </c>
      <c r="AN711" t="s">
        <v>2474</v>
      </c>
      <c r="AO711" t="s">
        <v>74</v>
      </c>
      <c r="AP711" t="s">
        <v>2475</v>
      </c>
      <c r="AQ711" t="s">
        <v>74</v>
      </c>
      <c r="AR711" t="s">
        <v>2476</v>
      </c>
      <c r="AS711" t="s">
        <v>2477</v>
      </c>
      <c r="AT711" t="s">
        <v>3510</v>
      </c>
      <c r="AU711">
        <v>2020</v>
      </c>
      <c r="AV711">
        <v>12</v>
      </c>
      <c r="AW711">
        <v>6</v>
      </c>
      <c r="AX711" t="s">
        <v>74</v>
      </c>
      <c r="AY711" t="s">
        <v>74</v>
      </c>
      <c r="AZ711" t="s">
        <v>74</v>
      </c>
      <c r="BA711" t="s">
        <v>74</v>
      </c>
      <c r="BB711" t="s">
        <v>74</v>
      </c>
      <c r="BC711" t="s">
        <v>74</v>
      </c>
      <c r="BD711">
        <v>2526</v>
      </c>
      <c r="BE711" t="s">
        <v>12217</v>
      </c>
      <c r="BF711" t="str">
        <f>HYPERLINK("http://dx.doi.org/10.3390/su12062526","http://dx.doi.org/10.3390/su12062526")</f>
        <v>http://dx.doi.org/10.3390/su12062526</v>
      </c>
      <c r="BG711" t="s">
        <v>74</v>
      </c>
      <c r="BH711" t="s">
        <v>74</v>
      </c>
      <c r="BI711">
        <v>16</v>
      </c>
      <c r="BJ711" t="s">
        <v>2479</v>
      </c>
      <c r="BK711" t="s">
        <v>147</v>
      </c>
      <c r="BL711" t="s">
        <v>2480</v>
      </c>
      <c r="BM711" t="s">
        <v>12218</v>
      </c>
      <c r="BN711" t="s">
        <v>74</v>
      </c>
      <c r="BO711" t="s">
        <v>4398</v>
      </c>
      <c r="BP711" t="s">
        <v>74</v>
      </c>
      <c r="BQ711" t="s">
        <v>74</v>
      </c>
      <c r="BR711" t="s">
        <v>97</v>
      </c>
      <c r="BS711" t="s">
        <v>12219</v>
      </c>
      <c r="BT711" t="str">
        <f>HYPERLINK("https%3A%2F%2Fwww.webofscience.com%2Fwos%2Fwoscc%2Ffull-record%2FWOS:000523751400373","View Full Record in Web of Science")</f>
        <v>View Full Record in Web of Science</v>
      </c>
    </row>
    <row r="712" spans="1:72" x14ac:dyDescent="0.25">
      <c r="A712" t="s">
        <v>72</v>
      </c>
      <c r="B712" t="s">
        <v>12220</v>
      </c>
      <c r="C712" t="s">
        <v>74</v>
      </c>
      <c r="D712" t="s">
        <v>74</v>
      </c>
      <c r="E712" t="s">
        <v>74</v>
      </c>
      <c r="F712" t="s">
        <v>12221</v>
      </c>
      <c r="G712" t="s">
        <v>74</v>
      </c>
      <c r="H712" t="s">
        <v>74</v>
      </c>
      <c r="I712" t="s">
        <v>12222</v>
      </c>
      <c r="J712" t="s">
        <v>2059</v>
      </c>
      <c r="K712" t="s">
        <v>74</v>
      </c>
      <c r="L712" t="s">
        <v>74</v>
      </c>
      <c r="M712" t="s">
        <v>77</v>
      </c>
      <c r="N712" t="s">
        <v>78</v>
      </c>
      <c r="O712" t="s">
        <v>74</v>
      </c>
      <c r="P712" t="s">
        <v>74</v>
      </c>
      <c r="Q712" t="s">
        <v>74</v>
      </c>
      <c r="R712" t="s">
        <v>74</v>
      </c>
      <c r="S712" t="s">
        <v>74</v>
      </c>
      <c r="T712" t="s">
        <v>12223</v>
      </c>
      <c r="U712" t="s">
        <v>12224</v>
      </c>
      <c r="V712" t="s">
        <v>12225</v>
      </c>
      <c r="W712" t="s">
        <v>12226</v>
      </c>
      <c r="X712" t="s">
        <v>12227</v>
      </c>
      <c r="Y712" t="s">
        <v>12228</v>
      </c>
      <c r="Z712" t="s">
        <v>12229</v>
      </c>
      <c r="AA712" t="s">
        <v>74</v>
      </c>
      <c r="AB712" t="s">
        <v>74</v>
      </c>
      <c r="AC712" t="s">
        <v>12230</v>
      </c>
      <c r="AD712" t="s">
        <v>12231</v>
      </c>
      <c r="AE712" t="s">
        <v>12232</v>
      </c>
      <c r="AF712" t="s">
        <v>74</v>
      </c>
      <c r="AG712">
        <v>32</v>
      </c>
      <c r="AH712">
        <v>7</v>
      </c>
      <c r="AI712">
        <v>7</v>
      </c>
      <c r="AJ712">
        <v>12</v>
      </c>
      <c r="AK712">
        <v>83</v>
      </c>
      <c r="AL712" t="s">
        <v>2067</v>
      </c>
      <c r="AM712" t="s">
        <v>2068</v>
      </c>
      <c r="AN712" t="s">
        <v>2069</v>
      </c>
      <c r="AO712" t="s">
        <v>2070</v>
      </c>
      <c r="AP712" t="s">
        <v>2071</v>
      </c>
      <c r="AQ712" t="s">
        <v>74</v>
      </c>
      <c r="AR712" t="s">
        <v>2072</v>
      </c>
      <c r="AS712" t="s">
        <v>2073</v>
      </c>
      <c r="AT712" t="s">
        <v>200</v>
      </c>
      <c r="AU712">
        <v>2020</v>
      </c>
      <c r="AV712">
        <v>48</v>
      </c>
      <c r="AW712">
        <v>3</v>
      </c>
      <c r="AX712" t="s">
        <v>74</v>
      </c>
      <c r="AY712" t="s">
        <v>74</v>
      </c>
      <c r="AZ712" t="s">
        <v>74</v>
      </c>
      <c r="BA712" t="s">
        <v>74</v>
      </c>
      <c r="BB712" t="s">
        <v>74</v>
      </c>
      <c r="BC712" t="s">
        <v>74</v>
      </c>
      <c r="BD712" t="s">
        <v>12233</v>
      </c>
      <c r="BE712" t="s">
        <v>12234</v>
      </c>
      <c r="BF712" t="str">
        <f>HYPERLINK("http://dx.doi.org/10.2224/sbp.8622","http://dx.doi.org/10.2224/sbp.8622")</f>
        <v>http://dx.doi.org/10.2224/sbp.8622</v>
      </c>
      <c r="BG712" t="s">
        <v>74</v>
      </c>
      <c r="BH712" t="s">
        <v>74</v>
      </c>
      <c r="BI712">
        <v>12</v>
      </c>
      <c r="BJ712" t="s">
        <v>459</v>
      </c>
      <c r="BK712" t="s">
        <v>94</v>
      </c>
      <c r="BL712" t="s">
        <v>460</v>
      </c>
      <c r="BM712" t="s">
        <v>12235</v>
      </c>
      <c r="BN712" t="s">
        <v>74</v>
      </c>
      <c r="BO712" t="s">
        <v>74</v>
      </c>
      <c r="BP712" t="s">
        <v>74</v>
      </c>
      <c r="BQ712" t="s">
        <v>74</v>
      </c>
      <c r="BR712" t="s">
        <v>97</v>
      </c>
      <c r="BS712" t="s">
        <v>12236</v>
      </c>
      <c r="BT712" t="str">
        <f>HYPERLINK("https%3A%2F%2Fwww.webofscience.com%2Fwos%2Fwoscc%2Ffull-record%2FWOS:000519717800005","View Full Record in Web of Science")</f>
        <v>View Full Record in Web of Science</v>
      </c>
    </row>
    <row r="713" spans="1:72" x14ac:dyDescent="0.25">
      <c r="A713" t="s">
        <v>72</v>
      </c>
      <c r="B713" t="s">
        <v>12237</v>
      </c>
      <c r="C713" t="s">
        <v>74</v>
      </c>
      <c r="D713" t="s">
        <v>74</v>
      </c>
      <c r="E713" t="s">
        <v>74</v>
      </c>
      <c r="F713" t="s">
        <v>12238</v>
      </c>
      <c r="G713" t="s">
        <v>74</v>
      </c>
      <c r="H713" t="s">
        <v>74</v>
      </c>
      <c r="I713" t="s">
        <v>12239</v>
      </c>
      <c r="J713" t="s">
        <v>12240</v>
      </c>
      <c r="K713" t="s">
        <v>74</v>
      </c>
      <c r="L713" t="s">
        <v>74</v>
      </c>
      <c r="M713" t="s">
        <v>77</v>
      </c>
      <c r="N713" t="s">
        <v>78</v>
      </c>
      <c r="O713" t="s">
        <v>74</v>
      </c>
      <c r="P713" t="s">
        <v>74</v>
      </c>
      <c r="Q713" t="s">
        <v>74</v>
      </c>
      <c r="R713" t="s">
        <v>74</v>
      </c>
      <c r="S713" t="s">
        <v>74</v>
      </c>
      <c r="T713" t="s">
        <v>12241</v>
      </c>
      <c r="U713" t="s">
        <v>12242</v>
      </c>
      <c r="V713" t="s">
        <v>12243</v>
      </c>
      <c r="W713" t="s">
        <v>12244</v>
      </c>
      <c r="X713" t="s">
        <v>12245</v>
      </c>
      <c r="Y713" t="s">
        <v>12246</v>
      </c>
      <c r="Z713" t="s">
        <v>12247</v>
      </c>
      <c r="AA713" t="s">
        <v>74</v>
      </c>
      <c r="AB713" t="s">
        <v>12248</v>
      </c>
      <c r="AC713" t="s">
        <v>74</v>
      </c>
      <c r="AD713" t="s">
        <v>74</v>
      </c>
      <c r="AE713" t="s">
        <v>74</v>
      </c>
      <c r="AF713" t="s">
        <v>74</v>
      </c>
      <c r="AG713">
        <v>64</v>
      </c>
      <c r="AH713">
        <v>7</v>
      </c>
      <c r="AI713">
        <v>7</v>
      </c>
      <c r="AJ713">
        <v>6</v>
      </c>
      <c r="AK713">
        <v>73</v>
      </c>
      <c r="AL713" t="s">
        <v>2351</v>
      </c>
      <c r="AM713" t="s">
        <v>541</v>
      </c>
      <c r="AN713" t="s">
        <v>2352</v>
      </c>
      <c r="AO713" t="s">
        <v>12249</v>
      </c>
      <c r="AP713" t="s">
        <v>12250</v>
      </c>
      <c r="AQ713" t="s">
        <v>74</v>
      </c>
      <c r="AR713" t="s">
        <v>12251</v>
      </c>
      <c r="AS713" t="s">
        <v>12252</v>
      </c>
      <c r="AT713" t="s">
        <v>392</v>
      </c>
      <c r="AU713">
        <v>2019</v>
      </c>
      <c r="AV713">
        <v>44</v>
      </c>
      <c r="AW713">
        <v>3</v>
      </c>
      <c r="AX713" t="s">
        <v>74</v>
      </c>
      <c r="AY713" t="s">
        <v>74</v>
      </c>
      <c r="AZ713" t="s">
        <v>74</v>
      </c>
      <c r="BA713" t="s">
        <v>74</v>
      </c>
      <c r="BB713">
        <v>443</v>
      </c>
      <c r="BC713">
        <v>461</v>
      </c>
      <c r="BD713" t="s">
        <v>74</v>
      </c>
      <c r="BE713" t="s">
        <v>12253</v>
      </c>
      <c r="BF713" t="str">
        <f>HYPERLINK("http://dx.doi.org/10.1177/0312896218792957","http://dx.doi.org/10.1177/0312896218792957")</f>
        <v>http://dx.doi.org/10.1177/0312896218792957</v>
      </c>
      <c r="BG713" t="s">
        <v>74</v>
      </c>
      <c r="BH713" t="s">
        <v>74</v>
      </c>
      <c r="BI713">
        <v>19</v>
      </c>
      <c r="BJ713" t="s">
        <v>93</v>
      </c>
      <c r="BK713" t="s">
        <v>94</v>
      </c>
      <c r="BL713" t="s">
        <v>95</v>
      </c>
      <c r="BM713" t="s">
        <v>12254</v>
      </c>
      <c r="BN713" t="s">
        <v>74</v>
      </c>
      <c r="BO713" t="s">
        <v>74</v>
      </c>
      <c r="BP713" t="s">
        <v>74</v>
      </c>
      <c r="BQ713" t="s">
        <v>74</v>
      </c>
      <c r="BR713" t="s">
        <v>97</v>
      </c>
      <c r="BS713" t="s">
        <v>12255</v>
      </c>
      <c r="BT713" t="str">
        <f>HYPERLINK("https%3A%2F%2Fwww.webofscience.com%2Fwos%2Fwoscc%2Ffull-record%2FWOS:000472569600005","View Full Record in Web of Science")</f>
        <v>View Full Record in Web of Science</v>
      </c>
    </row>
    <row r="714" spans="1:72" x14ac:dyDescent="0.25">
      <c r="A714" t="s">
        <v>72</v>
      </c>
      <c r="B714" t="s">
        <v>12256</v>
      </c>
      <c r="C714" t="s">
        <v>74</v>
      </c>
      <c r="D714" t="s">
        <v>74</v>
      </c>
      <c r="E714" t="s">
        <v>74</v>
      </c>
      <c r="F714" t="s">
        <v>12257</v>
      </c>
      <c r="G714" t="s">
        <v>74</v>
      </c>
      <c r="H714" t="s">
        <v>74</v>
      </c>
      <c r="I714" t="s">
        <v>12258</v>
      </c>
      <c r="J714" t="s">
        <v>3184</v>
      </c>
      <c r="K714" t="s">
        <v>74</v>
      </c>
      <c r="L714" t="s">
        <v>74</v>
      </c>
      <c r="M714" t="s">
        <v>77</v>
      </c>
      <c r="N714" t="s">
        <v>78</v>
      </c>
      <c r="O714" t="s">
        <v>74</v>
      </c>
      <c r="P714" t="s">
        <v>74</v>
      </c>
      <c r="Q714" t="s">
        <v>74</v>
      </c>
      <c r="R714" t="s">
        <v>74</v>
      </c>
      <c r="S714" t="s">
        <v>74</v>
      </c>
      <c r="T714" t="s">
        <v>12259</v>
      </c>
      <c r="U714" t="s">
        <v>12260</v>
      </c>
      <c r="V714" t="s">
        <v>12261</v>
      </c>
      <c r="W714" t="s">
        <v>12262</v>
      </c>
      <c r="X714" t="s">
        <v>7515</v>
      </c>
      <c r="Y714" t="s">
        <v>12263</v>
      </c>
      <c r="Z714" t="s">
        <v>12264</v>
      </c>
      <c r="AA714" t="s">
        <v>7518</v>
      </c>
      <c r="AB714" t="s">
        <v>7519</v>
      </c>
      <c r="AC714" t="s">
        <v>74</v>
      </c>
      <c r="AD714" t="s">
        <v>74</v>
      </c>
      <c r="AE714" t="s">
        <v>74</v>
      </c>
      <c r="AF714" t="s">
        <v>74</v>
      </c>
      <c r="AG714">
        <v>88</v>
      </c>
      <c r="AH714">
        <v>7</v>
      </c>
      <c r="AI714">
        <v>7</v>
      </c>
      <c r="AJ714">
        <v>1</v>
      </c>
      <c r="AK714">
        <v>13</v>
      </c>
      <c r="AL714" t="s">
        <v>3195</v>
      </c>
      <c r="AM714" t="s">
        <v>3196</v>
      </c>
      <c r="AN714" t="s">
        <v>3197</v>
      </c>
      <c r="AO714" t="s">
        <v>3198</v>
      </c>
      <c r="AP714" t="s">
        <v>74</v>
      </c>
      <c r="AQ714" t="s">
        <v>74</v>
      </c>
      <c r="AR714" t="s">
        <v>3199</v>
      </c>
      <c r="AS714" t="s">
        <v>3200</v>
      </c>
      <c r="AT714" t="s">
        <v>12265</v>
      </c>
      <c r="AU714">
        <v>2019</v>
      </c>
      <c r="AV714">
        <v>10</v>
      </c>
      <c r="AW714" t="s">
        <v>74</v>
      </c>
      <c r="AX714" t="s">
        <v>74</v>
      </c>
      <c r="AY714" t="s">
        <v>74</v>
      </c>
      <c r="AZ714" t="s">
        <v>74</v>
      </c>
      <c r="BA714" t="s">
        <v>74</v>
      </c>
      <c r="BB714" t="s">
        <v>74</v>
      </c>
      <c r="BC714" t="s">
        <v>74</v>
      </c>
      <c r="BD714">
        <v>1060</v>
      </c>
      <c r="BE714" t="s">
        <v>12266</v>
      </c>
      <c r="BF714" t="str">
        <f>HYPERLINK("http://dx.doi.org/10.3389/fpsyg.2019.01060","http://dx.doi.org/10.3389/fpsyg.2019.01060")</f>
        <v>http://dx.doi.org/10.3389/fpsyg.2019.01060</v>
      </c>
      <c r="BG714" t="s">
        <v>74</v>
      </c>
      <c r="BH714" t="s">
        <v>74</v>
      </c>
      <c r="BI714">
        <v>8</v>
      </c>
      <c r="BJ714" t="s">
        <v>3203</v>
      </c>
      <c r="BK714" t="s">
        <v>94</v>
      </c>
      <c r="BL714" t="s">
        <v>460</v>
      </c>
      <c r="BM714" t="s">
        <v>12267</v>
      </c>
      <c r="BN714">
        <v>31133949</v>
      </c>
      <c r="BO714" t="s">
        <v>4398</v>
      </c>
      <c r="BP714" t="s">
        <v>74</v>
      </c>
      <c r="BQ714" t="s">
        <v>74</v>
      </c>
      <c r="BR714" t="s">
        <v>97</v>
      </c>
      <c r="BS714" t="s">
        <v>12268</v>
      </c>
      <c r="BT714" t="str">
        <f>HYPERLINK("https%3A%2F%2Fwww.webofscience.com%2Fwos%2Fwoscc%2Ffull-record%2FWOS:000467447900001","View Full Record in Web of Science")</f>
        <v>View Full Record in Web of Science</v>
      </c>
    </row>
    <row r="715" spans="1:72" x14ac:dyDescent="0.25">
      <c r="A715" t="s">
        <v>72</v>
      </c>
      <c r="B715" t="s">
        <v>11633</v>
      </c>
      <c r="C715" t="s">
        <v>74</v>
      </c>
      <c r="D715" t="s">
        <v>74</v>
      </c>
      <c r="E715" t="s">
        <v>74</v>
      </c>
      <c r="F715" t="s">
        <v>11634</v>
      </c>
      <c r="G715" t="s">
        <v>74</v>
      </c>
      <c r="H715" t="s">
        <v>74</v>
      </c>
      <c r="I715" t="s">
        <v>12269</v>
      </c>
      <c r="J715" t="s">
        <v>3424</v>
      </c>
      <c r="K715" t="s">
        <v>74</v>
      </c>
      <c r="L715" t="s">
        <v>74</v>
      </c>
      <c r="M715" t="s">
        <v>77</v>
      </c>
      <c r="N715" t="s">
        <v>78</v>
      </c>
      <c r="O715" t="s">
        <v>74</v>
      </c>
      <c r="P715" t="s">
        <v>74</v>
      </c>
      <c r="Q715" t="s">
        <v>74</v>
      </c>
      <c r="R715" t="s">
        <v>74</v>
      </c>
      <c r="S715" t="s">
        <v>74</v>
      </c>
      <c r="T715" t="s">
        <v>12270</v>
      </c>
      <c r="U715" t="s">
        <v>12271</v>
      </c>
      <c r="V715" t="s">
        <v>12272</v>
      </c>
      <c r="W715" t="s">
        <v>12273</v>
      </c>
      <c r="X715" t="s">
        <v>12274</v>
      </c>
      <c r="Y715" t="s">
        <v>7715</v>
      </c>
      <c r="Z715" t="s">
        <v>7716</v>
      </c>
      <c r="AA715" t="s">
        <v>12275</v>
      </c>
      <c r="AB715" t="s">
        <v>12276</v>
      </c>
      <c r="AC715" t="s">
        <v>74</v>
      </c>
      <c r="AD715" t="s">
        <v>74</v>
      </c>
      <c r="AE715" t="s">
        <v>74</v>
      </c>
      <c r="AF715" t="s">
        <v>74</v>
      </c>
      <c r="AG715">
        <v>91</v>
      </c>
      <c r="AH715">
        <v>7</v>
      </c>
      <c r="AI715">
        <v>7</v>
      </c>
      <c r="AJ715">
        <v>3</v>
      </c>
      <c r="AK715">
        <v>48</v>
      </c>
      <c r="AL715" t="s">
        <v>218</v>
      </c>
      <c r="AM715" t="s">
        <v>219</v>
      </c>
      <c r="AN715" t="s">
        <v>220</v>
      </c>
      <c r="AO715" t="s">
        <v>3431</v>
      </c>
      <c r="AP715" t="s">
        <v>3432</v>
      </c>
      <c r="AQ715" t="s">
        <v>74</v>
      </c>
      <c r="AR715" t="s">
        <v>3433</v>
      </c>
      <c r="AS715" t="s">
        <v>3434</v>
      </c>
      <c r="AT715" t="s">
        <v>122</v>
      </c>
      <c r="AU715">
        <v>2019</v>
      </c>
      <c r="AV715">
        <v>57</v>
      </c>
      <c r="AW715">
        <v>2</v>
      </c>
      <c r="AX715" t="s">
        <v>74</v>
      </c>
      <c r="AY715" t="s">
        <v>74</v>
      </c>
      <c r="AZ715" t="s">
        <v>74</v>
      </c>
      <c r="BA715" t="s">
        <v>74</v>
      </c>
      <c r="BB715">
        <v>150</v>
      </c>
      <c r="BC715">
        <v>173</v>
      </c>
      <c r="BD715" t="s">
        <v>74</v>
      </c>
      <c r="BE715" t="s">
        <v>12277</v>
      </c>
      <c r="BF715" t="str">
        <f>HYPERLINK("http://dx.doi.org/10.1111/1744-7941.12178","http://dx.doi.org/10.1111/1744-7941.12178")</f>
        <v>http://dx.doi.org/10.1111/1744-7941.12178</v>
      </c>
      <c r="BG715" t="s">
        <v>74</v>
      </c>
      <c r="BH715" t="s">
        <v>74</v>
      </c>
      <c r="BI715">
        <v>24</v>
      </c>
      <c r="BJ715" t="s">
        <v>673</v>
      </c>
      <c r="BK715" t="s">
        <v>94</v>
      </c>
      <c r="BL715" t="s">
        <v>95</v>
      </c>
      <c r="BM715" t="s">
        <v>12278</v>
      </c>
      <c r="BN715" t="s">
        <v>74</v>
      </c>
      <c r="BO715" t="s">
        <v>378</v>
      </c>
      <c r="BP715" t="s">
        <v>74</v>
      </c>
      <c r="BQ715" t="s">
        <v>74</v>
      </c>
      <c r="BR715" t="s">
        <v>97</v>
      </c>
      <c r="BS715" t="s">
        <v>12279</v>
      </c>
      <c r="BT715" t="str">
        <f>HYPERLINK("https%3A%2F%2Fwww.webofscience.com%2Fwos%2Fwoscc%2Ffull-record%2FWOS:000467739800002","View Full Record in Web of Science")</f>
        <v>View Full Record in Web of Science</v>
      </c>
    </row>
    <row r="716" spans="1:72" x14ac:dyDescent="0.25">
      <c r="A716" t="s">
        <v>72</v>
      </c>
      <c r="B716" t="s">
        <v>12280</v>
      </c>
      <c r="C716" t="s">
        <v>74</v>
      </c>
      <c r="D716" t="s">
        <v>74</v>
      </c>
      <c r="E716" t="s">
        <v>74</v>
      </c>
      <c r="F716" t="s">
        <v>12281</v>
      </c>
      <c r="G716" t="s">
        <v>74</v>
      </c>
      <c r="H716" t="s">
        <v>74</v>
      </c>
      <c r="I716" t="s">
        <v>12282</v>
      </c>
      <c r="J716" t="s">
        <v>2463</v>
      </c>
      <c r="K716" t="s">
        <v>74</v>
      </c>
      <c r="L716" t="s">
        <v>74</v>
      </c>
      <c r="M716" t="s">
        <v>77</v>
      </c>
      <c r="N716" t="s">
        <v>78</v>
      </c>
      <c r="O716" t="s">
        <v>74</v>
      </c>
      <c r="P716" t="s">
        <v>74</v>
      </c>
      <c r="Q716" t="s">
        <v>74</v>
      </c>
      <c r="R716" t="s">
        <v>74</v>
      </c>
      <c r="S716" t="s">
        <v>74</v>
      </c>
      <c r="T716" t="s">
        <v>12283</v>
      </c>
      <c r="U716" t="s">
        <v>12284</v>
      </c>
      <c r="V716" t="s">
        <v>12285</v>
      </c>
      <c r="W716" t="s">
        <v>12286</v>
      </c>
      <c r="X716" t="s">
        <v>12287</v>
      </c>
      <c r="Y716" t="s">
        <v>12288</v>
      </c>
      <c r="Z716" t="s">
        <v>12289</v>
      </c>
      <c r="AA716" t="s">
        <v>12290</v>
      </c>
      <c r="AB716" t="s">
        <v>12291</v>
      </c>
      <c r="AC716" t="s">
        <v>12292</v>
      </c>
      <c r="AD716" t="s">
        <v>12292</v>
      </c>
      <c r="AE716" t="s">
        <v>12293</v>
      </c>
      <c r="AF716" t="s">
        <v>74</v>
      </c>
      <c r="AG716">
        <v>88</v>
      </c>
      <c r="AH716">
        <v>7</v>
      </c>
      <c r="AI716">
        <v>7</v>
      </c>
      <c r="AJ716">
        <v>14</v>
      </c>
      <c r="AK716">
        <v>66</v>
      </c>
      <c r="AL716" t="s">
        <v>2473</v>
      </c>
      <c r="AM716" t="s">
        <v>2102</v>
      </c>
      <c r="AN716" t="s">
        <v>2474</v>
      </c>
      <c r="AO716" t="s">
        <v>74</v>
      </c>
      <c r="AP716" t="s">
        <v>2475</v>
      </c>
      <c r="AQ716" t="s">
        <v>74</v>
      </c>
      <c r="AR716" t="s">
        <v>2476</v>
      </c>
      <c r="AS716" t="s">
        <v>2477</v>
      </c>
      <c r="AT716" t="s">
        <v>3510</v>
      </c>
      <c r="AU716">
        <v>2019</v>
      </c>
      <c r="AV716">
        <v>11</v>
      </c>
      <c r="AW716">
        <v>6</v>
      </c>
      <c r="AX716" t="s">
        <v>74</v>
      </c>
      <c r="AY716" t="s">
        <v>74</v>
      </c>
      <c r="AZ716" t="s">
        <v>74</v>
      </c>
      <c r="BA716" t="s">
        <v>74</v>
      </c>
      <c r="BB716" t="s">
        <v>74</v>
      </c>
      <c r="BC716" t="s">
        <v>74</v>
      </c>
      <c r="BD716">
        <v>1657</v>
      </c>
      <c r="BE716" t="s">
        <v>12294</v>
      </c>
      <c r="BF716" t="str">
        <f>HYPERLINK("http://dx.doi.org/10.3390/su11061657","http://dx.doi.org/10.3390/su11061657")</f>
        <v>http://dx.doi.org/10.3390/su11061657</v>
      </c>
      <c r="BG716" t="s">
        <v>74</v>
      </c>
      <c r="BH716" t="s">
        <v>74</v>
      </c>
      <c r="BI716">
        <v>19</v>
      </c>
      <c r="BJ716" t="s">
        <v>2479</v>
      </c>
      <c r="BK716" t="s">
        <v>147</v>
      </c>
      <c r="BL716" t="s">
        <v>2480</v>
      </c>
      <c r="BM716" t="s">
        <v>3512</v>
      </c>
      <c r="BN716" t="s">
        <v>74</v>
      </c>
      <c r="BO716" t="s">
        <v>12295</v>
      </c>
      <c r="BP716" t="s">
        <v>74</v>
      </c>
      <c r="BQ716" t="s">
        <v>74</v>
      </c>
      <c r="BR716" t="s">
        <v>97</v>
      </c>
      <c r="BS716" t="s">
        <v>12296</v>
      </c>
      <c r="BT716" t="str">
        <f>HYPERLINK("https%3A%2F%2Fwww.webofscience.com%2Fwos%2Fwoscc%2Ffull-record%2FWOS:000465613000112","View Full Record in Web of Science")</f>
        <v>View Full Record in Web of Science</v>
      </c>
    </row>
    <row r="717" spans="1:72" x14ac:dyDescent="0.25">
      <c r="A717" t="s">
        <v>72</v>
      </c>
      <c r="B717" t="s">
        <v>12297</v>
      </c>
      <c r="C717" t="s">
        <v>74</v>
      </c>
      <c r="D717" t="s">
        <v>74</v>
      </c>
      <c r="E717" t="s">
        <v>74</v>
      </c>
      <c r="F717" t="s">
        <v>12298</v>
      </c>
      <c r="G717" t="s">
        <v>74</v>
      </c>
      <c r="H717" t="s">
        <v>74</v>
      </c>
      <c r="I717" t="s">
        <v>12299</v>
      </c>
      <c r="J717" t="s">
        <v>12300</v>
      </c>
      <c r="K717" t="s">
        <v>74</v>
      </c>
      <c r="L717" t="s">
        <v>74</v>
      </c>
      <c r="M717" t="s">
        <v>77</v>
      </c>
      <c r="N717" t="s">
        <v>78</v>
      </c>
      <c r="O717" t="s">
        <v>74</v>
      </c>
      <c r="P717" t="s">
        <v>74</v>
      </c>
      <c r="Q717" t="s">
        <v>74</v>
      </c>
      <c r="R717" t="s">
        <v>74</v>
      </c>
      <c r="S717" t="s">
        <v>74</v>
      </c>
      <c r="T717" t="s">
        <v>12301</v>
      </c>
      <c r="U717" t="s">
        <v>12302</v>
      </c>
      <c r="V717" t="s">
        <v>12303</v>
      </c>
      <c r="W717" t="s">
        <v>12304</v>
      </c>
      <c r="X717" t="s">
        <v>597</v>
      </c>
      <c r="Y717" t="s">
        <v>12305</v>
      </c>
      <c r="Z717" t="s">
        <v>12306</v>
      </c>
      <c r="AA717" t="s">
        <v>12307</v>
      </c>
      <c r="AB717" t="s">
        <v>12308</v>
      </c>
      <c r="AC717" t="s">
        <v>74</v>
      </c>
      <c r="AD717" t="s">
        <v>74</v>
      </c>
      <c r="AE717" t="s">
        <v>74</v>
      </c>
      <c r="AF717" t="s">
        <v>74</v>
      </c>
      <c r="AG717">
        <v>57</v>
      </c>
      <c r="AH717">
        <v>7</v>
      </c>
      <c r="AI717">
        <v>7</v>
      </c>
      <c r="AJ717">
        <v>1</v>
      </c>
      <c r="AK717">
        <v>34</v>
      </c>
      <c r="AL717" t="s">
        <v>218</v>
      </c>
      <c r="AM717" t="s">
        <v>219</v>
      </c>
      <c r="AN717" t="s">
        <v>220</v>
      </c>
      <c r="AO717" t="s">
        <v>12309</v>
      </c>
      <c r="AP717" t="s">
        <v>12310</v>
      </c>
      <c r="AQ717" t="s">
        <v>74</v>
      </c>
      <c r="AR717" t="s">
        <v>12311</v>
      </c>
      <c r="AS717" t="s">
        <v>12312</v>
      </c>
      <c r="AT717" t="s">
        <v>7883</v>
      </c>
      <c r="AU717">
        <v>2018</v>
      </c>
      <c r="AV717">
        <v>33</v>
      </c>
      <c r="AW717">
        <v>3</v>
      </c>
      <c r="AX717" t="s">
        <v>74</v>
      </c>
      <c r="AY717" t="s">
        <v>74</v>
      </c>
      <c r="AZ717" t="s">
        <v>74</v>
      </c>
      <c r="BA717" t="s">
        <v>74</v>
      </c>
      <c r="BB717" t="s">
        <v>12313</v>
      </c>
      <c r="BC717" t="s">
        <v>12314</v>
      </c>
      <c r="BD717" t="s">
        <v>74</v>
      </c>
      <c r="BE717" t="s">
        <v>12315</v>
      </c>
      <c r="BF717" t="str">
        <f>HYPERLINK("http://dx.doi.org/10.1002/hpm.2549","http://dx.doi.org/10.1002/hpm.2549")</f>
        <v>http://dx.doi.org/10.1002/hpm.2549</v>
      </c>
      <c r="BG717" t="s">
        <v>74</v>
      </c>
      <c r="BH717" t="s">
        <v>74</v>
      </c>
      <c r="BI717">
        <v>12</v>
      </c>
      <c r="BJ717" t="s">
        <v>12316</v>
      </c>
      <c r="BK717" t="s">
        <v>94</v>
      </c>
      <c r="BL717" t="s">
        <v>12317</v>
      </c>
      <c r="BM717" t="s">
        <v>12318</v>
      </c>
      <c r="BN717">
        <v>29770974</v>
      </c>
      <c r="BO717" t="s">
        <v>74</v>
      </c>
      <c r="BP717" t="s">
        <v>74</v>
      </c>
      <c r="BQ717" t="s">
        <v>74</v>
      </c>
      <c r="BR717" t="s">
        <v>97</v>
      </c>
      <c r="BS717" t="s">
        <v>12319</v>
      </c>
      <c r="BT717" t="str">
        <f>HYPERLINK("https%3A%2F%2Fwww.webofscience.com%2Fwos%2Fwoscc%2Ffull-record%2FWOS:000442224700030","View Full Record in Web of Science")</f>
        <v>View Full Record in Web of Science</v>
      </c>
    </row>
    <row r="718" spans="1:72" x14ac:dyDescent="0.25">
      <c r="A718" t="s">
        <v>72</v>
      </c>
      <c r="B718" t="s">
        <v>12320</v>
      </c>
      <c r="C718" t="s">
        <v>74</v>
      </c>
      <c r="D718" t="s">
        <v>74</v>
      </c>
      <c r="E718" t="s">
        <v>74</v>
      </c>
      <c r="F718" t="s">
        <v>12321</v>
      </c>
      <c r="G718" t="s">
        <v>74</v>
      </c>
      <c r="H718" t="s">
        <v>74</v>
      </c>
      <c r="I718" t="s">
        <v>12322</v>
      </c>
      <c r="J718" t="s">
        <v>12323</v>
      </c>
      <c r="K718" t="s">
        <v>74</v>
      </c>
      <c r="L718" t="s">
        <v>74</v>
      </c>
      <c r="M718" t="s">
        <v>77</v>
      </c>
      <c r="N718" t="s">
        <v>78</v>
      </c>
      <c r="O718" t="s">
        <v>74</v>
      </c>
      <c r="P718" t="s">
        <v>74</v>
      </c>
      <c r="Q718" t="s">
        <v>74</v>
      </c>
      <c r="R718" t="s">
        <v>74</v>
      </c>
      <c r="S718" t="s">
        <v>74</v>
      </c>
      <c r="T718" t="s">
        <v>12324</v>
      </c>
      <c r="U718" t="s">
        <v>12325</v>
      </c>
      <c r="V718" t="s">
        <v>12326</v>
      </c>
      <c r="W718" t="s">
        <v>12327</v>
      </c>
      <c r="X718" t="s">
        <v>12328</v>
      </c>
      <c r="Y718" t="s">
        <v>12329</v>
      </c>
      <c r="Z718" t="s">
        <v>12330</v>
      </c>
      <c r="AA718" t="s">
        <v>74</v>
      </c>
      <c r="AB718" t="s">
        <v>12331</v>
      </c>
      <c r="AC718" t="s">
        <v>74</v>
      </c>
      <c r="AD718" t="s">
        <v>74</v>
      </c>
      <c r="AE718" t="s">
        <v>74</v>
      </c>
      <c r="AF718" t="s">
        <v>74</v>
      </c>
      <c r="AG718">
        <v>39</v>
      </c>
      <c r="AH718">
        <v>7</v>
      </c>
      <c r="AI718">
        <v>7</v>
      </c>
      <c r="AJ718">
        <v>2</v>
      </c>
      <c r="AK718">
        <v>11</v>
      </c>
      <c r="AL718" t="s">
        <v>602</v>
      </c>
      <c r="AM718" t="s">
        <v>160</v>
      </c>
      <c r="AN718" t="s">
        <v>603</v>
      </c>
      <c r="AO718" t="s">
        <v>12332</v>
      </c>
      <c r="AP718" t="s">
        <v>74</v>
      </c>
      <c r="AQ718" t="s">
        <v>74</v>
      </c>
      <c r="AR718" t="s">
        <v>12333</v>
      </c>
      <c r="AS718" t="s">
        <v>12334</v>
      </c>
      <c r="AT718" t="s">
        <v>392</v>
      </c>
      <c r="AU718">
        <v>2017</v>
      </c>
      <c r="AV718">
        <v>21</v>
      </c>
      <c r="AW718" t="s">
        <v>74</v>
      </c>
      <c r="AX718" t="s">
        <v>9890</v>
      </c>
      <c r="AY718" t="s">
        <v>74</v>
      </c>
      <c r="AZ718" t="s">
        <v>74</v>
      </c>
      <c r="BA718" t="s">
        <v>74</v>
      </c>
      <c r="BB718">
        <v>390</v>
      </c>
      <c r="BC718">
        <v>405</v>
      </c>
      <c r="BD718" t="s">
        <v>74</v>
      </c>
      <c r="BE718" t="s">
        <v>12335</v>
      </c>
      <c r="BF718" t="str">
        <f>HYPERLINK("http://dx.doi.org/10.1016/j.spasta.2017.02.004","http://dx.doi.org/10.1016/j.spasta.2017.02.004")</f>
        <v>http://dx.doi.org/10.1016/j.spasta.2017.02.004</v>
      </c>
      <c r="BG718" t="s">
        <v>74</v>
      </c>
      <c r="BH718" t="s">
        <v>74</v>
      </c>
      <c r="BI718">
        <v>16</v>
      </c>
      <c r="BJ718" t="s">
        <v>12336</v>
      </c>
      <c r="BK718" t="s">
        <v>147</v>
      </c>
      <c r="BL718" t="s">
        <v>12337</v>
      </c>
      <c r="BM718" t="s">
        <v>12338</v>
      </c>
      <c r="BN718" t="s">
        <v>74</v>
      </c>
      <c r="BO718" t="s">
        <v>74</v>
      </c>
      <c r="BP718" t="s">
        <v>74</v>
      </c>
      <c r="BQ718" t="s">
        <v>74</v>
      </c>
      <c r="BR718" t="s">
        <v>97</v>
      </c>
      <c r="BS718" t="s">
        <v>12339</v>
      </c>
      <c r="BT718" t="str">
        <f>HYPERLINK("https%3A%2F%2Fwww.webofscience.com%2Fwos%2Fwoscc%2Ffull-record%2FWOS:000410649600005","View Full Record in Web of Science")</f>
        <v>View Full Record in Web of Science</v>
      </c>
    </row>
    <row r="719" spans="1:72" x14ac:dyDescent="0.25">
      <c r="A719" t="s">
        <v>72</v>
      </c>
      <c r="B719" t="s">
        <v>12340</v>
      </c>
      <c r="C719" t="s">
        <v>74</v>
      </c>
      <c r="D719" t="s">
        <v>74</v>
      </c>
      <c r="E719" t="s">
        <v>74</v>
      </c>
      <c r="F719" t="s">
        <v>12341</v>
      </c>
      <c r="G719" t="s">
        <v>74</v>
      </c>
      <c r="H719" t="s">
        <v>74</v>
      </c>
      <c r="I719" t="s">
        <v>12342</v>
      </c>
      <c r="J719" t="s">
        <v>12343</v>
      </c>
      <c r="K719" t="s">
        <v>74</v>
      </c>
      <c r="L719" t="s">
        <v>74</v>
      </c>
      <c r="M719" t="s">
        <v>77</v>
      </c>
      <c r="N719" t="s">
        <v>78</v>
      </c>
      <c r="O719" t="s">
        <v>74</v>
      </c>
      <c r="P719" t="s">
        <v>74</v>
      </c>
      <c r="Q719" t="s">
        <v>74</v>
      </c>
      <c r="R719" t="s">
        <v>74</v>
      </c>
      <c r="S719" t="s">
        <v>74</v>
      </c>
      <c r="T719" t="s">
        <v>12344</v>
      </c>
      <c r="U719" t="s">
        <v>12345</v>
      </c>
      <c r="V719" t="s">
        <v>12346</v>
      </c>
      <c r="W719" t="s">
        <v>12347</v>
      </c>
      <c r="X719" t="s">
        <v>12348</v>
      </c>
      <c r="Y719" t="s">
        <v>12349</v>
      </c>
      <c r="Z719" t="s">
        <v>12350</v>
      </c>
      <c r="AA719" t="s">
        <v>12351</v>
      </c>
      <c r="AB719" t="s">
        <v>12352</v>
      </c>
      <c r="AC719" t="s">
        <v>74</v>
      </c>
      <c r="AD719" t="s">
        <v>74</v>
      </c>
      <c r="AE719" t="s">
        <v>74</v>
      </c>
      <c r="AF719" t="s">
        <v>74</v>
      </c>
      <c r="AG719">
        <v>103</v>
      </c>
      <c r="AH719">
        <v>7</v>
      </c>
      <c r="AI719">
        <v>9</v>
      </c>
      <c r="AJ719">
        <v>0</v>
      </c>
      <c r="AK719">
        <v>29</v>
      </c>
      <c r="AL719" t="s">
        <v>12353</v>
      </c>
      <c r="AM719" t="s">
        <v>12354</v>
      </c>
      <c r="AN719" t="s">
        <v>12355</v>
      </c>
      <c r="AO719" t="s">
        <v>12356</v>
      </c>
      <c r="AP719" t="s">
        <v>12357</v>
      </c>
      <c r="AQ719" t="s">
        <v>74</v>
      </c>
      <c r="AR719" t="s">
        <v>12358</v>
      </c>
      <c r="AS719" t="s">
        <v>12359</v>
      </c>
      <c r="AT719" t="s">
        <v>91</v>
      </c>
      <c r="AU719">
        <v>2017</v>
      </c>
      <c r="AV719">
        <v>17</v>
      </c>
      <c r="AW719">
        <v>3</v>
      </c>
      <c r="AX719" t="s">
        <v>74</v>
      </c>
      <c r="AY719" t="s">
        <v>74</v>
      </c>
      <c r="AZ719" t="s">
        <v>74</v>
      </c>
      <c r="BA719" t="s">
        <v>74</v>
      </c>
      <c r="BB719">
        <v>945</v>
      </c>
      <c r="BC719">
        <v>968</v>
      </c>
      <c r="BD719" t="s">
        <v>74</v>
      </c>
      <c r="BE719" t="s">
        <v>12360</v>
      </c>
      <c r="BF719" t="str">
        <f>HYPERLINK("http://dx.doi.org/10.12738/estp.2017.3.0520","http://dx.doi.org/10.12738/estp.2017.3.0520")</f>
        <v>http://dx.doi.org/10.12738/estp.2017.3.0520</v>
      </c>
      <c r="BG719" t="s">
        <v>74</v>
      </c>
      <c r="BH719" t="s">
        <v>74</v>
      </c>
      <c r="BI719">
        <v>24</v>
      </c>
      <c r="BJ719" t="s">
        <v>815</v>
      </c>
      <c r="BK719" t="s">
        <v>94</v>
      </c>
      <c r="BL719" t="s">
        <v>815</v>
      </c>
      <c r="BM719" t="s">
        <v>12361</v>
      </c>
      <c r="BN719" t="s">
        <v>74</v>
      </c>
      <c r="BO719" t="s">
        <v>229</v>
      </c>
      <c r="BP719" t="s">
        <v>74</v>
      </c>
      <c r="BQ719" t="s">
        <v>74</v>
      </c>
      <c r="BR719" t="s">
        <v>97</v>
      </c>
      <c r="BS719" t="s">
        <v>12362</v>
      </c>
      <c r="BT719" t="str">
        <f>HYPERLINK("https%3A%2F%2Fwww.webofscience.com%2Fwos%2Fwoscc%2Ffull-record%2FWOS:000405956500011","View Full Record in Web of Science")</f>
        <v>View Full Record in Web of Science</v>
      </c>
    </row>
    <row r="720" spans="1:72" x14ac:dyDescent="0.25">
      <c r="A720" t="s">
        <v>72</v>
      </c>
      <c r="B720" t="s">
        <v>12363</v>
      </c>
      <c r="C720" t="s">
        <v>74</v>
      </c>
      <c r="D720" t="s">
        <v>74</v>
      </c>
      <c r="E720" t="s">
        <v>74</v>
      </c>
      <c r="F720" t="s">
        <v>12364</v>
      </c>
      <c r="G720" t="s">
        <v>74</v>
      </c>
      <c r="H720" t="s">
        <v>74</v>
      </c>
      <c r="I720" t="s">
        <v>12365</v>
      </c>
      <c r="J720" t="s">
        <v>12366</v>
      </c>
      <c r="K720" t="s">
        <v>74</v>
      </c>
      <c r="L720" t="s">
        <v>74</v>
      </c>
      <c r="M720" t="s">
        <v>77</v>
      </c>
      <c r="N720" t="s">
        <v>78</v>
      </c>
      <c r="O720" t="s">
        <v>74</v>
      </c>
      <c r="P720" t="s">
        <v>74</v>
      </c>
      <c r="Q720" t="s">
        <v>74</v>
      </c>
      <c r="R720" t="s">
        <v>74</v>
      </c>
      <c r="S720" t="s">
        <v>74</v>
      </c>
      <c r="T720" t="s">
        <v>12367</v>
      </c>
      <c r="U720" t="s">
        <v>12368</v>
      </c>
      <c r="V720" t="s">
        <v>12369</v>
      </c>
      <c r="W720" t="s">
        <v>12370</v>
      </c>
      <c r="X720" t="s">
        <v>12371</v>
      </c>
      <c r="Y720" t="s">
        <v>12372</v>
      </c>
      <c r="Z720" t="s">
        <v>12373</v>
      </c>
      <c r="AA720" t="s">
        <v>12374</v>
      </c>
      <c r="AB720" t="s">
        <v>12375</v>
      </c>
      <c r="AC720" t="s">
        <v>12376</v>
      </c>
      <c r="AD720" t="s">
        <v>12377</v>
      </c>
      <c r="AE720" t="s">
        <v>12378</v>
      </c>
      <c r="AF720" t="s">
        <v>74</v>
      </c>
      <c r="AG720">
        <v>42</v>
      </c>
      <c r="AH720">
        <v>7</v>
      </c>
      <c r="AI720">
        <v>7</v>
      </c>
      <c r="AJ720">
        <v>1</v>
      </c>
      <c r="AK720">
        <v>29</v>
      </c>
      <c r="AL720" t="s">
        <v>12379</v>
      </c>
      <c r="AM720" t="s">
        <v>12380</v>
      </c>
      <c r="AN720" t="s">
        <v>12381</v>
      </c>
      <c r="AO720" t="s">
        <v>12382</v>
      </c>
      <c r="AP720" t="s">
        <v>12383</v>
      </c>
      <c r="AQ720" t="s">
        <v>74</v>
      </c>
      <c r="AR720" t="s">
        <v>12384</v>
      </c>
      <c r="AS720" t="s">
        <v>12385</v>
      </c>
      <c r="AT720" t="s">
        <v>200</v>
      </c>
      <c r="AU720">
        <v>2017</v>
      </c>
      <c r="AV720">
        <v>38</v>
      </c>
      <c r="AW720">
        <v>5</v>
      </c>
      <c r="AX720" t="s">
        <v>74</v>
      </c>
      <c r="AY720" t="s">
        <v>74</v>
      </c>
      <c r="AZ720" t="s">
        <v>74</v>
      </c>
      <c r="BA720" t="s">
        <v>74</v>
      </c>
      <c r="BB720" t="s">
        <v>74</v>
      </c>
      <c r="BC720" t="s">
        <v>74</v>
      </c>
      <c r="BD720">
        <v>1600700</v>
      </c>
      <c r="BE720" t="s">
        <v>12386</v>
      </c>
      <c r="BF720" t="str">
        <f>HYPERLINK("http://dx.doi.org/10.1002/marc.201600700","http://dx.doi.org/10.1002/marc.201600700")</f>
        <v>http://dx.doi.org/10.1002/marc.201600700</v>
      </c>
      <c r="BG720" t="s">
        <v>74</v>
      </c>
      <c r="BH720" t="s">
        <v>74</v>
      </c>
      <c r="BI720">
        <v>8</v>
      </c>
      <c r="BJ720" t="s">
        <v>12387</v>
      </c>
      <c r="BK720" t="s">
        <v>283</v>
      </c>
      <c r="BL720" t="s">
        <v>12387</v>
      </c>
      <c r="BM720" t="s">
        <v>12388</v>
      </c>
      <c r="BN720">
        <v>28117523</v>
      </c>
      <c r="BO720" t="s">
        <v>74</v>
      </c>
      <c r="BP720" t="s">
        <v>74</v>
      </c>
      <c r="BQ720" t="s">
        <v>74</v>
      </c>
      <c r="BR720" t="s">
        <v>97</v>
      </c>
      <c r="BS720" t="s">
        <v>12389</v>
      </c>
      <c r="BT720" t="str">
        <f>HYPERLINK("https%3A%2F%2Fwww.webofscience.com%2Fwos%2Fwoscc%2Ffull-record%2FWOS:000395398100005","View Full Record in Web of Science")</f>
        <v>View Full Record in Web of Science</v>
      </c>
    </row>
    <row r="721" spans="1:72" x14ac:dyDescent="0.25">
      <c r="A721" t="s">
        <v>72</v>
      </c>
      <c r="B721" t="s">
        <v>12390</v>
      </c>
      <c r="C721" t="s">
        <v>74</v>
      </c>
      <c r="D721" t="s">
        <v>74</v>
      </c>
      <c r="E721" t="s">
        <v>74</v>
      </c>
      <c r="F721" t="s">
        <v>12391</v>
      </c>
      <c r="G721" t="s">
        <v>74</v>
      </c>
      <c r="H721" t="s">
        <v>74</v>
      </c>
      <c r="I721" t="s">
        <v>12392</v>
      </c>
      <c r="J721" t="s">
        <v>12393</v>
      </c>
      <c r="K721" t="s">
        <v>74</v>
      </c>
      <c r="L721" t="s">
        <v>74</v>
      </c>
      <c r="M721" t="s">
        <v>77</v>
      </c>
      <c r="N721" t="s">
        <v>78</v>
      </c>
      <c r="O721" t="s">
        <v>74</v>
      </c>
      <c r="P721" t="s">
        <v>74</v>
      </c>
      <c r="Q721" t="s">
        <v>74</v>
      </c>
      <c r="R721" t="s">
        <v>74</v>
      </c>
      <c r="S721" t="s">
        <v>74</v>
      </c>
      <c r="T721" t="s">
        <v>12394</v>
      </c>
      <c r="U721" t="s">
        <v>12395</v>
      </c>
      <c r="V721" t="s">
        <v>12396</v>
      </c>
      <c r="W721" t="s">
        <v>12397</v>
      </c>
      <c r="X721" t="s">
        <v>12398</v>
      </c>
      <c r="Y721" t="s">
        <v>6063</v>
      </c>
      <c r="Z721" t="s">
        <v>12399</v>
      </c>
      <c r="AA721" t="s">
        <v>12400</v>
      </c>
      <c r="AB721" t="s">
        <v>12401</v>
      </c>
      <c r="AC721" t="s">
        <v>12402</v>
      </c>
      <c r="AD721" t="s">
        <v>12403</v>
      </c>
      <c r="AE721" t="s">
        <v>12404</v>
      </c>
      <c r="AF721" t="s">
        <v>74</v>
      </c>
      <c r="AG721">
        <v>55</v>
      </c>
      <c r="AH721">
        <v>7</v>
      </c>
      <c r="AI721">
        <v>7</v>
      </c>
      <c r="AJ721">
        <v>0</v>
      </c>
      <c r="AK721">
        <v>7</v>
      </c>
      <c r="AL721" t="s">
        <v>1099</v>
      </c>
      <c r="AM721" t="s">
        <v>305</v>
      </c>
      <c r="AN721" t="s">
        <v>1100</v>
      </c>
      <c r="AO721" t="s">
        <v>12405</v>
      </c>
      <c r="AP721" t="s">
        <v>12406</v>
      </c>
      <c r="AQ721" t="s">
        <v>74</v>
      </c>
      <c r="AR721" t="s">
        <v>12407</v>
      </c>
      <c r="AS721" t="s">
        <v>12408</v>
      </c>
      <c r="AT721" t="s">
        <v>74</v>
      </c>
      <c r="AU721">
        <v>2017</v>
      </c>
      <c r="AV721">
        <v>9</v>
      </c>
      <c r="AW721">
        <v>1</v>
      </c>
      <c r="AX721" t="s">
        <v>74</v>
      </c>
      <c r="AY721" t="s">
        <v>74</v>
      </c>
      <c r="AZ721" t="s">
        <v>74</v>
      </c>
      <c r="BA721" t="s">
        <v>74</v>
      </c>
      <c r="BB721">
        <v>45</v>
      </c>
      <c r="BC721">
        <v>73</v>
      </c>
      <c r="BD721" t="s">
        <v>74</v>
      </c>
      <c r="BE721" t="s">
        <v>12409</v>
      </c>
      <c r="BF721" t="str">
        <f>HYPERLINK("http://dx.doi.org/10.1080/19378629.2017.1312419","http://dx.doi.org/10.1080/19378629.2017.1312419")</f>
        <v>http://dx.doi.org/10.1080/19378629.2017.1312419</v>
      </c>
      <c r="BG721" t="s">
        <v>74</v>
      </c>
      <c r="BH721" t="s">
        <v>74</v>
      </c>
      <c r="BI721">
        <v>29</v>
      </c>
      <c r="BJ721" t="s">
        <v>12410</v>
      </c>
      <c r="BK721" t="s">
        <v>147</v>
      </c>
      <c r="BL721" t="s">
        <v>12411</v>
      </c>
      <c r="BM721" t="s">
        <v>12412</v>
      </c>
      <c r="BN721" t="s">
        <v>74</v>
      </c>
      <c r="BO721" t="s">
        <v>74</v>
      </c>
      <c r="BP721" t="s">
        <v>74</v>
      </c>
      <c r="BQ721" t="s">
        <v>74</v>
      </c>
      <c r="BR721" t="s">
        <v>97</v>
      </c>
      <c r="BS721" t="s">
        <v>12413</v>
      </c>
      <c r="BT721" t="str">
        <f>HYPERLINK("https%3A%2F%2Fwww.webofscience.com%2Fwos%2Fwoscc%2Ffull-record%2FWOS:000401465300004","View Full Record in Web of Science")</f>
        <v>View Full Record in Web of Science</v>
      </c>
    </row>
    <row r="722" spans="1:72" x14ac:dyDescent="0.25">
      <c r="A722" t="s">
        <v>72</v>
      </c>
      <c r="B722" t="s">
        <v>12414</v>
      </c>
      <c r="C722" t="s">
        <v>74</v>
      </c>
      <c r="D722" t="s">
        <v>74</v>
      </c>
      <c r="E722" t="s">
        <v>74</v>
      </c>
      <c r="F722" t="s">
        <v>12415</v>
      </c>
      <c r="G722" t="s">
        <v>74</v>
      </c>
      <c r="H722" t="s">
        <v>74</v>
      </c>
      <c r="I722" t="s">
        <v>12416</v>
      </c>
      <c r="J722" t="s">
        <v>779</v>
      </c>
      <c r="K722" t="s">
        <v>74</v>
      </c>
      <c r="L722" t="s">
        <v>74</v>
      </c>
      <c r="M722" t="s">
        <v>77</v>
      </c>
      <c r="N722" t="s">
        <v>78</v>
      </c>
      <c r="O722" t="s">
        <v>74</v>
      </c>
      <c r="P722" t="s">
        <v>74</v>
      </c>
      <c r="Q722" t="s">
        <v>74</v>
      </c>
      <c r="R722" t="s">
        <v>74</v>
      </c>
      <c r="S722" t="s">
        <v>74</v>
      </c>
      <c r="T722" t="s">
        <v>74</v>
      </c>
      <c r="U722" t="s">
        <v>12417</v>
      </c>
      <c r="V722" t="s">
        <v>12418</v>
      </c>
      <c r="W722" t="s">
        <v>12419</v>
      </c>
      <c r="X722" t="s">
        <v>12420</v>
      </c>
      <c r="Y722" t="s">
        <v>12421</v>
      </c>
      <c r="Z722" t="s">
        <v>12422</v>
      </c>
      <c r="AA722" t="s">
        <v>5047</v>
      </c>
      <c r="AB722" t="s">
        <v>12423</v>
      </c>
      <c r="AC722" t="s">
        <v>74</v>
      </c>
      <c r="AD722" t="s">
        <v>74</v>
      </c>
      <c r="AE722" t="s">
        <v>74</v>
      </c>
      <c r="AF722" t="s">
        <v>74</v>
      </c>
      <c r="AG722">
        <v>83</v>
      </c>
      <c r="AH722">
        <v>7</v>
      </c>
      <c r="AI722">
        <v>7</v>
      </c>
      <c r="AJ722">
        <v>2</v>
      </c>
      <c r="AK722">
        <v>62</v>
      </c>
      <c r="AL722" t="s">
        <v>218</v>
      </c>
      <c r="AM722" t="s">
        <v>219</v>
      </c>
      <c r="AN722" t="s">
        <v>220</v>
      </c>
      <c r="AO722" t="s">
        <v>789</v>
      </c>
      <c r="AP722" t="s">
        <v>1320</v>
      </c>
      <c r="AQ722" t="s">
        <v>74</v>
      </c>
      <c r="AR722" t="s">
        <v>790</v>
      </c>
      <c r="AS722" t="s">
        <v>791</v>
      </c>
      <c r="AT722" t="s">
        <v>584</v>
      </c>
      <c r="AU722">
        <v>2015</v>
      </c>
      <c r="AV722">
        <v>32</v>
      </c>
      <c r="AW722">
        <v>6</v>
      </c>
      <c r="AX722" t="s">
        <v>74</v>
      </c>
      <c r="AY722" t="s">
        <v>74</v>
      </c>
      <c r="AZ722" t="s">
        <v>74</v>
      </c>
      <c r="BA722" t="s">
        <v>74</v>
      </c>
      <c r="BB722">
        <v>939</v>
      </c>
      <c r="BC722">
        <v>953</v>
      </c>
      <c r="BD722" t="s">
        <v>74</v>
      </c>
      <c r="BE722" t="s">
        <v>12424</v>
      </c>
      <c r="BF722" t="str">
        <f>HYPERLINK("http://dx.doi.org/10.1111/jpim.12210","http://dx.doi.org/10.1111/jpim.12210")</f>
        <v>http://dx.doi.org/10.1111/jpim.12210</v>
      </c>
      <c r="BG722" t="s">
        <v>74</v>
      </c>
      <c r="BH722" t="s">
        <v>74</v>
      </c>
      <c r="BI722">
        <v>15</v>
      </c>
      <c r="BJ722" t="s">
        <v>794</v>
      </c>
      <c r="BK722" t="s">
        <v>147</v>
      </c>
      <c r="BL722" t="s">
        <v>795</v>
      </c>
      <c r="BM722" t="s">
        <v>12425</v>
      </c>
      <c r="BN722" t="s">
        <v>74</v>
      </c>
      <c r="BO722" t="s">
        <v>74</v>
      </c>
      <c r="BP722" t="s">
        <v>74</v>
      </c>
      <c r="BQ722" t="s">
        <v>74</v>
      </c>
      <c r="BR722" t="s">
        <v>97</v>
      </c>
      <c r="BS722" t="s">
        <v>12426</v>
      </c>
      <c r="BT722" t="str">
        <f>HYPERLINK("https%3A%2F%2Fwww.webofscience.com%2Fwos%2Fwoscc%2Ffull-record%2FWOS:000362499400007","View Full Record in Web of Science")</f>
        <v>View Full Record in Web of Science</v>
      </c>
    </row>
    <row r="723" spans="1:72" x14ac:dyDescent="0.25">
      <c r="A723" t="s">
        <v>72</v>
      </c>
      <c r="B723" t="s">
        <v>12427</v>
      </c>
      <c r="C723" t="s">
        <v>74</v>
      </c>
      <c r="D723" t="s">
        <v>74</v>
      </c>
      <c r="E723" t="s">
        <v>74</v>
      </c>
      <c r="F723" t="s">
        <v>12428</v>
      </c>
      <c r="G723" t="s">
        <v>74</v>
      </c>
      <c r="H723" t="s">
        <v>74</v>
      </c>
      <c r="I723" t="s">
        <v>12429</v>
      </c>
      <c r="J723" t="s">
        <v>12430</v>
      </c>
      <c r="K723" t="s">
        <v>74</v>
      </c>
      <c r="L723" t="s">
        <v>74</v>
      </c>
      <c r="M723" t="s">
        <v>77</v>
      </c>
      <c r="N723" t="s">
        <v>78</v>
      </c>
      <c r="O723" t="s">
        <v>74</v>
      </c>
      <c r="P723" t="s">
        <v>74</v>
      </c>
      <c r="Q723" t="s">
        <v>74</v>
      </c>
      <c r="R723" t="s">
        <v>74</v>
      </c>
      <c r="S723" t="s">
        <v>74</v>
      </c>
      <c r="T723" t="s">
        <v>12431</v>
      </c>
      <c r="U723" t="s">
        <v>12432</v>
      </c>
      <c r="V723" t="s">
        <v>12433</v>
      </c>
      <c r="W723" t="s">
        <v>12434</v>
      </c>
      <c r="X723" t="s">
        <v>12435</v>
      </c>
      <c r="Y723" t="s">
        <v>12436</v>
      </c>
      <c r="Z723" t="s">
        <v>12437</v>
      </c>
      <c r="AA723" t="s">
        <v>74</v>
      </c>
      <c r="AB723" t="s">
        <v>74</v>
      </c>
      <c r="AC723" t="s">
        <v>74</v>
      </c>
      <c r="AD723" t="s">
        <v>74</v>
      </c>
      <c r="AE723" t="s">
        <v>74</v>
      </c>
      <c r="AF723" t="s">
        <v>74</v>
      </c>
      <c r="AG723">
        <v>90</v>
      </c>
      <c r="AH723">
        <v>7</v>
      </c>
      <c r="AI723">
        <v>7</v>
      </c>
      <c r="AJ723">
        <v>0</v>
      </c>
      <c r="AK723">
        <v>39</v>
      </c>
      <c r="AL723" t="s">
        <v>2351</v>
      </c>
      <c r="AM723" t="s">
        <v>541</v>
      </c>
      <c r="AN723" t="s">
        <v>2352</v>
      </c>
      <c r="AO723" t="s">
        <v>12438</v>
      </c>
      <c r="AP723" t="s">
        <v>12439</v>
      </c>
      <c r="AQ723" t="s">
        <v>74</v>
      </c>
      <c r="AR723" t="s">
        <v>12440</v>
      </c>
      <c r="AS723" t="s">
        <v>12441</v>
      </c>
      <c r="AT723" t="s">
        <v>91</v>
      </c>
      <c r="AU723">
        <v>2014</v>
      </c>
      <c r="AV723">
        <v>20</v>
      </c>
      <c r="AW723">
        <v>2</v>
      </c>
      <c r="AX723" t="s">
        <v>74</v>
      </c>
      <c r="AY723" t="s">
        <v>74</v>
      </c>
      <c r="AZ723" t="s">
        <v>74</v>
      </c>
      <c r="BA723" t="s">
        <v>74</v>
      </c>
      <c r="BB723">
        <v>160</v>
      </c>
      <c r="BC723">
        <v>191</v>
      </c>
      <c r="BD723" t="s">
        <v>74</v>
      </c>
      <c r="BE723" t="s">
        <v>12442</v>
      </c>
      <c r="BF723" t="str">
        <f>HYPERLINK("http://dx.doi.org/10.1177/1354067X14532331","http://dx.doi.org/10.1177/1354067X14532331")</f>
        <v>http://dx.doi.org/10.1177/1354067X14532331</v>
      </c>
      <c r="BG723" t="s">
        <v>74</v>
      </c>
      <c r="BH723" t="s">
        <v>74</v>
      </c>
      <c r="BI723">
        <v>32</v>
      </c>
      <c r="BJ723" t="s">
        <v>3203</v>
      </c>
      <c r="BK723" t="s">
        <v>3157</v>
      </c>
      <c r="BL723" t="s">
        <v>460</v>
      </c>
      <c r="BM723" t="s">
        <v>12443</v>
      </c>
      <c r="BN723" t="s">
        <v>74</v>
      </c>
      <c r="BO723" t="s">
        <v>74</v>
      </c>
      <c r="BP723" t="s">
        <v>74</v>
      </c>
      <c r="BQ723" t="s">
        <v>74</v>
      </c>
      <c r="BR723" t="s">
        <v>97</v>
      </c>
      <c r="BS723" t="s">
        <v>12444</v>
      </c>
      <c r="BT723" t="str">
        <f>HYPERLINK("https%3A%2F%2Fwww.webofscience.com%2Fwos%2Fwoscc%2Ffull-record%2FWOS:000337699000002","View Full Record in Web of Science")</f>
        <v>View Full Record in Web of Science</v>
      </c>
    </row>
    <row r="724" spans="1:72" x14ac:dyDescent="0.25">
      <c r="A724" t="s">
        <v>72</v>
      </c>
      <c r="B724" t="s">
        <v>12445</v>
      </c>
      <c r="C724" t="s">
        <v>74</v>
      </c>
      <c r="D724" t="s">
        <v>74</v>
      </c>
      <c r="E724" t="s">
        <v>74</v>
      </c>
      <c r="F724" t="s">
        <v>12446</v>
      </c>
      <c r="G724" t="s">
        <v>74</v>
      </c>
      <c r="H724" t="s">
        <v>74</v>
      </c>
      <c r="I724" t="s">
        <v>12447</v>
      </c>
      <c r="J724" t="s">
        <v>12448</v>
      </c>
      <c r="K724" t="s">
        <v>74</v>
      </c>
      <c r="L724" t="s">
        <v>74</v>
      </c>
      <c r="M724" t="s">
        <v>12449</v>
      </c>
      <c r="N724" t="s">
        <v>78</v>
      </c>
      <c r="O724" t="s">
        <v>74</v>
      </c>
      <c r="P724" t="s">
        <v>74</v>
      </c>
      <c r="Q724" t="s">
        <v>74</v>
      </c>
      <c r="R724" t="s">
        <v>74</v>
      </c>
      <c r="S724" t="s">
        <v>74</v>
      </c>
      <c r="T724" t="s">
        <v>12450</v>
      </c>
      <c r="U724" t="s">
        <v>12451</v>
      </c>
      <c r="V724" t="s">
        <v>12452</v>
      </c>
      <c r="W724" t="s">
        <v>12453</v>
      </c>
      <c r="X724" t="s">
        <v>8779</v>
      </c>
      <c r="Y724" t="s">
        <v>12454</v>
      </c>
      <c r="Z724" t="s">
        <v>74</v>
      </c>
      <c r="AA724" t="s">
        <v>12455</v>
      </c>
      <c r="AB724" t="s">
        <v>12456</v>
      </c>
      <c r="AC724" t="s">
        <v>74</v>
      </c>
      <c r="AD724" t="s">
        <v>74</v>
      </c>
      <c r="AE724" t="s">
        <v>74</v>
      </c>
      <c r="AF724" t="s">
        <v>74</v>
      </c>
      <c r="AG724">
        <v>69</v>
      </c>
      <c r="AH724">
        <v>7</v>
      </c>
      <c r="AI724">
        <v>8</v>
      </c>
      <c r="AJ724">
        <v>1</v>
      </c>
      <c r="AK724">
        <v>31</v>
      </c>
      <c r="AL724" t="s">
        <v>511</v>
      </c>
      <c r="AM724" t="s">
        <v>435</v>
      </c>
      <c r="AN724" t="s">
        <v>512</v>
      </c>
      <c r="AO724" t="s">
        <v>12457</v>
      </c>
      <c r="AP724" t="s">
        <v>12458</v>
      </c>
      <c r="AQ724" t="s">
        <v>74</v>
      </c>
      <c r="AR724" t="s">
        <v>12459</v>
      </c>
      <c r="AS724" t="s">
        <v>12460</v>
      </c>
      <c r="AT724" t="s">
        <v>4815</v>
      </c>
      <c r="AU724">
        <v>2011</v>
      </c>
      <c r="AV724">
        <v>50</v>
      </c>
      <c r="AW724">
        <v>5</v>
      </c>
      <c r="AX724" t="s">
        <v>74</v>
      </c>
      <c r="AY724" t="s">
        <v>74</v>
      </c>
      <c r="AZ724" t="s">
        <v>74</v>
      </c>
      <c r="BA724" t="s">
        <v>74</v>
      </c>
      <c r="BB724">
        <v>253</v>
      </c>
      <c r="BC724">
        <v>260</v>
      </c>
      <c r="BD724" t="s">
        <v>74</v>
      </c>
      <c r="BE724" t="s">
        <v>12461</v>
      </c>
      <c r="BF724" t="str">
        <f>HYPERLINK("http://dx.doi.org/10.3989/cyv.332011","http://dx.doi.org/10.3989/cyv.332011")</f>
        <v>http://dx.doi.org/10.3989/cyv.332011</v>
      </c>
      <c r="BG724" t="s">
        <v>74</v>
      </c>
      <c r="BH724" t="s">
        <v>74</v>
      </c>
      <c r="BI724">
        <v>8</v>
      </c>
      <c r="BJ724" t="s">
        <v>12462</v>
      </c>
      <c r="BK724" t="s">
        <v>147</v>
      </c>
      <c r="BL724" t="s">
        <v>12463</v>
      </c>
      <c r="BM724" t="s">
        <v>12464</v>
      </c>
      <c r="BN724" t="s">
        <v>74</v>
      </c>
      <c r="BO724" t="s">
        <v>12465</v>
      </c>
      <c r="BP724" t="s">
        <v>74</v>
      </c>
      <c r="BQ724" t="s">
        <v>74</v>
      </c>
      <c r="BR724" t="s">
        <v>97</v>
      </c>
      <c r="BS724" t="s">
        <v>12466</v>
      </c>
      <c r="BT724" t="str">
        <f>HYPERLINK("https%3A%2F%2Fwww.webofscience.com%2Fwos%2Fwoscc%2Ffull-record%2FWOS:000297088400006","View Full Record in Web of Science")</f>
        <v>View Full Record in Web of Science</v>
      </c>
    </row>
    <row r="725" spans="1:72" x14ac:dyDescent="0.25">
      <c r="A725" t="s">
        <v>72</v>
      </c>
      <c r="B725" t="s">
        <v>12467</v>
      </c>
      <c r="C725" t="s">
        <v>74</v>
      </c>
      <c r="D725" t="s">
        <v>74</v>
      </c>
      <c r="E725" t="s">
        <v>74</v>
      </c>
      <c r="F725" t="s">
        <v>12467</v>
      </c>
      <c r="G725" t="s">
        <v>74</v>
      </c>
      <c r="H725" t="s">
        <v>74</v>
      </c>
      <c r="I725" t="s">
        <v>12468</v>
      </c>
      <c r="J725" t="s">
        <v>2532</v>
      </c>
      <c r="K725" t="s">
        <v>74</v>
      </c>
      <c r="L725" t="s">
        <v>74</v>
      </c>
      <c r="M725" t="s">
        <v>77</v>
      </c>
      <c r="N725" t="s">
        <v>78</v>
      </c>
      <c r="O725" t="s">
        <v>74</v>
      </c>
      <c r="P725" t="s">
        <v>74</v>
      </c>
      <c r="Q725" t="s">
        <v>74</v>
      </c>
      <c r="R725" t="s">
        <v>74</v>
      </c>
      <c r="S725" t="s">
        <v>74</v>
      </c>
      <c r="T725" t="s">
        <v>12469</v>
      </c>
      <c r="U725" t="s">
        <v>12470</v>
      </c>
      <c r="V725" t="s">
        <v>12471</v>
      </c>
      <c r="W725" t="s">
        <v>12472</v>
      </c>
      <c r="X725" t="s">
        <v>12473</v>
      </c>
      <c r="Y725" t="s">
        <v>12474</v>
      </c>
      <c r="Z725" t="s">
        <v>74</v>
      </c>
      <c r="AA725" t="s">
        <v>74</v>
      </c>
      <c r="AB725" t="s">
        <v>12475</v>
      </c>
      <c r="AC725" t="s">
        <v>74</v>
      </c>
      <c r="AD725" t="s">
        <v>74</v>
      </c>
      <c r="AE725" t="s">
        <v>74</v>
      </c>
      <c r="AF725" t="s">
        <v>74</v>
      </c>
      <c r="AG725">
        <v>30</v>
      </c>
      <c r="AH725">
        <v>7</v>
      </c>
      <c r="AI725">
        <v>7</v>
      </c>
      <c r="AJ725">
        <v>1</v>
      </c>
      <c r="AK725">
        <v>8</v>
      </c>
      <c r="AL725" t="s">
        <v>643</v>
      </c>
      <c r="AM725" t="s">
        <v>644</v>
      </c>
      <c r="AN725" t="s">
        <v>645</v>
      </c>
      <c r="AO725" t="s">
        <v>2540</v>
      </c>
      <c r="AP725" t="s">
        <v>74</v>
      </c>
      <c r="AQ725" t="s">
        <v>74</v>
      </c>
      <c r="AR725" t="s">
        <v>2541</v>
      </c>
      <c r="AS725" t="s">
        <v>2542</v>
      </c>
      <c r="AT725" t="s">
        <v>91</v>
      </c>
      <c r="AU725">
        <v>2002</v>
      </c>
      <c r="AV725">
        <v>36</v>
      </c>
      <c r="AW725">
        <v>4</v>
      </c>
      <c r="AX725" t="s">
        <v>74</v>
      </c>
      <c r="AY725" t="s">
        <v>74</v>
      </c>
      <c r="AZ725" t="s">
        <v>74</v>
      </c>
      <c r="BA725" t="s">
        <v>74</v>
      </c>
      <c r="BB725">
        <v>345</v>
      </c>
      <c r="BC725">
        <v>357</v>
      </c>
      <c r="BD725" t="s">
        <v>74</v>
      </c>
      <c r="BE725" t="s">
        <v>12476</v>
      </c>
      <c r="BF725" t="str">
        <f>HYPERLINK("http://dx.doi.org/10.1080/00343400220131124","http://dx.doi.org/10.1080/00343400220131124")</f>
        <v>http://dx.doi.org/10.1080/00343400220131124</v>
      </c>
      <c r="BG725" t="s">
        <v>74</v>
      </c>
      <c r="BH725" t="s">
        <v>74</v>
      </c>
      <c r="BI725">
        <v>13</v>
      </c>
      <c r="BJ725" t="s">
        <v>2544</v>
      </c>
      <c r="BK725" t="s">
        <v>94</v>
      </c>
      <c r="BL725" t="s">
        <v>2545</v>
      </c>
      <c r="BM725" t="s">
        <v>12477</v>
      </c>
      <c r="BN725" t="s">
        <v>74</v>
      </c>
      <c r="BO725" t="s">
        <v>74</v>
      </c>
      <c r="BP725" t="s">
        <v>74</v>
      </c>
      <c r="BQ725" t="s">
        <v>74</v>
      </c>
      <c r="BR725" t="s">
        <v>97</v>
      </c>
      <c r="BS725" t="s">
        <v>12478</v>
      </c>
      <c r="BT725" t="str">
        <f>HYPERLINK("https%3A%2F%2Fwww.webofscience.com%2Fwos%2Fwoscc%2Ffull-record%2FWOS:000175507500003","View Full Record in Web of Science")</f>
        <v>View Full Record in Web of Science</v>
      </c>
    </row>
    <row r="726" spans="1:72" x14ac:dyDescent="0.25">
      <c r="A726" t="s">
        <v>72</v>
      </c>
      <c r="B726" t="s">
        <v>12479</v>
      </c>
      <c r="C726" t="s">
        <v>74</v>
      </c>
      <c r="D726" t="s">
        <v>74</v>
      </c>
      <c r="E726" t="s">
        <v>74</v>
      </c>
      <c r="F726" t="s">
        <v>12479</v>
      </c>
      <c r="G726" t="s">
        <v>74</v>
      </c>
      <c r="H726" t="s">
        <v>74</v>
      </c>
      <c r="I726" t="s">
        <v>12480</v>
      </c>
      <c r="J726" t="s">
        <v>1998</v>
      </c>
      <c r="K726" t="s">
        <v>74</v>
      </c>
      <c r="L726" t="s">
        <v>74</v>
      </c>
      <c r="M726" t="s">
        <v>77</v>
      </c>
      <c r="N726" t="s">
        <v>78</v>
      </c>
      <c r="O726" t="s">
        <v>74</v>
      </c>
      <c r="P726" t="s">
        <v>74</v>
      </c>
      <c r="Q726" t="s">
        <v>74</v>
      </c>
      <c r="R726" t="s">
        <v>74</v>
      </c>
      <c r="S726" t="s">
        <v>74</v>
      </c>
      <c r="T726" t="s">
        <v>74</v>
      </c>
      <c r="U726" t="s">
        <v>74</v>
      </c>
      <c r="V726" t="s">
        <v>12481</v>
      </c>
      <c r="W726" t="s">
        <v>12482</v>
      </c>
      <c r="X726" t="s">
        <v>12483</v>
      </c>
      <c r="Y726" t="s">
        <v>12484</v>
      </c>
      <c r="Z726" t="s">
        <v>74</v>
      </c>
      <c r="AA726" t="s">
        <v>74</v>
      </c>
      <c r="AB726" t="s">
        <v>74</v>
      </c>
      <c r="AC726" t="s">
        <v>74</v>
      </c>
      <c r="AD726" t="s">
        <v>74</v>
      </c>
      <c r="AE726" t="s">
        <v>74</v>
      </c>
      <c r="AF726" t="s">
        <v>74</v>
      </c>
      <c r="AG726">
        <v>29</v>
      </c>
      <c r="AH726">
        <v>7</v>
      </c>
      <c r="AI726">
        <v>7</v>
      </c>
      <c r="AJ726">
        <v>1</v>
      </c>
      <c r="AK726">
        <v>6</v>
      </c>
      <c r="AL726" t="s">
        <v>7631</v>
      </c>
      <c r="AM726" t="s">
        <v>305</v>
      </c>
      <c r="AN726" t="s">
        <v>7632</v>
      </c>
      <c r="AO726" t="s">
        <v>2010</v>
      </c>
      <c r="AP726" t="s">
        <v>74</v>
      </c>
      <c r="AQ726" t="s">
        <v>74</v>
      </c>
      <c r="AR726" t="s">
        <v>2012</v>
      </c>
      <c r="AS726" t="s">
        <v>2013</v>
      </c>
      <c r="AT726" t="s">
        <v>375</v>
      </c>
      <c r="AU726">
        <v>1998</v>
      </c>
      <c r="AV726">
        <v>10</v>
      </c>
      <c r="AW726">
        <v>4</v>
      </c>
      <c r="AX726" t="s">
        <v>74</v>
      </c>
      <c r="AY726" t="s">
        <v>74</v>
      </c>
      <c r="AZ726" t="s">
        <v>74</v>
      </c>
      <c r="BA726" t="s">
        <v>74</v>
      </c>
      <c r="BB726">
        <v>423</v>
      </c>
      <c r="BC726">
        <v>435</v>
      </c>
      <c r="BD726" t="s">
        <v>74</v>
      </c>
      <c r="BE726" t="s">
        <v>12485</v>
      </c>
      <c r="BF726" t="str">
        <f>HYPERLINK("http://dx.doi.org/10.1080/09537329808524325","http://dx.doi.org/10.1080/09537329808524325")</f>
        <v>http://dx.doi.org/10.1080/09537329808524325</v>
      </c>
      <c r="BG726" t="s">
        <v>74</v>
      </c>
      <c r="BH726" t="s">
        <v>74</v>
      </c>
      <c r="BI726">
        <v>13</v>
      </c>
      <c r="BJ726" t="s">
        <v>2015</v>
      </c>
      <c r="BK726" t="s">
        <v>147</v>
      </c>
      <c r="BL726" t="s">
        <v>2016</v>
      </c>
      <c r="BM726" t="s">
        <v>12486</v>
      </c>
      <c r="BN726" t="s">
        <v>74</v>
      </c>
      <c r="BO726" t="s">
        <v>74</v>
      </c>
      <c r="BP726" t="s">
        <v>74</v>
      </c>
      <c r="BQ726" t="s">
        <v>74</v>
      </c>
      <c r="BR726" t="s">
        <v>97</v>
      </c>
      <c r="BS726" t="s">
        <v>12487</v>
      </c>
      <c r="BT726" t="str">
        <f>HYPERLINK("https%3A%2F%2Fwww.webofscience.com%2Fwos%2Fwoscc%2Ffull-record%2FWOS:000077420300003","View Full Record in Web of Science")</f>
        <v>View Full Record in Web of Science</v>
      </c>
    </row>
    <row r="727" spans="1:72" x14ac:dyDescent="0.25">
      <c r="A727" t="s">
        <v>72</v>
      </c>
      <c r="B727" t="s">
        <v>12488</v>
      </c>
      <c r="C727" t="s">
        <v>74</v>
      </c>
      <c r="D727" t="s">
        <v>74</v>
      </c>
      <c r="E727" t="s">
        <v>74</v>
      </c>
      <c r="F727" t="s">
        <v>12488</v>
      </c>
      <c r="G727" t="s">
        <v>74</v>
      </c>
      <c r="H727" t="s">
        <v>74</v>
      </c>
      <c r="I727" t="s">
        <v>12489</v>
      </c>
      <c r="J727" t="s">
        <v>12490</v>
      </c>
      <c r="K727" t="s">
        <v>74</v>
      </c>
      <c r="L727" t="s">
        <v>74</v>
      </c>
      <c r="M727" t="s">
        <v>77</v>
      </c>
      <c r="N727" t="s">
        <v>78</v>
      </c>
      <c r="O727" t="s">
        <v>74</v>
      </c>
      <c r="P727" t="s">
        <v>74</v>
      </c>
      <c r="Q727" t="s">
        <v>74</v>
      </c>
      <c r="R727" t="s">
        <v>74</v>
      </c>
      <c r="S727" t="s">
        <v>74</v>
      </c>
      <c r="T727" t="s">
        <v>12491</v>
      </c>
      <c r="U727" t="s">
        <v>74</v>
      </c>
      <c r="V727" t="s">
        <v>12492</v>
      </c>
      <c r="W727" t="s">
        <v>74</v>
      </c>
      <c r="X727" t="s">
        <v>74</v>
      </c>
      <c r="Y727" t="s">
        <v>12493</v>
      </c>
      <c r="Z727" t="s">
        <v>74</v>
      </c>
      <c r="AA727" t="s">
        <v>74</v>
      </c>
      <c r="AB727" t="s">
        <v>12494</v>
      </c>
      <c r="AC727" t="s">
        <v>74</v>
      </c>
      <c r="AD727" t="s">
        <v>74</v>
      </c>
      <c r="AE727" t="s">
        <v>74</v>
      </c>
      <c r="AF727" t="s">
        <v>74</v>
      </c>
      <c r="AG727">
        <v>13</v>
      </c>
      <c r="AH727">
        <v>7</v>
      </c>
      <c r="AI727">
        <v>9</v>
      </c>
      <c r="AJ727">
        <v>0</v>
      </c>
      <c r="AK727">
        <v>10</v>
      </c>
      <c r="AL727" t="s">
        <v>511</v>
      </c>
      <c r="AM727" t="s">
        <v>435</v>
      </c>
      <c r="AN727" t="s">
        <v>512</v>
      </c>
      <c r="AO727" t="s">
        <v>12495</v>
      </c>
      <c r="AP727" t="s">
        <v>74</v>
      </c>
      <c r="AQ727" t="s">
        <v>74</v>
      </c>
      <c r="AR727" t="s">
        <v>12496</v>
      </c>
      <c r="AS727" t="s">
        <v>12497</v>
      </c>
      <c r="AT727" t="s">
        <v>12498</v>
      </c>
      <c r="AU727">
        <v>1997</v>
      </c>
      <c r="AV727">
        <v>51</v>
      </c>
      <c r="AW727" t="s">
        <v>1930</v>
      </c>
      <c r="AX727" t="s">
        <v>74</v>
      </c>
      <c r="AY727" t="s">
        <v>74</v>
      </c>
      <c r="AZ727" t="s">
        <v>74</v>
      </c>
      <c r="BA727" t="s">
        <v>74</v>
      </c>
      <c r="BB727">
        <v>1</v>
      </c>
      <c r="BC727">
        <v>17</v>
      </c>
      <c r="BD727" t="s">
        <v>74</v>
      </c>
      <c r="BE727" t="s">
        <v>12499</v>
      </c>
      <c r="BF727" t="str">
        <f>HYPERLINK("http://dx.doi.org/10.1016/S0925-5273(97)00076-5","http://dx.doi.org/10.1016/S0925-5273(97)00076-5")</f>
        <v>http://dx.doi.org/10.1016/S0925-5273(97)00076-5</v>
      </c>
      <c r="BG727" t="s">
        <v>74</v>
      </c>
      <c r="BH727" t="s">
        <v>74</v>
      </c>
      <c r="BI727">
        <v>17</v>
      </c>
      <c r="BJ727" t="s">
        <v>12500</v>
      </c>
      <c r="BK727" t="s">
        <v>147</v>
      </c>
      <c r="BL727" t="s">
        <v>12501</v>
      </c>
      <c r="BM727" t="s">
        <v>12502</v>
      </c>
      <c r="BN727" t="s">
        <v>74</v>
      </c>
      <c r="BO727" t="s">
        <v>74</v>
      </c>
      <c r="BP727" t="s">
        <v>74</v>
      </c>
      <c r="BQ727" t="s">
        <v>74</v>
      </c>
      <c r="BR727" t="s">
        <v>97</v>
      </c>
      <c r="BS727" t="s">
        <v>12503</v>
      </c>
      <c r="BT727" t="str">
        <f>HYPERLINK("https%3A%2F%2Fwww.webofscience.com%2Fwos%2Fwoscc%2Ffull-record%2FWOS:A1997XV92200002","View Full Record in Web of Science")</f>
        <v>View Full Record in Web of Science</v>
      </c>
    </row>
    <row r="728" spans="1:72" x14ac:dyDescent="0.25">
      <c r="A728" t="s">
        <v>72</v>
      </c>
      <c r="B728" t="s">
        <v>12504</v>
      </c>
      <c r="C728" t="s">
        <v>74</v>
      </c>
      <c r="D728" t="s">
        <v>74</v>
      </c>
      <c r="E728" t="s">
        <v>74</v>
      </c>
      <c r="F728" t="s">
        <v>12505</v>
      </c>
      <c r="G728" t="s">
        <v>74</v>
      </c>
      <c r="H728" t="s">
        <v>74</v>
      </c>
      <c r="I728" t="s">
        <v>12506</v>
      </c>
      <c r="J728" t="s">
        <v>5394</v>
      </c>
      <c r="K728" t="s">
        <v>74</v>
      </c>
      <c r="L728" t="s">
        <v>74</v>
      </c>
      <c r="M728" t="s">
        <v>77</v>
      </c>
      <c r="N728" t="s">
        <v>78</v>
      </c>
      <c r="O728" t="s">
        <v>74</v>
      </c>
      <c r="P728" t="s">
        <v>74</v>
      </c>
      <c r="Q728" t="s">
        <v>74</v>
      </c>
      <c r="R728" t="s">
        <v>74</v>
      </c>
      <c r="S728" t="s">
        <v>74</v>
      </c>
      <c r="T728" t="s">
        <v>12507</v>
      </c>
      <c r="U728" t="s">
        <v>12508</v>
      </c>
      <c r="V728" t="s">
        <v>12509</v>
      </c>
      <c r="W728" t="s">
        <v>12510</v>
      </c>
      <c r="X728" t="s">
        <v>12511</v>
      </c>
      <c r="Y728" t="s">
        <v>12512</v>
      </c>
      <c r="Z728" t="s">
        <v>12513</v>
      </c>
      <c r="AA728" t="s">
        <v>12514</v>
      </c>
      <c r="AB728" t="s">
        <v>12515</v>
      </c>
      <c r="AC728" t="s">
        <v>74</v>
      </c>
      <c r="AD728" t="s">
        <v>74</v>
      </c>
      <c r="AE728" t="s">
        <v>74</v>
      </c>
      <c r="AF728" t="s">
        <v>74</v>
      </c>
      <c r="AG728">
        <v>56</v>
      </c>
      <c r="AH728">
        <v>6</v>
      </c>
      <c r="AI728">
        <v>6</v>
      </c>
      <c r="AJ728">
        <v>26</v>
      </c>
      <c r="AK728">
        <v>50</v>
      </c>
      <c r="AL728" t="s">
        <v>602</v>
      </c>
      <c r="AM728" t="s">
        <v>160</v>
      </c>
      <c r="AN728" t="s">
        <v>603</v>
      </c>
      <c r="AO728" t="s">
        <v>5406</v>
      </c>
      <c r="AP728" t="s">
        <v>5407</v>
      </c>
      <c r="AQ728" t="s">
        <v>74</v>
      </c>
      <c r="AR728" t="s">
        <v>5408</v>
      </c>
      <c r="AS728" t="s">
        <v>5409</v>
      </c>
      <c r="AT728" t="s">
        <v>392</v>
      </c>
      <c r="AU728">
        <v>2022</v>
      </c>
      <c r="AV728">
        <v>70</v>
      </c>
      <c r="AW728" t="s">
        <v>74</v>
      </c>
      <c r="AX728" t="s">
        <v>74</v>
      </c>
      <c r="AY728" t="s">
        <v>74</v>
      </c>
      <c r="AZ728" t="s">
        <v>74</v>
      </c>
      <c r="BA728" t="s">
        <v>74</v>
      </c>
      <c r="BB728" t="s">
        <v>74</v>
      </c>
      <c r="BC728" t="s">
        <v>74</v>
      </c>
      <c r="BD728">
        <v>102039</v>
      </c>
      <c r="BE728" t="s">
        <v>12516</v>
      </c>
      <c r="BF728" t="str">
        <f>HYPERLINK("http://dx.doi.org/10.1016/j.techsoc.2022.102039","http://dx.doi.org/10.1016/j.techsoc.2022.102039")</f>
        <v>http://dx.doi.org/10.1016/j.techsoc.2022.102039</v>
      </c>
      <c r="BG728" t="s">
        <v>74</v>
      </c>
      <c r="BH728" t="s">
        <v>11958</v>
      </c>
      <c r="BI728">
        <v>16</v>
      </c>
      <c r="BJ728" t="s">
        <v>5411</v>
      </c>
      <c r="BK728" t="s">
        <v>94</v>
      </c>
      <c r="BL728" t="s">
        <v>5412</v>
      </c>
      <c r="BM728" t="s">
        <v>12517</v>
      </c>
      <c r="BN728" t="s">
        <v>74</v>
      </c>
      <c r="BO728" t="s">
        <v>74</v>
      </c>
      <c r="BP728" t="s">
        <v>74</v>
      </c>
      <c r="BQ728" t="s">
        <v>74</v>
      </c>
      <c r="BR728" t="s">
        <v>97</v>
      </c>
      <c r="BS728" t="s">
        <v>12518</v>
      </c>
      <c r="BT728" t="str">
        <f>HYPERLINK("https%3A%2F%2Fwww.webofscience.com%2Fwos%2Fwoscc%2Ffull-record%2FWOS:000825087400011","View Full Record in Web of Science")</f>
        <v>View Full Record in Web of Science</v>
      </c>
    </row>
    <row r="729" spans="1:72" x14ac:dyDescent="0.25">
      <c r="A729" t="s">
        <v>72</v>
      </c>
      <c r="B729" t="s">
        <v>12519</v>
      </c>
      <c r="C729" t="s">
        <v>74</v>
      </c>
      <c r="D729" t="s">
        <v>74</v>
      </c>
      <c r="E729" t="s">
        <v>74</v>
      </c>
      <c r="F729" t="s">
        <v>12520</v>
      </c>
      <c r="G729" t="s">
        <v>74</v>
      </c>
      <c r="H729" t="s">
        <v>74</v>
      </c>
      <c r="I729" t="s">
        <v>12521</v>
      </c>
      <c r="J729" t="s">
        <v>10536</v>
      </c>
      <c r="K729" t="s">
        <v>74</v>
      </c>
      <c r="L729" t="s">
        <v>74</v>
      </c>
      <c r="M729" t="s">
        <v>77</v>
      </c>
      <c r="N729" t="s">
        <v>78</v>
      </c>
      <c r="O729" t="s">
        <v>74</v>
      </c>
      <c r="P729" t="s">
        <v>74</v>
      </c>
      <c r="Q729" t="s">
        <v>74</v>
      </c>
      <c r="R729" t="s">
        <v>74</v>
      </c>
      <c r="S729" t="s">
        <v>74</v>
      </c>
      <c r="T729" t="s">
        <v>12522</v>
      </c>
      <c r="U729" t="s">
        <v>12523</v>
      </c>
      <c r="V729" t="s">
        <v>12524</v>
      </c>
      <c r="W729" t="s">
        <v>12525</v>
      </c>
      <c r="X729" t="s">
        <v>12526</v>
      </c>
      <c r="Y729" t="s">
        <v>12527</v>
      </c>
      <c r="Z729" t="s">
        <v>12528</v>
      </c>
      <c r="AA729" t="s">
        <v>12529</v>
      </c>
      <c r="AB729" t="s">
        <v>74</v>
      </c>
      <c r="AC729" t="s">
        <v>12530</v>
      </c>
      <c r="AD729" t="s">
        <v>12531</v>
      </c>
      <c r="AE729" t="s">
        <v>12532</v>
      </c>
      <c r="AF729" t="s">
        <v>74</v>
      </c>
      <c r="AG729">
        <v>78</v>
      </c>
      <c r="AH729">
        <v>6</v>
      </c>
      <c r="AI729">
        <v>6</v>
      </c>
      <c r="AJ729">
        <v>21</v>
      </c>
      <c r="AK729">
        <v>27</v>
      </c>
      <c r="AL729" t="s">
        <v>10548</v>
      </c>
      <c r="AM729" t="s">
        <v>8003</v>
      </c>
      <c r="AN729" t="s">
        <v>10549</v>
      </c>
      <c r="AO729" t="s">
        <v>10550</v>
      </c>
      <c r="AP729" t="s">
        <v>10551</v>
      </c>
      <c r="AQ729" t="s">
        <v>74</v>
      </c>
      <c r="AR729" t="s">
        <v>10552</v>
      </c>
      <c r="AS729" t="s">
        <v>10553</v>
      </c>
      <c r="AT729" t="s">
        <v>7883</v>
      </c>
      <c r="AU729">
        <v>2022</v>
      </c>
      <c r="AV729">
        <v>7</v>
      </c>
      <c r="AW729">
        <v>3</v>
      </c>
      <c r="AX729" t="s">
        <v>74</v>
      </c>
      <c r="AY729" t="s">
        <v>74</v>
      </c>
      <c r="AZ729" t="s">
        <v>74</v>
      </c>
      <c r="BA729" t="s">
        <v>74</v>
      </c>
      <c r="BB729" t="s">
        <v>74</v>
      </c>
      <c r="BC729" t="s">
        <v>74</v>
      </c>
      <c r="BD729">
        <v>100206</v>
      </c>
      <c r="BE729" t="s">
        <v>12533</v>
      </c>
      <c r="BF729" t="str">
        <f>HYPERLINK("http://dx.doi.org/10.1016/j.jik.2022.100206","http://dx.doi.org/10.1016/j.jik.2022.100206")</f>
        <v>http://dx.doi.org/10.1016/j.jik.2022.100206</v>
      </c>
      <c r="BG729" t="s">
        <v>74</v>
      </c>
      <c r="BH729" t="s">
        <v>12534</v>
      </c>
      <c r="BI729">
        <v>10</v>
      </c>
      <c r="BJ729" t="s">
        <v>93</v>
      </c>
      <c r="BK729" t="s">
        <v>94</v>
      </c>
      <c r="BL729" t="s">
        <v>95</v>
      </c>
      <c r="BM729" t="s">
        <v>12535</v>
      </c>
      <c r="BN729" t="s">
        <v>74</v>
      </c>
      <c r="BO729" t="s">
        <v>2482</v>
      </c>
      <c r="BP729" t="s">
        <v>74</v>
      </c>
      <c r="BQ729" t="s">
        <v>74</v>
      </c>
      <c r="BR729" t="s">
        <v>97</v>
      </c>
      <c r="BS729" t="s">
        <v>12536</v>
      </c>
      <c r="BT729" t="str">
        <f>HYPERLINK("https%3A%2F%2Fwww.webofscience.com%2Fwos%2Fwoscc%2Ffull-record%2FWOS:000808361200003","View Full Record in Web of Science")</f>
        <v>View Full Record in Web of Science</v>
      </c>
    </row>
    <row r="730" spans="1:72" x14ac:dyDescent="0.25">
      <c r="A730" t="s">
        <v>72</v>
      </c>
      <c r="B730" t="s">
        <v>12537</v>
      </c>
      <c r="C730" t="s">
        <v>74</v>
      </c>
      <c r="D730" t="s">
        <v>74</v>
      </c>
      <c r="E730" t="s">
        <v>74</v>
      </c>
      <c r="F730" t="s">
        <v>12538</v>
      </c>
      <c r="G730" t="s">
        <v>74</v>
      </c>
      <c r="H730" t="s">
        <v>74</v>
      </c>
      <c r="I730" t="s">
        <v>12539</v>
      </c>
      <c r="J730" t="s">
        <v>657</v>
      </c>
      <c r="K730" t="s">
        <v>74</v>
      </c>
      <c r="L730" t="s">
        <v>74</v>
      </c>
      <c r="M730" t="s">
        <v>77</v>
      </c>
      <c r="N730" t="s">
        <v>78</v>
      </c>
      <c r="O730" t="s">
        <v>74</v>
      </c>
      <c r="P730" t="s">
        <v>74</v>
      </c>
      <c r="Q730" t="s">
        <v>74</v>
      </c>
      <c r="R730" t="s">
        <v>74</v>
      </c>
      <c r="S730" t="s">
        <v>74</v>
      </c>
      <c r="T730" t="s">
        <v>12540</v>
      </c>
      <c r="U730" t="s">
        <v>12541</v>
      </c>
      <c r="V730" t="s">
        <v>12542</v>
      </c>
      <c r="W730" t="s">
        <v>12543</v>
      </c>
      <c r="X730" t="s">
        <v>12544</v>
      </c>
      <c r="Y730" t="s">
        <v>6768</v>
      </c>
      <c r="Z730" t="s">
        <v>4781</v>
      </c>
      <c r="AA730" t="s">
        <v>74</v>
      </c>
      <c r="AB730" t="s">
        <v>74</v>
      </c>
      <c r="AC730" t="s">
        <v>12545</v>
      </c>
      <c r="AD730" t="s">
        <v>12546</v>
      </c>
      <c r="AE730" t="s">
        <v>12547</v>
      </c>
      <c r="AF730" t="s">
        <v>74</v>
      </c>
      <c r="AG730">
        <v>46</v>
      </c>
      <c r="AH730">
        <v>6</v>
      </c>
      <c r="AI730">
        <v>6</v>
      </c>
      <c r="AJ730">
        <v>15</v>
      </c>
      <c r="AK730">
        <v>23</v>
      </c>
      <c r="AL730" t="s">
        <v>665</v>
      </c>
      <c r="AM730" t="s">
        <v>666</v>
      </c>
      <c r="AN730" t="s">
        <v>667</v>
      </c>
      <c r="AO730" t="s">
        <v>668</v>
      </c>
      <c r="AP730" t="s">
        <v>669</v>
      </c>
      <c r="AQ730" t="s">
        <v>74</v>
      </c>
      <c r="AR730" t="s">
        <v>670</v>
      </c>
      <c r="AS730" t="s">
        <v>671</v>
      </c>
      <c r="AT730" t="s">
        <v>3578</v>
      </c>
      <c r="AU730">
        <v>2022</v>
      </c>
      <c r="AV730">
        <v>43</v>
      </c>
      <c r="AW730">
        <v>5</v>
      </c>
      <c r="AX730" t="s">
        <v>74</v>
      </c>
      <c r="AY730" t="s">
        <v>74</v>
      </c>
      <c r="AZ730" t="s">
        <v>74</v>
      </c>
      <c r="BA730" t="s">
        <v>74</v>
      </c>
      <c r="BB730">
        <v>1221</v>
      </c>
      <c r="BC730">
        <v>1238</v>
      </c>
      <c r="BD730" t="s">
        <v>74</v>
      </c>
      <c r="BE730" t="s">
        <v>12548</v>
      </c>
      <c r="BF730" t="str">
        <f>HYPERLINK("http://dx.doi.org/10.1108/IJM-11-2020-0531","http://dx.doi.org/10.1108/IJM-11-2020-0531")</f>
        <v>http://dx.doi.org/10.1108/IJM-11-2020-0531</v>
      </c>
      <c r="BG730" t="s">
        <v>74</v>
      </c>
      <c r="BH730" t="s">
        <v>9259</v>
      </c>
      <c r="BI730">
        <v>18</v>
      </c>
      <c r="BJ730" t="s">
        <v>673</v>
      </c>
      <c r="BK730" t="s">
        <v>94</v>
      </c>
      <c r="BL730" t="s">
        <v>95</v>
      </c>
      <c r="BM730" t="s">
        <v>12549</v>
      </c>
      <c r="BN730" t="s">
        <v>74</v>
      </c>
      <c r="BO730" t="s">
        <v>74</v>
      </c>
      <c r="BP730" t="s">
        <v>74</v>
      </c>
      <c r="BQ730" t="s">
        <v>74</v>
      </c>
      <c r="BR730" t="s">
        <v>97</v>
      </c>
      <c r="BS730" t="s">
        <v>12550</v>
      </c>
      <c r="BT730" t="str">
        <f>HYPERLINK("https%3A%2F%2Fwww.webofscience.com%2Fwos%2Fwoscc%2Ffull-record%2FWOS:000749533300001","View Full Record in Web of Science")</f>
        <v>View Full Record in Web of Science</v>
      </c>
    </row>
    <row r="731" spans="1:72" x14ac:dyDescent="0.25">
      <c r="A731" t="s">
        <v>72</v>
      </c>
      <c r="B731" t="s">
        <v>12551</v>
      </c>
      <c r="C731" t="s">
        <v>74</v>
      </c>
      <c r="D731" t="s">
        <v>74</v>
      </c>
      <c r="E731" t="s">
        <v>74</v>
      </c>
      <c r="F731" t="s">
        <v>12552</v>
      </c>
      <c r="G731" t="s">
        <v>74</v>
      </c>
      <c r="H731" t="s">
        <v>74</v>
      </c>
      <c r="I731" t="s">
        <v>12553</v>
      </c>
      <c r="J731" t="s">
        <v>12554</v>
      </c>
      <c r="K731" t="s">
        <v>74</v>
      </c>
      <c r="L731" t="s">
        <v>74</v>
      </c>
      <c r="M731" t="s">
        <v>77</v>
      </c>
      <c r="N731" t="s">
        <v>78</v>
      </c>
      <c r="O731" t="s">
        <v>74</v>
      </c>
      <c r="P731" t="s">
        <v>74</v>
      </c>
      <c r="Q731" t="s">
        <v>74</v>
      </c>
      <c r="R731" t="s">
        <v>74</v>
      </c>
      <c r="S731" t="s">
        <v>74</v>
      </c>
      <c r="T731" t="s">
        <v>12555</v>
      </c>
      <c r="U731" t="s">
        <v>12556</v>
      </c>
      <c r="V731" t="s">
        <v>12557</v>
      </c>
      <c r="W731" t="s">
        <v>12558</v>
      </c>
      <c r="X731" t="s">
        <v>12559</v>
      </c>
      <c r="Y731" t="s">
        <v>12560</v>
      </c>
      <c r="Z731" t="s">
        <v>12561</v>
      </c>
      <c r="AA731" t="s">
        <v>12562</v>
      </c>
      <c r="AB731" t="s">
        <v>12563</v>
      </c>
      <c r="AC731" t="s">
        <v>74</v>
      </c>
      <c r="AD731" t="s">
        <v>74</v>
      </c>
      <c r="AE731" t="s">
        <v>74</v>
      </c>
      <c r="AF731" t="s">
        <v>74</v>
      </c>
      <c r="AG731">
        <v>112</v>
      </c>
      <c r="AH731">
        <v>6</v>
      </c>
      <c r="AI731">
        <v>6</v>
      </c>
      <c r="AJ731">
        <v>8</v>
      </c>
      <c r="AK731">
        <v>30</v>
      </c>
      <c r="AL731" t="s">
        <v>329</v>
      </c>
      <c r="AM731" t="s">
        <v>330</v>
      </c>
      <c r="AN731" t="s">
        <v>331</v>
      </c>
      <c r="AO731" t="s">
        <v>12564</v>
      </c>
      <c r="AP731" t="s">
        <v>12565</v>
      </c>
      <c r="AQ731" t="s">
        <v>74</v>
      </c>
      <c r="AR731" t="s">
        <v>12566</v>
      </c>
      <c r="AS731" t="s">
        <v>12567</v>
      </c>
      <c r="AT731" t="s">
        <v>405</v>
      </c>
      <c r="AU731">
        <v>2022</v>
      </c>
      <c r="AV731">
        <v>79</v>
      </c>
      <c r="AW731" t="s">
        <v>74</v>
      </c>
      <c r="AX731" t="s">
        <v>74</v>
      </c>
      <c r="AY731" t="s">
        <v>74</v>
      </c>
      <c r="AZ731" t="s">
        <v>74</v>
      </c>
      <c r="BA731" t="s">
        <v>74</v>
      </c>
      <c r="BB731" t="s">
        <v>74</v>
      </c>
      <c r="BC731" t="s">
        <v>74</v>
      </c>
      <c r="BD731">
        <v>101145</v>
      </c>
      <c r="BE731" t="s">
        <v>12568</v>
      </c>
      <c r="BF731" t="str">
        <f>HYPERLINK("http://dx.doi.org/10.1016/j.seps.2021.101145","http://dx.doi.org/10.1016/j.seps.2021.101145")</f>
        <v>http://dx.doi.org/10.1016/j.seps.2021.101145</v>
      </c>
      <c r="BG731" t="s">
        <v>74</v>
      </c>
      <c r="BH731" t="s">
        <v>9259</v>
      </c>
      <c r="BI731">
        <v>15</v>
      </c>
      <c r="BJ731" t="s">
        <v>12569</v>
      </c>
      <c r="BK731" t="s">
        <v>147</v>
      </c>
      <c r="BL731" t="s">
        <v>4659</v>
      </c>
      <c r="BM731" t="s">
        <v>12570</v>
      </c>
      <c r="BN731" t="s">
        <v>74</v>
      </c>
      <c r="BO731" t="s">
        <v>408</v>
      </c>
      <c r="BP731" t="s">
        <v>74</v>
      </c>
      <c r="BQ731" t="s">
        <v>74</v>
      </c>
      <c r="BR731" t="s">
        <v>97</v>
      </c>
      <c r="BS731" t="s">
        <v>12571</v>
      </c>
      <c r="BT731" t="str">
        <f>HYPERLINK("https%3A%2F%2Fwww.webofscience.com%2Fwos%2Fwoscc%2Ffull-record%2FWOS:000746075600006","View Full Record in Web of Science")</f>
        <v>View Full Record in Web of Science</v>
      </c>
    </row>
    <row r="732" spans="1:72" x14ac:dyDescent="0.25">
      <c r="A732" t="s">
        <v>72</v>
      </c>
      <c r="B732" t="s">
        <v>12572</v>
      </c>
      <c r="C732" t="s">
        <v>74</v>
      </c>
      <c r="D732" t="s">
        <v>74</v>
      </c>
      <c r="E732" t="s">
        <v>74</v>
      </c>
      <c r="F732" t="s">
        <v>12573</v>
      </c>
      <c r="G732" t="s">
        <v>74</v>
      </c>
      <c r="H732" t="s">
        <v>74</v>
      </c>
      <c r="I732" t="s">
        <v>12574</v>
      </c>
      <c r="J732" t="s">
        <v>2502</v>
      </c>
      <c r="K732" t="s">
        <v>74</v>
      </c>
      <c r="L732" t="s">
        <v>74</v>
      </c>
      <c r="M732" t="s">
        <v>77</v>
      </c>
      <c r="N732" t="s">
        <v>78</v>
      </c>
      <c r="O732" t="s">
        <v>74</v>
      </c>
      <c r="P732" t="s">
        <v>74</v>
      </c>
      <c r="Q732" t="s">
        <v>74</v>
      </c>
      <c r="R732" t="s">
        <v>74</v>
      </c>
      <c r="S732" t="s">
        <v>74</v>
      </c>
      <c r="T732" t="s">
        <v>12575</v>
      </c>
      <c r="U732" t="s">
        <v>12576</v>
      </c>
      <c r="V732" t="s">
        <v>12577</v>
      </c>
      <c r="W732" t="s">
        <v>12578</v>
      </c>
      <c r="X732" t="s">
        <v>8714</v>
      </c>
      <c r="Y732" t="s">
        <v>12579</v>
      </c>
      <c r="Z732" t="s">
        <v>12580</v>
      </c>
      <c r="AA732" t="s">
        <v>74</v>
      </c>
      <c r="AB732" t="s">
        <v>12581</v>
      </c>
      <c r="AC732" t="s">
        <v>74</v>
      </c>
      <c r="AD732" t="s">
        <v>74</v>
      </c>
      <c r="AE732" t="s">
        <v>74</v>
      </c>
      <c r="AF732" t="s">
        <v>74</v>
      </c>
      <c r="AG732">
        <v>67</v>
      </c>
      <c r="AH732">
        <v>6</v>
      </c>
      <c r="AI732">
        <v>6</v>
      </c>
      <c r="AJ732">
        <v>38</v>
      </c>
      <c r="AK732">
        <v>101</v>
      </c>
      <c r="AL732" t="s">
        <v>665</v>
      </c>
      <c r="AM732" t="s">
        <v>666</v>
      </c>
      <c r="AN732" t="s">
        <v>667</v>
      </c>
      <c r="AO732" t="s">
        <v>2510</v>
      </c>
      <c r="AP732" t="s">
        <v>2511</v>
      </c>
      <c r="AQ732" t="s">
        <v>74</v>
      </c>
      <c r="AR732" t="s">
        <v>2512</v>
      </c>
      <c r="AS732" t="s">
        <v>2513</v>
      </c>
      <c r="AT732" t="s">
        <v>12582</v>
      </c>
      <c r="AU732">
        <v>2022</v>
      </c>
      <c r="AV732">
        <v>51</v>
      </c>
      <c r="AW732">
        <v>9</v>
      </c>
      <c r="AX732" t="s">
        <v>74</v>
      </c>
      <c r="AY732" t="s">
        <v>74</v>
      </c>
      <c r="AZ732" t="s">
        <v>74</v>
      </c>
      <c r="BA732" t="s">
        <v>74</v>
      </c>
      <c r="BB732">
        <v>2461</v>
      </c>
      <c r="BC732">
        <v>2481</v>
      </c>
      <c r="BD732" t="s">
        <v>74</v>
      </c>
      <c r="BE732" t="s">
        <v>12583</v>
      </c>
      <c r="BF732" t="str">
        <f>HYPERLINK("http://dx.doi.org/10.1108/PR-06-2020-0429","http://dx.doi.org/10.1108/PR-06-2020-0429")</f>
        <v>http://dx.doi.org/10.1108/PR-06-2020-0429</v>
      </c>
      <c r="BG732" t="s">
        <v>74</v>
      </c>
      <c r="BH732" t="s">
        <v>9259</v>
      </c>
      <c r="BI732">
        <v>21</v>
      </c>
      <c r="BJ732" t="s">
        <v>2515</v>
      </c>
      <c r="BK732" t="s">
        <v>94</v>
      </c>
      <c r="BL732" t="s">
        <v>227</v>
      </c>
      <c r="BM732" t="s">
        <v>12584</v>
      </c>
      <c r="BN732" t="s">
        <v>74</v>
      </c>
      <c r="BO732" t="s">
        <v>74</v>
      </c>
      <c r="BP732" t="s">
        <v>74</v>
      </c>
      <c r="BQ732" t="s">
        <v>74</v>
      </c>
      <c r="BR732" t="s">
        <v>97</v>
      </c>
      <c r="BS732" t="s">
        <v>12585</v>
      </c>
      <c r="BT732" t="str">
        <f>HYPERLINK("https%3A%2F%2Fwww.webofscience.com%2Fwos%2Fwoscc%2Ffull-record%2FWOS:000748515000001","View Full Record in Web of Science")</f>
        <v>View Full Record in Web of Science</v>
      </c>
    </row>
    <row r="733" spans="1:72" x14ac:dyDescent="0.25">
      <c r="A733" t="s">
        <v>72</v>
      </c>
      <c r="B733" t="s">
        <v>12586</v>
      </c>
      <c r="C733" t="s">
        <v>74</v>
      </c>
      <c r="D733" t="s">
        <v>74</v>
      </c>
      <c r="E733" t="s">
        <v>74</v>
      </c>
      <c r="F733" t="s">
        <v>12587</v>
      </c>
      <c r="G733" t="s">
        <v>74</v>
      </c>
      <c r="H733" t="s">
        <v>74</v>
      </c>
      <c r="I733" t="s">
        <v>12588</v>
      </c>
      <c r="J733" t="s">
        <v>10561</v>
      </c>
      <c r="K733" t="s">
        <v>74</v>
      </c>
      <c r="L733" t="s">
        <v>74</v>
      </c>
      <c r="M733" t="s">
        <v>77</v>
      </c>
      <c r="N733" t="s">
        <v>78</v>
      </c>
      <c r="O733" t="s">
        <v>74</v>
      </c>
      <c r="P733" t="s">
        <v>74</v>
      </c>
      <c r="Q733" t="s">
        <v>74</v>
      </c>
      <c r="R733" t="s">
        <v>74</v>
      </c>
      <c r="S733" t="s">
        <v>74</v>
      </c>
      <c r="T733" t="s">
        <v>12589</v>
      </c>
      <c r="U733" t="s">
        <v>12590</v>
      </c>
      <c r="V733" t="s">
        <v>12591</v>
      </c>
      <c r="W733" t="s">
        <v>12592</v>
      </c>
      <c r="X733" t="s">
        <v>12593</v>
      </c>
      <c r="Y733" t="s">
        <v>12594</v>
      </c>
      <c r="Z733" t="s">
        <v>12595</v>
      </c>
      <c r="AA733" t="s">
        <v>12596</v>
      </c>
      <c r="AB733" t="s">
        <v>12597</v>
      </c>
      <c r="AC733" t="s">
        <v>74</v>
      </c>
      <c r="AD733" t="s">
        <v>74</v>
      </c>
      <c r="AE733" t="s">
        <v>74</v>
      </c>
      <c r="AF733" t="s">
        <v>74</v>
      </c>
      <c r="AG733">
        <v>59</v>
      </c>
      <c r="AH733">
        <v>6</v>
      </c>
      <c r="AI733">
        <v>6</v>
      </c>
      <c r="AJ733">
        <v>27</v>
      </c>
      <c r="AK733">
        <v>66</v>
      </c>
      <c r="AL733" t="s">
        <v>2473</v>
      </c>
      <c r="AM733" t="s">
        <v>2102</v>
      </c>
      <c r="AN733" t="s">
        <v>2474</v>
      </c>
      <c r="AO733" t="s">
        <v>74</v>
      </c>
      <c r="AP733" t="s">
        <v>10570</v>
      </c>
      <c r="AQ733" t="s">
        <v>74</v>
      </c>
      <c r="AR733" t="s">
        <v>10571</v>
      </c>
      <c r="AS733" t="s">
        <v>10572</v>
      </c>
      <c r="AT733" t="s">
        <v>892</v>
      </c>
      <c r="AU733">
        <v>2022</v>
      </c>
      <c r="AV733">
        <v>12</v>
      </c>
      <c r="AW733">
        <v>1</v>
      </c>
      <c r="AX733" t="s">
        <v>74</v>
      </c>
      <c r="AY733" t="s">
        <v>74</v>
      </c>
      <c r="AZ733" t="s">
        <v>74</v>
      </c>
      <c r="BA733" t="s">
        <v>74</v>
      </c>
      <c r="BB733" t="s">
        <v>74</v>
      </c>
      <c r="BC733" t="s">
        <v>74</v>
      </c>
      <c r="BD733">
        <v>2</v>
      </c>
      <c r="BE733" t="s">
        <v>12598</v>
      </c>
      <c r="BF733" t="str">
        <f>HYPERLINK("http://dx.doi.org/10.3390/bs12010002","http://dx.doi.org/10.3390/bs12010002")</f>
        <v>http://dx.doi.org/10.3390/bs12010002</v>
      </c>
      <c r="BG733" t="s">
        <v>74</v>
      </c>
      <c r="BH733" t="s">
        <v>74</v>
      </c>
      <c r="BI733">
        <v>13</v>
      </c>
      <c r="BJ733" t="s">
        <v>3203</v>
      </c>
      <c r="BK733" t="s">
        <v>94</v>
      </c>
      <c r="BL733" t="s">
        <v>460</v>
      </c>
      <c r="BM733" t="s">
        <v>12599</v>
      </c>
      <c r="BN733">
        <v>35049613</v>
      </c>
      <c r="BO733" t="s">
        <v>4398</v>
      </c>
      <c r="BP733" t="s">
        <v>74</v>
      </c>
      <c r="BQ733" t="s">
        <v>74</v>
      </c>
      <c r="BR733" t="s">
        <v>97</v>
      </c>
      <c r="BS733" t="s">
        <v>12600</v>
      </c>
      <c r="BT733" t="str">
        <f>HYPERLINK("https%3A%2F%2Fwww.webofscience.com%2Fwos%2Fwoscc%2Ffull-record%2FWOS:000757982200001","View Full Record in Web of Science")</f>
        <v>View Full Record in Web of Science</v>
      </c>
    </row>
    <row r="734" spans="1:72" x14ac:dyDescent="0.25">
      <c r="A734" t="s">
        <v>72</v>
      </c>
      <c r="B734" t="s">
        <v>12601</v>
      </c>
      <c r="C734" t="s">
        <v>74</v>
      </c>
      <c r="D734" t="s">
        <v>74</v>
      </c>
      <c r="E734" t="s">
        <v>74</v>
      </c>
      <c r="F734" t="s">
        <v>12602</v>
      </c>
      <c r="G734" t="s">
        <v>74</v>
      </c>
      <c r="H734" t="s">
        <v>74</v>
      </c>
      <c r="I734" t="s">
        <v>12603</v>
      </c>
      <c r="J734" t="s">
        <v>3184</v>
      </c>
      <c r="K734" t="s">
        <v>74</v>
      </c>
      <c r="L734" t="s">
        <v>74</v>
      </c>
      <c r="M734" t="s">
        <v>77</v>
      </c>
      <c r="N734" t="s">
        <v>78</v>
      </c>
      <c r="O734" t="s">
        <v>74</v>
      </c>
      <c r="P734" t="s">
        <v>74</v>
      </c>
      <c r="Q734" t="s">
        <v>74</v>
      </c>
      <c r="R734" t="s">
        <v>74</v>
      </c>
      <c r="S734" t="s">
        <v>74</v>
      </c>
      <c r="T734" t="s">
        <v>12604</v>
      </c>
      <c r="U734" t="s">
        <v>12605</v>
      </c>
      <c r="V734" t="s">
        <v>12606</v>
      </c>
      <c r="W734" t="s">
        <v>12607</v>
      </c>
      <c r="X734" t="s">
        <v>4269</v>
      </c>
      <c r="Y734" t="s">
        <v>12608</v>
      </c>
      <c r="Z734" t="s">
        <v>12609</v>
      </c>
      <c r="AA734" t="s">
        <v>74</v>
      </c>
      <c r="AB734" t="s">
        <v>74</v>
      </c>
      <c r="AC734" t="s">
        <v>12610</v>
      </c>
      <c r="AD734" t="s">
        <v>575</v>
      </c>
      <c r="AE734" t="s">
        <v>12611</v>
      </c>
      <c r="AF734" t="s">
        <v>74</v>
      </c>
      <c r="AG734">
        <v>72</v>
      </c>
      <c r="AH734">
        <v>6</v>
      </c>
      <c r="AI734">
        <v>6</v>
      </c>
      <c r="AJ734">
        <v>28</v>
      </c>
      <c r="AK734">
        <v>76</v>
      </c>
      <c r="AL734" t="s">
        <v>3195</v>
      </c>
      <c r="AM734" t="s">
        <v>3196</v>
      </c>
      <c r="AN734" t="s">
        <v>3197</v>
      </c>
      <c r="AO734" t="s">
        <v>3198</v>
      </c>
      <c r="AP734" t="s">
        <v>74</v>
      </c>
      <c r="AQ734" t="s">
        <v>74</v>
      </c>
      <c r="AR734" t="s">
        <v>3199</v>
      </c>
      <c r="AS734" t="s">
        <v>3200</v>
      </c>
      <c r="AT734" t="s">
        <v>12612</v>
      </c>
      <c r="AU734">
        <v>2021</v>
      </c>
      <c r="AV734">
        <v>12</v>
      </c>
      <c r="AW734" t="s">
        <v>74</v>
      </c>
      <c r="AX734" t="s">
        <v>74</v>
      </c>
      <c r="AY734" t="s">
        <v>74</v>
      </c>
      <c r="AZ734" t="s">
        <v>74</v>
      </c>
      <c r="BA734" t="s">
        <v>74</v>
      </c>
      <c r="BB734" t="s">
        <v>74</v>
      </c>
      <c r="BC734" t="s">
        <v>74</v>
      </c>
      <c r="BD734">
        <v>787833</v>
      </c>
      <c r="BE734" t="s">
        <v>12613</v>
      </c>
      <c r="BF734" t="str">
        <f>HYPERLINK("http://dx.doi.org/10.3389/fpsyg.2021.787833","http://dx.doi.org/10.3389/fpsyg.2021.787833")</f>
        <v>http://dx.doi.org/10.3389/fpsyg.2021.787833</v>
      </c>
      <c r="BG734" t="s">
        <v>74</v>
      </c>
      <c r="BH734" t="s">
        <v>74</v>
      </c>
      <c r="BI734">
        <v>11</v>
      </c>
      <c r="BJ734" t="s">
        <v>3203</v>
      </c>
      <c r="BK734" t="s">
        <v>94</v>
      </c>
      <c r="BL734" t="s">
        <v>460</v>
      </c>
      <c r="BM734" t="s">
        <v>12614</v>
      </c>
      <c r="BN734">
        <v>34956013</v>
      </c>
      <c r="BO734" t="s">
        <v>4398</v>
      </c>
      <c r="BP734" t="s">
        <v>74</v>
      </c>
      <c r="BQ734" t="s">
        <v>74</v>
      </c>
      <c r="BR734" t="s">
        <v>97</v>
      </c>
      <c r="BS734" t="s">
        <v>12615</v>
      </c>
      <c r="BT734" t="str">
        <f>HYPERLINK("https%3A%2F%2Fwww.webofscience.com%2Fwos%2Fwoscc%2Ffull-record%2FWOS:000741767600001","View Full Record in Web of Science")</f>
        <v>View Full Record in Web of Science</v>
      </c>
    </row>
    <row r="735" spans="1:72" x14ac:dyDescent="0.25">
      <c r="A735" t="s">
        <v>72</v>
      </c>
      <c r="B735" t="s">
        <v>12616</v>
      </c>
      <c r="C735" t="s">
        <v>74</v>
      </c>
      <c r="D735" t="s">
        <v>74</v>
      </c>
      <c r="E735" t="s">
        <v>74</v>
      </c>
      <c r="F735" t="s">
        <v>12617</v>
      </c>
      <c r="G735" t="s">
        <v>74</v>
      </c>
      <c r="H735" t="s">
        <v>74</v>
      </c>
      <c r="I735" t="s">
        <v>12618</v>
      </c>
      <c r="J735" t="s">
        <v>3660</v>
      </c>
      <c r="K735" t="s">
        <v>74</v>
      </c>
      <c r="L735" t="s">
        <v>74</v>
      </c>
      <c r="M735" t="s">
        <v>77</v>
      </c>
      <c r="N735" t="s">
        <v>78</v>
      </c>
      <c r="O735" t="s">
        <v>74</v>
      </c>
      <c r="P735" t="s">
        <v>74</v>
      </c>
      <c r="Q735" t="s">
        <v>74</v>
      </c>
      <c r="R735" t="s">
        <v>74</v>
      </c>
      <c r="S735" t="s">
        <v>74</v>
      </c>
      <c r="T735" t="s">
        <v>12619</v>
      </c>
      <c r="U735" t="s">
        <v>12620</v>
      </c>
      <c r="V735" t="s">
        <v>12621</v>
      </c>
      <c r="W735" t="s">
        <v>12622</v>
      </c>
      <c r="X735" t="s">
        <v>12623</v>
      </c>
      <c r="Y735" t="s">
        <v>12624</v>
      </c>
      <c r="Z735" t="s">
        <v>12625</v>
      </c>
      <c r="AA735" t="s">
        <v>74</v>
      </c>
      <c r="AB735" t="s">
        <v>74</v>
      </c>
      <c r="AC735" t="s">
        <v>12626</v>
      </c>
      <c r="AD735" t="s">
        <v>12627</v>
      </c>
      <c r="AE735" t="s">
        <v>12628</v>
      </c>
      <c r="AF735" t="s">
        <v>74</v>
      </c>
      <c r="AG735">
        <v>113</v>
      </c>
      <c r="AH735">
        <v>6</v>
      </c>
      <c r="AI735">
        <v>6</v>
      </c>
      <c r="AJ735">
        <v>30</v>
      </c>
      <c r="AK735">
        <v>92</v>
      </c>
      <c r="AL735" t="s">
        <v>350</v>
      </c>
      <c r="AM735" t="s">
        <v>351</v>
      </c>
      <c r="AN735" t="s">
        <v>352</v>
      </c>
      <c r="AO735" t="s">
        <v>3673</v>
      </c>
      <c r="AP735" t="s">
        <v>3674</v>
      </c>
      <c r="AQ735" t="s">
        <v>74</v>
      </c>
      <c r="AR735" t="s">
        <v>3675</v>
      </c>
      <c r="AS735" t="s">
        <v>3676</v>
      </c>
      <c r="AT735" t="s">
        <v>392</v>
      </c>
      <c r="AU735">
        <v>2022</v>
      </c>
      <c r="AV735">
        <v>29</v>
      </c>
      <c r="AW735">
        <v>3</v>
      </c>
      <c r="AX735" t="s">
        <v>74</v>
      </c>
      <c r="AY735" t="s">
        <v>74</v>
      </c>
      <c r="AZ735" t="s">
        <v>74</v>
      </c>
      <c r="BA735" t="s">
        <v>74</v>
      </c>
      <c r="BB735">
        <v>342</v>
      </c>
      <c r="BC735">
        <v>358</v>
      </c>
      <c r="BD735">
        <v>1.548051821105994E+16</v>
      </c>
      <c r="BE735" t="s">
        <v>12629</v>
      </c>
      <c r="BF735" t="str">
        <f>HYPERLINK("http://dx.doi.org/10.1177/15480518211059941","http://dx.doi.org/10.1177/15480518211059941")</f>
        <v>http://dx.doi.org/10.1177/15480518211059941</v>
      </c>
      <c r="BG735" t="s">
        <v>74</v>
      </c>
      <c r="BH735" t="s">
        <v>9273</v>
      </c>
      <c r="BI735">
        <v>17</v>
      </c>
      <c r="BJ735" t="s">
        <v>442</v>
      </c>
      <c r="BK735" t="s">
        <v>94</v>
      </c>
      <c r="BL735" t="s">
        <v>95</v>
      </c>
      <c r="BM735" t="s">
        <v>12630</v>
      </c>
      <c r="BN735" t="s">
        <v>74</v>
      </c>
      <c r="BO735" t="s">
        <v>74</v>
      </c>
      <c r="BP735" t="s">
        <v>74</v>
      </c>
      <c r="BQ735" t="s">
        <v>74</v>
      </c>
      <c r="BR735" t="s">
        <v>97</v>
      </c>
      <c r="BS735" t="s">
        <v>12631</v>
      </c>
      <c r="BT735" t="str">
        <f>HYPERLINK("https%3A%2F%2Fwww.webofscience.com%2Fwos%2Fwoscc%2Ffull-record%2FWOS:000727861800001","View Full Record in Web of Science")</f>
        <v>View Full Record in Web of Science</v>
      </c>
    </row>
    <row r="736" spans="1:72" x14ac:dyDescent="0.25">
      <c r="A736" t="s">
        <v>72</v>
      </c>
      <c r="B736" t="s">
        <v>12632</v>
      </c>
      <c r="C736" t="s">
        <v>74</v>
      </c>
      <c r="D736" t="s">
        <v>74</v>
      </c>
      <c r="E736" t="s">
        <v>74</v>
      </c>
      <c r="F736" t="s">
        <v>12633</v>
      </c>
      <c r="G736" t="s">
        <v>74</v>
      </c>
      <c r="H736" t="s">
        <v>74</v>
      </c>
      <c r="I736" t="s">
        <v>12634</v>
      </c>
      <c r="J736" t="s">
        <v>12635</v>
      </c>
      <c r="K736" t="s">
        <v>74</v>
      </c>
      <c r="L736" t="s">
        <v>74</v>
      </c>
      <c r="M736" t="s">
        <v>77</v>
      </c>
      <c r="N736" t="s">
        <v>10095</v>
      </c>
      <c r="O736" t="s">
        <v>74</v>
      </c>
      <c r="P736" t="s">
        <v>74</v>
      </c>
      <c r="Q736" t="s">
        <v>74</v>
      </c>
      <c r="R736" t="s">
        <v>74</v>
      </c>
      <c r="S736" t="s">
        <v>74</v>
      </c>
      <c r="T736" t="s">
        <v>74</v>
      </c>
      <c r="U736" t="s">
        <v>12636</v>
      </c>
      <c r="V736" t="s">
        <v>12637</v>
      </c>
      <c r="W736" t="s">
        <v>12638</v>
      </c>
      <c r="X736" t="s">
        <v>2233</v>
      </c>
      <c r="Y736" t="s">
        <v>12639</v>
      </c>
      <c r="Z736" t="s">
        <v>12640</v>
      </c>
      <c r="AA736" t="s">
        <v>74</v>
      </c>
      <c r="AB736" t="s">
        <v>12641</v>
      </c>
      <c r="AC736" t="s">
        <v>12642</v>
      </c>
      <c r="AD736" t="s">
        <v>12643</v>
      </c>
      <c r="AE736" t="s">
        <v>12644</v>
      </c>
      <c r="AF736" t="s">
        <v>74</v>
      </c>
      <c r="AG736">
        <v>70</v>
      </c>
      <c r="AH736">
        <v>6</v>
      </c>
      <c r="AI736">
        <v>6</v>
      </c>
      <c r="AJ736">
        <v>11</v>
      </c>
      <c r="AK736">
        <v>30</v>
      </c>
      <c r="AL736" t="s">
        <v>218</v>
      </c>
      <c r="AM736" t="s">
        <v>219</v>
      </c>
      <c r="AN736" t="s">
        <v>220</v>
      </c>
      <c r="AO736" t="s">
        <v>12645</v>
      </c>
      <c r="AP736" t="s">
        <v>12646</v>
      </c>
      <c r="AQ736" t="s">
        <v>74</v>
      </c>
      <c r="AR736" t="s">
        <v>12647</v>
      </c>
      <c r="AS736" t="s">
        <v>12648</v>
      </c>
      <c r="AT736" t="s">
        <v>74</v>
      </c>
      <c r="AU736" t="s">
        <v>74</v>
      </c>
      <c r="AV736" t="s">
        <v>74</v>
      </c>
      <c r="AW736" t="s">
        <v>74</v>
      </c>
      <c r="AX736" t="s">
        <v>74</v>
      </c>
      <c r="AY736" t="s">
        <v>74</v>
      </c>
      <c r="AZ736" t="s">
        <v>74</v>
      </c>
      <c r="BA736" t="s">
        <v>74</v>
      </c>
      <c r="BB736" t="s">
        <v>74</v>
      </c>
      <c r="BC736" t="s">
        <v>74</v>
      </c>
      <c r="BD736" t="s">
        <v>74</v>
      </c>
      <c r="BE736" t="s">
        <v>12649</v>
      </c>
      <c r="BF736" t="str">
        <f>HYPERLINK("http://dx.doi.org/10.1111/padm.12801","http://dx.doi.org/10.1111/padm.12801")</f>
        <v>http://dx.doi.org/10.1111/padm.12801</v>
      </c>
      <c r="BG736" t="s">
        <v>74</v>
      </c>
      <c r="BH736" t="s">
        <v>12650</v>
      </c>
      <c r="BI736">
        <v>22</v>
      </c>
      <c r="BJ736" t="s">
        <v>1013</v>
      </c>
      <c r="BK736" t="s">
        <v>94</v>
      </c>
      <c r="BL736" t="s">
        <v>1014</v>
      </c>
      <c r="BM736" t="s">
        <v>12651</v>
      </c>
      <c r="BN736" t="s">
        <v>74</v>
      </c>
      <c r="BO736" t="s">
        <v>74</v>
      </c>
      <c r="BP736" t="s">
        <v>74</v>
      </c>
      <c r="BQ736" t="s">
        <v>74</v>
      </c>
      <c r="BR736" t="s">
        <v>97</v>
      </c>
      <c r="BS736" t="s">
        <v>12652</v>
      </c>
      <c r="BT736" t="str">
        <f>HYPERLINK("https%3A%2F%2Fwww.webofscience.com%2Fwos%2Fwoscc%2Ffull-record%2FWOS:000720349300001","View Full Record in Web of Science")</f>
        <v>View Full Record in Web of Science</v>
      </c>
    </row>
    <row r="737" spans="1:72" x14ac:dyDescent="0.25">
      <c r="A737" t="s">
        <v>72</v>
      </c>
      <c r="B737" t="s">
        <v>12653</v>
      </c>
      <c r="C737" t="s">
        <v>74</v>
      </c>
      <c r="D737" t="s">
        <v>74</v>
      </c>
      <c r="E737" t="s">
        <v>74</v>
      </c>
      <c r="F737" t="s">
        <v>12654</v>
      </c>
      <c r="G737" t="s">
        <v>74</v>
      </c>
      <c r="H737" t="s">
        <v>74</v>
      </c>
      <c r="I737" t="s">
        <v>12655</v>
      </c>
      <c r="J737" t="s">
        <v>3949</v>
      </c>
      <c r="K737" t="s">
        <v>74</v>
      </c>
      <c r="L737" t="s">
        <v>74</v>
      </c>
      <c r="M737" t="s">
        <v>77</v>
      </c>
      <c r="N737" t="s">
        <v>78</v>
      </c>
      <c r="O737" t="s">
        <v>74</v>
      </c>
      <c r="P737" t="s">
        <v>74</v>
      </c>
      <c r="Q737" t="s">
        <v>74</v>
      </c>
      <c r="R737" t="s">
        <v>74</v>
      </c>
      <c r="S737" t="s">
        <v>74</v>
      </c>
      <c r="T737" t="s">
        <v>12656</v>
      </c>
      <c r="U737" t="s">
        <v>12657</v>
      </c>
      <c r="V737" t="s">
        <v>12658</v>
      </c>
      <c r="W737" t="s">
        <v>12659</v>
      </c>
      <c r="X737" t="s">
        <v>12660</v>
      </c>
      <c r="Y737" t="s">
        <v>12661</v>
      </c>
      <c r="Z737" t="s">
        <v>12662</v>
      </c>
      <c r="AA737" t="s">
        <v>74</v>
      </c>
      <c r="AB737" t="s">
        <v>12663</v>
      </c>
      <c r="AC737" t="s">
        <v>74</v>
      </c>
      <c r="AD737" t="s">
        <v>74</v>
      </c>
      <c r="AE737" t="s">
        <v>74</v>
      </c>
      <c r="AF737" t="s">
        <v>74</v>
      </c>
      <c r="AG737">
        <v>78</v>
      </c>
      <c r="AH737">
        <v>6</v>
      </c>
      <c r="AI737">
        <v>6</v>
      </c>
      <c r="AJ737">
        <v>3</v>
      </c>
      <c r="AK737">
        <v>13</v>
      </c>
      <c r="AL737" t="s">
        <v>602</v>
      </c>
      <c r="AM737" t="s">
        <v>160</v>
      </c>
      <c r="AN737" t="s">
        <v>603</v>
      </c>
      <c r="AO737" t="s">
        <v>3962</v>
      </c>
      <c r="AP737" t="s">
        <v>3963</v>
      </c>
      <c r="AQ737" t="s">
        <v>74</v>
      </c>
      <c r="AR737" t="s">
        <v>3964</v>
      </c>
      <c r="AS737" t="s">
        <v>3965</v>
      </c>
      <c r="AT737" t="s">
        <v>375</v>
      </c>
      <c r="AU737">
        <v>2021</v>
      </c>
      <c r="AV737">
        <v>39</v>
      </c>
      <c r="AW737">
        <v>6</v>
      </c>
      <c r="AX737" t="s">
        <v>74</v>
      </c>
      <c r="AY737" t="s">
        <v>74</v>
      </c>
      <c r="AZ737" t="s">
        <v>74</v>
      </c>
      <c r="BA737" t="s">
        <v>74</v>
      </c>
      <c r="BB737">
        <v>755</v>
      </c>
      <c r="BC737">
        <v>767</v>
      </c>
      <c r="BD737" t="s">
        <v>74</v>
      </c>
      <c r="BE737" t="s">
        <v>12664</v>
      </c>
      <c r="BF737" t="str">
        <f>HYPERLINK("http://dx.doi.org/10.1016/j.emj.2021.01.012","http://dx.doi.org/10.1016/j.emj.2021.01.012")</f>
        <v>http://dx.doi.org/10.1016/j.emj.2021.01.012</v>
      </c>
      <c r="BG737" t="s">
        <v>74</v>
      </c>
      <c r="BH737" t="s">
        <v>12650</v>
      </c>
      <c r="BI737">
        <v>13</v>
      </c>
      <c r="BJ737" t="s">
        <v>93</v>
      </c>
      <c r="BK737" t="s">
        <v>94</v>
      </c>
      <c r="BL737" t="s">
        <v>95</v>
      </c>
      <c r="BM737" t="s">
        <v>12665</v>
      </c>
      <c r="BN737" t="s">
        <v>74</v>
      </c>
      <c r="BO737" t="s">
        <v>74</v>
      </c>
      <c r="BP737" t="s">
        <v>74</v>
      </c>
      <c r="BQ737" t="s">
        <v>74</v>
      </c>
      <c r="BR737" t="s">
        <v>97</v>
      </c>
      <c r="BS737" t="s">
        <v>12666</v>
      </c>
      <c r="BT737" t="str">
        <f>HYPERLINK("https%3A%2F%2Fwww.webofscience.com%2Fwos%2Fwoscc%2Ffull-record%2FWOS:000721585600008","View Full Record in Web of Science")</f>
        <v>View Full Record in Web of Science</v>
      </c>
    </row>
    <row r="738" spans="1:72" x14ac:dyDescent="0.25">
      <c r="A738" t="s">
        <v>72</v>
      </c>
      <c r="B738" t="s">
        <v>12667</v>
      </c>
      <c r="C738" t="s">
        <v>74</v>
      </c>
      <c r="D738" t="s">
        <v>74</v>
      </c>
      <c r="E738" t="s">
        <v>74</v>
      </c>
      <c r="F738" t="s">
        <v>12668</v>
      </c>
      <c r="G738" t="s">
        <v>74</v>
      </c>
      <c r="H738" t="s">
        <v>74</v>
      </c>
      <c r="I738" t="s">
        <v>12669</v>
      </c>
      <c r="J738" t="s">
        <v>2463</v>
      </c>
      <c r="K738" t="s">
        <v>74</v>
      </c>
      <c r="L738" t="s">
        <v>74</v>
      </c>
      <c r="M738" t="s">
        <v>77</v>
      </c>
      <c r="N738" t="s">
        <v>78</v>
      </c>
      <c r="O738" t="s">
        <v>74</v>
      </c>
      <c r="P738" t="s">
        <v>74</v>
      </c>
      <c r="Q738" t="s">
        <v>74</v>
      </c>
      <c r="R738" t="s">
        <v>74</v>
      </c>
      <c r="S738" t="s">
        <v>74</v>
      </c>
      <c r="T738" t="s">
        <v>12670</v>
      </c>
      <c r="U738" t="s">
        <v>12671</v>
      </c>
      <c r="V738" t="s">
        <v>12672</v>
      </c>
      <c r="W738" t="s">
        <v>12673</v>
      </c>
      <c r="X738" t="s">
        <v>5733</v>
      </c>
      <c r="Y738" t="s">
        <v>12674</v>
      </c>
      <c r="Z738" t="s">
        <v>12675</v>
      </c>
      <c r="AA738" t="s">
        <v>1784</v>
      </c>
      <c r="AB738" t="s">
        <v>5736</v>
      </c>
      <c r="AC738" t="s">
        <v>12676</v>
      </c>
      <c r="AD738" t="s">
        <v>12677</v>
      </c>
      <c r="AE738" t="s">
        <v>12678</v>
      </c>
      <c r="AF738" t="s">
        <v>74</v>
      </c>
      <c r="AG738">
        <v>67</v>
      </c>
      <c r="AH738">
        <v>6</v>
      </c>
      <c r="AI738">
        <v>6</v>
      </c>
      <c r="AJ738">
        <v>19</v>
      </c>
      <c r="AK738">
        <v>59</v>
      </c>
      <c r="AL738" t="s">
        <v>2473</v>
      </c>
      <c r="AM738" t="s">
        <v>2102</v>
      </c>
      <c r="AN738" t="s">
        <v>2474</v>
      </c>
      <c r="AO738" t="s">
        <v>74</v>
      </c>
      <c r="AP738" t="s">
        <v>2475</v>
      </c>
      <c r="AQ738" t="s">
        <v>74</v>
      </c>
      <c r="AR738" t="s">
        <v>2476</v>
      </c>
      <c r="AS738" t="s">
        <v>2477</v>
      </c>
      <c r="AT738" t="s">
        <v>584</v>
      </c>
      <c r="AU738">
        <v>2021</v>
      </c>
      <c r="AV738">
        <v>13</v>
      </c>
      <c r="AW738">
        <v>22</v>
      </c>
      <c r="AX738" t="s">
        <v>74</v>
      </c>
      <c r="AY738" t="s">
        <v>74</v>
      </c>
      <c r="AZ738" t="s">
        <v>74</v>
      </c>
      <c r="BA738" t="s">
        <v>74</v>
      </c>
      <c r="BB738" t="s">
        <v>74</v>
      </c>
      <c r="BC738" t="s">
        <v>74</v>
      </c>
      <c r="BD738">
        <v>12517</v>
      </c>
      <c r="BE738" t="s">
        <v>12679</v>
      </c>
      <c r="BF738" t="str">
        <f>HYPERLINK("http://dx.doi.org/10.3390/su132212517","http://dx.doi.org/10.3390/su132212517")</f>
        <v>http://dx.doi.org/10.3390/su132212517</v>
      </c>
      <c r="BG738" t="s">
        <v>74</v>
      </c>
      <c r="BH738" t="s">
        <v>74</v>
      </c>
      <c r="BI738">
        <v>14</v>
      </c>
      <c r="BJ738" t="s">
        <v>2479</v>
      </c>
      <c r="BK738" t="s">
        <v>147</v>
      </c>
      <c r="BL738" t="s">
        <v>2480</v>
      </c>
      <c r="BM738" t="s">
        <v>12680</v>
      </c>
      <c r="BN738" t="s">
        <v>74</v>
      </c>
      <c r="BO738" t="s">
        <v>2482</v>
      </c>
      <c r="BP738" t="s">
        <v>74</v>
      </c>
      <c r="BQ738" t="s">
        <v>74</v>
      </c>
      <c r="BR738" t="s">
        <v>97</v>
      </c>
      <c r="BS738" t="s">
        <v>12681</v>
      </c>
      <c r="BT738" t="str">
        <f>HYPERLINK("https%3A%2F%2Fwww.webofscience.com%2Fwos%2Fwoscc%2Ffull-record%2FWOS:000726922600001","View Full Record in Web of Science")</f>
        <v>View Full Record in Web of Science</v>
      </c>
    </row>
    <row r="739" spans="1:72" x14ac:dyDescent="0.25">
      <c r="A739" t="s">
        <v>72</v>
      </c>
      <c r="B739" t="s">
        <v>12682</v>
      </c>
      <c r="C739" t="s">
        <v>74</v>
      </c>
      <c r="D739" t="s">
        <v>74</v>
      </c>
      <c r="E739" t="s">
        <v>74</v>
      </c>
      <c r="F739" t="s">
        <v>12683</v>
      </c>
      <c r="G739" t="s">
        <v>74</v>
      </c>
      <c r="H739" t="s">
        <v>74</v>
      </c>
      <c r="I739" t="s">
        <v>12684</v>
      </c>
      <c r="J739" t="s">
        <v>6372</v>
      </c>
      <c r="K739" t="s">
        <v>74</v>
      </c>
      <c r="L739" t="s">
        <v>74</v>
      </c>
      <c r="M739" t="s">
        <v>77</v>
      </c>
      <c r="N739" t="s">
        <v>78</v>
      </c>
      <c r="O739" t="s">
        <v>74</v>
      </c>
      <c r="P739" t="s">
        <v>74</v>
      </c>
      <c r="Q739" t="s">
        <v>74</v>
      </c>
      <c r="R739" t="s">
        <v>74</v>
      </c>
      <c r="S739" t="s">
        <v>74</v>
      </c>
      <c r="T739" t="s">
        <v>12685</v>
      </c>
      <c r="U739" t="s">
        <v>12686</v>
      </c>
      <c r="V739" t="s">
        <v>12687</v>
      </c>
      <c r="W739" t="s">
        <v>12688</v>
      </c>
      <c r="X739" t="s">
        <v>12689</v>
      </c>
      <c r="Y739" t="s">
        <v>12690</v>
      </c>
      <c r="Z739" t="s">
        <v>12691</v>
      </c>
      <c r="AA739" t="s">
        <v>12692</v>
      </c>
      <c r="AB739" t="s">
        <v>12693</v>
      </c>
      <c r="AC739" t="s">
        <v>12694</v>
      </c>
      <c r="AD739" t="s">
        <v>12695</v>
      </c>
      <c r="AE739" t="s">
        <v>12696</v>
      </c>
      <c r="AF739" t="s">
        <v>74</v>
      </c>
      <c r="AG739">
        <v>90</v>
      </c>
      <c r="AH739">
        <v>6</v>
      </c>
      <c r="AI739">
        <v>6</v>
      </c>
      <c r="AJ739">
        <v>19</v>
      </c>
      <c r="AK739">
        <v>47</v>
      </c>
      <c r="AL739" t="s">
        <v>2473</v>
      </c>
      <c r="AM739" t="s">
        <v>2102</v>
      </c>
      <c r="AN739" t="s">
        <v>2474</v>
      </c>
      <c r="AO739" t="s">
        <v>74</v>
      </c>
      <c r="AP739" t="s">
        <v>6384</v>
      </c>
      <c r="AQ739" t="s">
        <v>74</v>
      </c>
      <c r="AR739" t="s">
        <v>6385</v>
      </c>
      <c r="AS739" t="s">
        <v>6386</v>
      </c>
      <c r="AT739" t="s">
        <v>91</v>
      </c>
      <c r="AU739">
        <v>2021</v>
      </c>
      <c r="AV739">
        <v>18</v>
      </c>
      <c r="AW739">
        <v>12</v>
      </c>
      <c r="AX739" t="s">
        <v>74</v>
      </c>
      <c r="AY739" t="s">
        <v>74</v>
      </c>
      <c r="AZ739" t="s">
        <v>74</v>
      </c>
      <c r="BA739" t="s">
        <v>74</v>
      </c>
      <c r="BB739" t="s">
        <v>74</v>
      </c>
      <c r="BC739" t="s">
        <v>74</v>
      </c>
      <c r="BD739">
        <v>6423</v>
      </c>
      <c r="BE739" t="s">
        <v>12697</v>
      </c>
      <c r="BF739" t="str">
        <f>HYPERLINK("http://dx.doi.org/10.3390/ijerph18126423","http://dx.doi.org/10.3390/ijerph18126423")</f>
        <v>http://dx.doi.org/10.3390/ijerph18126423</v>
      </c>
      <c r="BG739" t="s">
        <v>74</v>
      </c>
      <c r="BH739" t="s">
        <v>74</v>
      </c>
      <c r="BI739">
        <v>20</v>
      </c>
      <c r="BJ739" t="s">
        <v>6388</v>
      </c>
      <c r="BK739" t="s">
        <v>147</v>
      </c>
      <c r="BL739" t="s">
        <v>6389</v>
      </c>
      <c r="BM739" t="s">
        <v>12698</v>
      </c>
      <c r="BN739">
        <v>34198506</v>
      </c>
      <c r="BO739" t="s">
        <v>3205</v>
      </c>
      <c r="BP739" t="s">
        <v>74</v>
      </c>
      <c r="BQ739" t="s">
        <v>74</v>
      </c>
      <c r="BR739" t="s">
        <v>97</v>
      </c>
      <c r="BS739" t="s">
        <v>12699</v>
      </c>
      <c r="BT739" t="str">
        <f>HYPERLINK("https%3A%2F%2Fwww.webofscience.com%2Fwos%2Fwoscc%2Ffull-record%2FWOS:000665966000001","View Full Record in Web of Science")</f>
        <v>View Full Record in Web of Science</v>
      </c>
    </row>
    <row r="740" spans="1:72" x14ac:dyDescent="0.25">
      <c r="A740" t="s">
        <v>72</v>
      </c>
      <c r="B740" t="s">
        <v>12700</v>
      </c>
      <c r="C740" t="s">
        <v>74</v>
      </c>
      <c r="D740" t="s">
        <v>74</v>
      </c>
      <c r="E740" t="s">
        <v>74</v>
      </c>
      <c r="F740" t="s">
        <v>12701</v>
      </c>
      <c r="G740" t="s">
        <v>74</v>
      </c>
      <c r="H740" t="s">
        <v>74</v>
      </c>
      <c r="I740" t="s">
        <v>12702</v>
      </c>
      <c r="J740" t="s">
        <v>3820</v>
      </c>
      <c r="K740" t="s">
        <v>74</v>
      </c>
      <c r="L740" t="s">
        <v>74</v>
      </c>
      <c r="M740" t="s">
        <v>77</v>
      </c>
      <c r="N740" t="s">
        <v>78</v>
      </c>
      <c r="O740" t="s">
        <v>74</v>
      </c>
      <c r="P740" t="s">
        <v>74</v>
      </c>
      <c r="Q740" t="s">
        <v>74</v>
      </c>
      <c r="R740" t="s">
        <v>74</v>
      </c>
      <c r="S740" t="s">
        <v>74</v>
      </c>
      <c r="T740" t="s">
        <v>12703</v>
      </c>
      <c r="U740" t="s">
        <v>12704</v>
      </c>
      <c r="V740" t="s">
        <v>12705</v>
      </c>
      <c r="W740" t="s">
        <v>12706</v>
      </c>
      <c r="X740" t="s">
        <v>4903</v>
      </c>
      <c r="Y740" t="s">
        <v>12707</v>
      </c>
      <c r="Z740" t="s">
        <v>12708</v>
      </c>
      <c r="AA740" t="s">
        <v>12709</v>
      </c>
      <c r="AB740" t="s">
        <v>12710</v>
      </c>
      <c r="AC740" t="s">
        <v>74</v>
      </c>
      <c r="AD740" t="s">
        <v>74</v>
      </c>
      <c r="AE740" t="s">
        <v>74</v>
      </c>
      <c r="AF740" t="s">
        <v>74</v>
      </c>
      <c r="AG740">
        <v>90</v>
      </c>
      <c r="AH740">
        <v>6</v>
      </c>
      <c r="AI740">
        <v>6</v>
      </c>
      <c r="AJ740">
        <v>10</v>
      </c>
      <c r="AK740">
        <v>33</v>
      </c>
      <c r="AL740" t="s">
        <v>766</v>
      </c>
      <c r="AM740" t="s">
        <v>330</v>
      </c>
      <c r="AN740" t="s">
        <v>1452</v>
      </c>
      <c r="AO740" t="s">
        <v>3827</v>
      </c>
      <c r="AP740" t="s">
        <v>3828</v>
      </c>
      <c r="AQ740" t="s">
        <v>74</v>
      </c>
      <c r="AR740" t="s">
        <v>3829</v>
      </c>
      <c r="AS740" t="s">
        <v>3830</v>
      </c>
      <c r="AT740" t="s">
        <v>122</v>
      </c>
      <c r="AU740">
        <v>2022</v>
      </c>
      <c r="AV740">
        <v>47</v>
      </c>
      <c r="AW740">
        <v>2</v>
      </c>
      <c r="AX740" t="s">
        <v>74</v>
      </c>
      <c r="AY740" t="s">
        <v>74</v>
      </c>
      <c r="AZ740" t="s">
        <v>74</v>
      </c>
      <c r="BA740" t="s">
        <v>74</v>
      </c>
      <c r="BB740">
        <v>506</v>
      </c>
      <c r="BC740">
        <v>530</v>
      </c>
      <c r="BD740" t="s">
        <v>74</v>
      </c>
      <c r="BE740" t="s">
        <v>12711</v>
      </c>
      <c r="BF740" t="str">
        <f>HYPERLINK("http://dx.doi.org/10.1007/s10961-021-09853-6","http://dx.doi.org/10.1007/s10961-021-09853-6")</f>
        <v>http://dx.doi.org/10.1007/s10961-021-09853-6</v>
      </c>
      <c r="BG740" t="s">
        <v>74</v>
      </c>
      <c r="BH740" t="s">
        <v>5544</v>
      </c>
      <c r="BI740">
        <v>25</v>
      </c>
      <c r="BJ740" t="s">
        <v>3832</v>
      </c>
      <c r="BK740" t="s">
        <v>94</v>
      </c>
      <c r="BL740" t="s">
        <v>3833</v>
      </c>
      <c r="BM740" t="s">
        <v>12712</v>
      </c>
      <c r="BN740" t="s">
        <v>74</v>
      </c>
      <c r="BO740" t="s">
        <v>378</v>
      </c>
      <c r="BP740" t="s">
        <v>74</v>
      </c>
      <c r="BQ740" t="s">
        <v>74</v>
      </c>
      <c r="BR740" t="s">
        <v>97</v>
      </c>
      <c r="BS740" t="s">
        <v>12713</v>
      </c>
      <c r="BT740" t="str">
        <f>HYPERLINK("https%3A%2F%2Fwww.webofscience.com%2Fwos%2Fwoscc%2Ffull-record%2FWOS:000630268500001","View Full Record in Web of Science")</f>
        <v>View Full Record in Web of Science</v>
      </c>
    </row>
    <row r="741" spans="1:72" x14ac:dyDescent="0.25">
      <c r="A741" t="s">
        <v>72</v>
      </c>
      <c r="B741" t="s">
        <v>12714</v>
      </c>
      <c r="C741" t="s">
        <v>74</v>
      </c>
      <c r="D741" t="s">
        <v>74</v>
      </c>
      <c r="E741" t="s">
        <v>74</v>
      </c>
      <c r="F741" t="s">
        <v>12715</v>
      </c>
      <c r="G741" t="s">
        <v>74</v>
      </c>
      <c r="H741" t="s">
        <v>74</v>
      </c>
      <c r="I741" t="s">
        <v>12716</v>
      </c>
      <c r="J741" t="s">
        <v>1290</v>
      </c>
      <c r="K741" t="s">
        <v>74</v>
      </c>
      <c r="L741" t="s">
        <v>74</v>
      </c>
      <c r="M741" t="s">
        <v>77</v>
      </c>
      <c r="N741" t="s">
        <v>78</v>
      </c>
      <c r="O741" t="s">
        <v>74</v>
      </c>
      <c r="P741" t="s">
        <v>74</v>
      </c>
      <c r="Q741" t="s">
        <v>74</v>
      </c>
      <c r="R741" t="s">
        <v>74</v>
      </c>
      <c r="S741" t="s">
        <v>74</v>
      </c>
      <c r="T741" t="s">
        <v>12717</v>
      </c>
      <c r="U741" t="s">
        <v>12718</v>
      </c>
      <c r="V741" t="s">
        <v>12719</v>
      </c>
      <c r="W741" t="s">
        <v>12720</v>
      </c>
      <c r="X741" t="s">
        <v>12721</v>
      </c>
      <c r="Y741" t="s">
        <v>12722</v>
      </c>
      <c r="Z741" t="s">
        <v>12723</v>
      </c>
      <c r="AA741" t="s">
        <v>74</v>
      </c>
      <c r="AB741" t="s">
        <v>12724</v>
      </c>
      <c r="AC741" t="s">
        <v>74</v>
      </c>
      <c r="AD741" t="s">
        <v>74</v>
      </c>
      <c r="AE741" t="s">
        <v>74</v>
      </c>
      <c r="AF741" t="s">
        <v>74</v>
      </c>
      <c r="AG741">
        <v>77</v>
      </c>
      <c r="AH741">
        <v>6</v>
      </c>
      <c r="AI741">
        <v>6</v>
      </c>
      <c r="AJ741">
        <v>8</v>
      </c>
      <c r="AK741">
        <v>37</v>
      </c>
      <c r="AL741" t="s">
        <v>665</v>
      </c>
      <c r="AM741" t="s">
        <v>666</v>
      </c>
      <c r="AN741" t="s">
        <v>667</v>
      </c>
      <c r="AO741" t="s">
        <v>1300</v>
      </c>
      <c r="AP741" t="s">
        <v>1301</v>
      </c>
      <c r="AQ741" t="s">
        <v>74</v>
      </c>
      <c r="AR741" t="s">
        <v>1302</v>
      </c>
      <c r="AS741" t="s">
        <v>1303</v>
      </c>
      <c r="AT741" t="s">
        <v>12725</v>
      </c>
      <c r="AU741">
        <v>2021</v>
      </c>
      <c r="AV741">
        <v>33</v>
      </c>
      <c r="AW741">
        <v>4</v>
      </c>
      <c r="AX741" t="s">
        <v>74</v>
      </c>
      <c r="AY741" t="s">
        <v>74</v>
      </c>
      <c r="AZ741" t="s">
        <v>74</v>
      </c>
      <c r="BA741" t="s">
        <v>74</v>
      </c>
      <c r="BB741">
        <v>1210</v>
      </c>
      <c r="BC741">
        <v>1229</v>
      </c>
      <c r="BD741" t="s">
        <v>74</v>
      </c>
      <c r="BE741" t="s">
        <v>12726</v>
      </c>
      <c r="BF741" t="str">
        <f>HYPERLINK("http://dx.doi.org/10.1108/IJCHM-05-2020-0479","http://dx.doi.org/10.1108/IJCHM-05-2020-0479")</f>
        <v>http://dx.doi.org/10.1108/IJCHM-05-2020-0479</v>
      </c>
      <c r="BG741" t="s">
        <v>74</v>
      </c>
      <c r="BH741" t="s">
        <v>10162</v>
      </c>
      <c r="BI741">
        <v>20</v>
      </c>
      <c r="BJ741" t="s">
        <v>1305</v>
      </c>
      <c r="BK741" t="s">
        <v>94</v>
      </c>
      <c r="BL741" t="s">
        <v>1306</v>
      </c>
      <c r="BM741" t="s">
        <v>12727</v>
      </c>
      <c r="BN741" t="s">
        <v>74</v>
      </c>
      <c r="BO741" t="s">
        <v>74</v>
      </c>
      <c r="BP741" t="s">
        <v>74</v>
      </c>
      <c r="BQ741" t="s">
        <v>74</v>
      </c>
      <c r="BR741" t="s">
        <v>97</v>
      </c>
      <c r="BS741" t="s">
        <v>12728</v>
      </c>
      <c r="BT741" t="str">
        <f>HYPERLINK("https%3A%2F%2Fwww.webofscience.com%2Fwos%2Fwoscc%2Ffull-record%2FWOS:000625413900001","View Full Record in Web of Science")</f>
        <v>View Full Record in Web of Science</v>
      </c>
    </row>
    <row r="742" spans="1:72" x14ac:dyDescent="0.25">
      <c r="A742" t="s">
        <v>72</v>
      </c>
      <c r="B742" t="s">
        <v>12729</v>
      </c>
      <c r="C742" t="s">
        <v>74</v>
      </c>
      <c r="D742" t="s">
        <v>74</v>
      </c>
      <c r="E742" t="s">
        <v>74</v>
      </c>
      <c r="F742" t="s">
        <v>12730</v>
      </c>
      <c r="G742" t="s">
        <v>74</v>
      </c>
      <c r="H742" t="s">
        <v>74</v>
      </c>
      <c r="I742" t="s">
        <v>12731</v>
      </c>
      <c r="J742" t="s">
        <v>318</v>
      </c>
      <c r="K742" t="s">
        <v>74</v>
      </c>
      <c r="L742" t="s">
        <v>74</v>
      </c>
      <c r="M742" t="s">
        <v>77</v>
      </c>
      <c r="N742" t="s">
        <v>78</v>
      </c>
      <c r="O742" t="s">
        <v>74</v>
      </c>
      <c r="P742" t="s">
        <v>74</v>
      </c>
      <c r="Q742" t="s">
        <v>74</v>
      </c>
      <c r="R742" t="s">
        <v>74</v>
      </c>
      <c r="S742" t="s">
        <v>74</v>
      </c>
      <c r="T742" t="s">
        <v>12732</v>
      </c>
      <c r="U742" t="s">
        <v>12733</v>
      </c>
      <c r="V742" t="s">
        <v>12734</v>
      </c>
      <c r="W742" t="s">
        <v>12735</v>
      </c>
      <c r="X742" t="s">
        <v>12736</v>
      </c>
      <c r="Y742" t="s">
        <v>12737</v>
      </c>
      <c r="Z742" t="s">
        <v>12738</v>
      </c>
      <c r="AA742" t="s">
        <v>12739</v>
      </c>
      <c r="AB742" t="s">
        <v>74</v>
      </c>
      <c r="AC742" t="s">
        <v>12740</v>
      </c>
      <c r="AD742" t="s">
        <v>12740</v>
      </c>
      <c r="AE742" t="s">
        <v>12741</v>
      </c>
      <c r="AF742" t="s">
        <v>74</v>
      </c>
      <c r="AG742">
        <v>122</v>
      </c>
      <c r="AH742">
        <v>6</v>
      </c>
      <c r="AI742">
        <v>7</v>
      </c>
      <c r="AJ742">
        <v>8</v>
      </c>
      <c r="AK742">
        <v>44</v>
      </c>
      <c r="AL742" t="s">
        <v>329</v>
      </c>
      <c r="AM742" t="s">
        <v>330</v>
      </c>
      <c r="AN742" t="s">
        <v>331</v>
      </c>
      <c r="AO742" t="s">
        <v>332</v>
      </c>
      <c r="AP742" t="s">
        <v>333</v>
      </c>
      <c r="AQ742" t="s">
        <v>74</v>
      </c>
      <c r="AR742" t="s">
        <v>334</v>
      </c>
      <c r="AS742" t="s">
        <v>335</v>
      </c>
      <c r="AT742" t="s">
        <v>200</v>
      </c>
      <c r="AU742">
        <v>2021</v>
      </c>
      <c r="AV742">
        <v>126</v>
      </c>
      <c r="AW742" t="s">
        <v>74</v>
      </c>
      <c r="AX742" t="s">
        <v>74</v>
      </c>
      <c r="AY742" t="s">
        <v>74</v>
      </c>
      <c r="AZ742" t="s">
        <v>74</v>
      </c>
      <c r="BA742" t="s">
        <v>74</v>
      </c>
      <c r="BB742">
        <v>363</v>
      </c>
      <c r="BC742">
        <v>375</v>
      </c>
      <c r="BD742" t="s">
        <v>74</v>
      </c>
      <c r="BE742" t="s">
        <v>12742</v>
      </c>
      <c r="BF742" t="str">
        <f>HYPERLINK("http://dx.doi.org/10.1016/j.jbusres.2020.12.064","http://dx.doi.org/10.1016/j.jbusres.2020.12.064")</f>
        <v>http://dx.doi.org/10.1016/j.jbusres.2020.12.064</v>
      </c>
      <c r="BG742" t="s">
        <v>74</v>
      </c>
      <c r="BH742" t="s">
        <v>6664</v>
      </c>
      <c r="BI742">
        <v>13</v>
      </c>
      <c r="BJ742" t="s">
        <v>337</v>
      </c>
      <c r="BK742" t="s">
        <v>94</v>
      </c>
      <c r="BL742" t="s">
        <v>95</v>
      </c>
      <c r="BM742" t="s">
        <v>12743</v>
      </c>
      <c r="BN742" t="s">
        <v>74</v>
      </c>
      <c r="BO742" t="s">
        <v>74</v>
      </c>
      <c r="BP742" t="s">
        <v>74</v>
      </c>
      <c r="BQ742" t="s">
        <v>74</v>
      </c>
      <c r="BR742" t="s">
        <v>97</v>
      </c>
      <c r="BS742" t="s">
        <v>12744</v>
      </c>
      <c r="BT742" t="str">
        <f>HYPERLINK("https%3A%2F%2Fwww.webofscience.com%2Fwos%2Fwoscc%2Ffull-record%2FWOS:000620055100031","View Full Record in Web of Science")</f>
        <v>View Full Record in Web of Science</v>
      </c>
    </row>
    <row r="743" spans="1:72" x14ac:dyDescent="0.25">
      <c r="A743" t="s">
        <v>72</v>
      </c>
      <c r="B743" t="s">
        <v>12745</v>
      </c>
      <c r="C743" t="s">
        <v>74</v>
      </c>
      <c r="D743" t="s">
        <v>74</v>
      </c>
      <c r="E743" t="s">
        <v>74</v>
      </c>
      <c r="F743" t="s">
        <v>12746</v>
      </c>
      <c r="G743" t="s">
        <v>74</v>
      </c>
      <c r="H743" t="s">
        <v>74</v>
      </c>
      <c r="I743" t="s">
        <v>12747</v>
      </c>
      <c r="J743" t="s">
        <v>6395</v>
      </c>
      <c r="K743" t="s">
        <v>74</v>
      </c>
      <c r="L743" t="s">
        <v>74</v>
      </c>
      <c r="M743" t="s">
        <v>77</v>
      </c>
      <c r="N743" t="s">
        <v>78</v>
      </c>
      <c r="O743" t="s">
        <v>74</v>
      </c>
      <c r="P743" t="s">
        <v>74</v>
      </c>
      <c r="Q743" t="s">
        <v>74</v>
      </c>
      <c r="R743" t="s">
        <v>74</v>
      </c>
      <c r="S743" t="s">
        <v>74</v>
      </c>
      <c r="T743" t="s">
        <v>12748</v>
      </c>
      <c r="U743" t="s">
        <v>12749</v>
      </c>
      <c r="V743" t="s">
        <v>12750</v>
      </c>
      <c r="W743" t="s">
        <v>12751</v>
      </c>
      <c r="X743" t="s">
        <v>12752</v>
      </c>
      <c r="Y743" t="s">
        <v>12753</v>
      </c>
      <c r="Z743" t="s">
        <v>12754</v>
      </c>
      <c r="AA743" t="s">
        <v>74</v>
      </c>
      <c r="AB743" t="s">
        <v>74</v>
      </c>
      <c r="AC743" t="s">
        <v>74</v>
      </c>
      <c r="AD743" t="s">
        <v>74</v>
      </c>
      <c r="AE743" t="s">
        <v>74</v>
      </c>
      <c r="AF743" t="s">
        <v>74</v>
      </c>
      <c r="AG743">
        <v>79</v>
      </c>
      <c r="AH743">
        <v>6</v>
      </c>
      <c r="AI743">
        <v>6</v>
      </c>
      <c r="AJ743">
        <v>10</v>
      </c>
      <c r="AK743">
        <v>28</v>
      </c>
      <c r="AL743" t="s">
        <v>6407</v>
      </c>
      <c r="AM743" t="s">
        <v>6408</v>
      </c>
      <c r="AN743" t="s">
        <v>6409</v>
      </c>
      <c r="AO743" t="s">
        <v>6410</v>
      </c>
      <c r="AP743" t="s">
        <v>74</v>
      </c>
      <c r="AQ743" t="s">
        <v>74</v>
      </c>
      <c r="AR743" t="s">
        <v>6411</v>
      </c>
      <c r="AS743" t="s">
        <v>6412</v>
      </c>
      <c r="AT743" t="s">
        <v>74</v>
      </c>
      <c r="AU743">
        <v>2021</v>
      </c>
      <c r="AV743">
        <v>14</v>
      </c>
      <c r="AW743" t="s">
        <v>74</v>
      </c>
      <c r="AX743" t="s">
        <v>74</v>
      </c>
      <c r="AY743" t="s">
        <v>74</v>
      </c>
      <c r="AZ743" t="s">
        <v>74</v>
      </c>
      <c r="BA743" t="s">
        <v>74</v>
      </c>
      <c r="BB743">
        <v>2001</v>
      </c>
      <c r="BC743">
        <v>2014</v>
      </c>
      <c r="BD743" t="s">
        <v>74</v>
      </c>
      <c r="BE743" t="s">
        <v>12755</v>
      </c>
      <c r="BF743" t="str">
        <f>HYPERLINK("http://dx.doi.org/10.2147/PRBM.S342875","http://dx.doi.org/10.2147/PRBM.S342875")</f>
        <v>http://dx.doi.org/10.2147/PRBM.S342875</v>
      </c>
      <c r="BG743" t="s">
        <v>74</v>
      </c>
      <c r="BH743" t="s">
        <v>74</v>
      </c>
      <c r="BI743">
        <v>14</v>
      </c>
      <c r="BJ743" t="s">
        <v>6414</v>
      </c>
      <c r="BK743" t="s">
        <v>94</v>
      </c>
      <c r="BL743" t="s">
        <v>6415</v>
      </c>
      <c r="BM743" t="s">
        <v>12756</v>
      </c>
      <c r="BN743">
        <v>34934367</v>
      </c>
      <c r="BO743" t="s">
        <v>4398</v>
      </c>
      <c r="BP743" t="s">
        <v>74</v>
      </c>
      <c r="BQ743" t="s">
        <v>74</v>
      </c>
      <c r="BR743" t="s">
        <v>97</v>
      </c>
      <c r="BS743" t="s">
        <v>12757</v>
      </c>
      <c r="BT743" t="str">
        <f>HYPERLINK("https%3A%2F%2Fwww.webofscience.com%2Fwos%2Fwoscc%2Ffull-record%2FWOS:000732763900001","View Full Record in Web of Science")</f>
        <v>View Full Record in Web of Science</v>
      </c>
    </row>
    <row r="744" spans="1:72" x14ac:dyDescent="0.25">
      <c r="A744" t="s">
        <v>72</v>
      </c>
      <c r="B744" t="s">
        <v>12758</v>
      </c>
      <c r="C744" t="s">
        <v>74</v>
      </c>
      <c r="D744" t="s">
        <v>74</v>
      </c>
      <c r="E744" t="s">
        <v>74</v>
      </c>
      <c r="F744" t="s">
        <v>12759</v>
      </c>
      <c r="G744" t="s">
        <v>74</v>
      </c>
      <c r="H744" t="s">
        <v>74</v>
      </c>
      <c r="I744" t="s">
        <v>12760</v>
      </c>
      <c r="J744" t="s">
        <v>6168</v>
      </c>
      <c r="K744" t="s">
        <v>74</v>
      </c>
      <c r="L744" t="s">
        <v>74</v>
      </c>
      <c r="M744" t="s">
        <v>77</v>
      </c>
      <c r="N744" t="s">
        <v>78</v>
      </c>
      <c r="O744" t="s">
        <v>74</v>
      </c>
      <c r="P744" t="s">
        <v>74</v>
      </c>
      <c r="Q744" t="s">
        <v>74</v>
      </c>
      <c r="R744" t="s">
        <v>74</v>
      </c>
      <c r="S744" t="s">
        <v>74</v>
      </c>
      <c r="T744" t="s">
        <v>12761</v>
      </c>
      <c r="U744" t="s">
        <v>12762</v>
      </c>
      <c r="V744" t="s">
        <v>12763</v>
      </c>
      <c r="W744" t="s">
        <v>12764</v>
      </c>
      <c r="X744" t="s">
        <v>3890</v>
      </c>
      <c r="Y744" t="s">
        <v>12765</v>
      </c>
      <c r="Z744" t="s">
        <v>3892</v>
      </c>
      <c r="AA744" t="s">
        <v>74</v>
      </c>
      <c r="AB744" t="s">
        <v>74</v>
      </c>
      <c r="AC744" t="s">
        <v>74</v>
      </c>
      <c r="AD744" t="s">
        <v>74</v>
      </c>
      <c r="AE744" t="s">
        <v>74</v>
      </c>
      <c r="AF744" t="s">
        <v>74</v>
      </c>
      <c r="AG744">
        <v>105</v>
      </c>
      <c r="AH744">
        <v>6</v>
      </c>
      <c r="AI744">
        <v>6</v>
      </c>
      <c r="AJ744">
        <v>6</v>
      </c>
      <c r="AK744">
        <v>38</v>
      </c>
      <c r="AL744" t="s">
        <v>350</v>
      </c>
      <c r="AM744" t="s">
        <v>351</v>
      </c>
      <c r="AN744" t="s">
        <v>352</v>
      </c>
      <c r="AO744" t="s">
        <v>6180</v>
      </c>
      <c r="AP744" t="s">
        <v>6181</v>
      </c>
      <c r="AQ744" t="s">
        <v>74</v>
      </c>
      <c r="AR744" t="s">
        <v>6182</v>
      </c>
      <c r="AS744" t="s">
        <v>6183</v>
      </c>
      <c r="AT744" t="s">
        <v>91</v>
      </c>
      <c r="AU744">
        <v>2022</v>
      </c>
      <c r="AV744">
        <v>46</v>
      </c>
      <c r="AW744">
        <v>5</v>
      </c>
      <c r="AX744" t="s">
        <v>74</v>
      </c>
      <c r="AY744" t="s">
        <v>74</v>
      </c>
      <c r="AZ744" t="s">
        <v>860</v>
      </c>
      <c r="BA744" t="s">
        <v>74</v>
      </c>
      <c r="BB744">
        <v>879</v>
      </c>
      <c r="BC744">
        <v>904</v>
      </c>
      <c r="BD744">
        <v>1096348020963701</v>
      </c>
      <c r="BE744" t="s">
        <v>12766</v>
      </c>
      <c r="BF744" t="str">
        <f>HYPERLINK("http://dx.doi.org/10.1177/1096348020963701","http://dx.doi.org/10.1177/1096348020963701")</f>
        <v>http://dx.doi.org/10.1177/1096348020963701</v>
      </c>
      <c r="BG744" t="s">
        <v>74</v>
      </c>
      <c r="BH744" t="s">
        <v>12767</v>
      </c>
      <c r="BI744">
        <v>26</v>
      </c>
      <c r="BJ744" t="s">
        <v>630</v>
      </c>
      <c r="BK744" t="s">
        <v>94</v>
      </c>
      <c r="BL744" t="s">
        <v>631</v>
      </c>
      <c r="BM744" t="s">
        <v>12768</v>
      </c>
      <c r="BN744" t="s">
        <v>74</v>
      </c>
      <c r="BO744" t="s">
        <v>74</v>
      </c>
      <c r="BP744" t="s">
        <v>74</v>
      </c>
      <c r="BQ744" t="s">
        <v>74</v>
      </c>
      <c r="BR744" t="s">
        <v>97</v>
      </c>
      <c r="BS744" t="s">
        <v>12769</v>
      </c>
      <c r="BT744" t="str">
        <f>HYPERLINK("https%3A%2F%2Fwww.webofscience.com%2Fwos%2Fwoscc%2Ffull-record%2FWOS:000578550400001","View Full Record in Web of Science")</f>
        <v>View Full Record in Web of Science</v>
      </c>
    </row>
    <row r="745" spans="1:72" x14ac:dyDescent="0.25">
      <c r="A745" t="s">
        <v>72</v>
      </c>
      <c r="B745" t="s">
        <v>12770</v>
      </c>
      <c r="C745" t="s">
        <v>74</v>
      </c>
      <c r="D745" t="s">
        <v>74</v>
      </c>
      <c r="E745" t="s">
        <v>74</v>
      </c>
      <c r="F745" t="s">
        <v>12771</v>
      </c>
      <c r="G745" t="s">
        <v>74</v>
      </c>
      <c r="H745" t="s">
        <v>74</v>
      </c>
      <c r="I745" t="s">
        <v>12772</v>
      </c>
      <c r="J745" t="s">
        <v>12773</v>
      </c>
      <c r="K745" t="s">
        <v>74</v>
      </c>
      <c r="L745" t="s">
        <v>74</v>
      </c>
      <c r="M745" t="s">
        <v>77</v>
      </c>
      <c r="N745" t="s">
        <v>78</v>
      </c>
      <c r="O745" t="s">
        <v>74</v>
      </c>
      <c r="P745" t="s">
        <v>74</v>
      </c>
      <c r="Q745" t="s">
        <v>74</v>
      </c>
      <c r="R745" t="s">
        <v>74</v>
      </c>
      <c r="S745" t="s">
        <v>74</v>
      </c>
      <c r="T745" t="s">
        <v>12774</v>
      </c>
      <c r="U745" t="s">
        <v>12775</v>
      </c>
      <c r="V745" t="s">
        <v>12776</v>
      </c>
      <c r="W745" t="s">
        <v>12777</v>
      </c>
      <c r="X745" t="s">
        <v>12778</v>
      </c>
      <c r="Y745" t="s">
        <v>12779</v>
      </c>
      <c r="Z745" t="s">
        <v>12780</v>
      </c>
      <c r="AA745" t="s">
        <v>74</v>
      </c>
      <c r="AB745" t="s">
        <v>12781</v>
      </c>
      <c r="AC745" t="s">
        <v>12782</v>
      </c>
      <c r="AD745" t="s">
        <v>12783</v>
      </c>
      <c r="AE745" t="s">
        <v>12784</v>
      </c>
      <c r="AF745" t="s">
        <v>74</v>
      </c>
      <c r="AG745">
        <v>36</v>
      </c>
      <c r="AH745">
        <v>6</v>
      </c>
      <c r="AI745">
        <v>6</v>
      </c>
      <c r="AJ745">
        <v>1</v>
      </c>
      <c r="AK745">
        <v>3</v>
      </c>
      <c r="AL745" t="s">
        <v>218</v>
      </c>
      <c r="AM745" t="s">
        <v>219</v>
      </c>
      <c r="AN745" t="s">
        <v>220</v>
      </c>
      <c r="AO745" t="s">
        <v>12785</v>
      </c>
      <c r="AP745" t="s">
        <v>12786</v>
      </c>
      <c r="AQ745" t="s">
        <v>74</v>
      </c>
      <c r="AR745" t="s">
        <v>12787</v>
      </c>
      <c r="AS745" t="s">
        <v>12788</v>
      </c>
      <c r="AT745" t="s">
        <v>892</v>
      </c>
      <c r="AU745">
        <v>2021</v>
      </c>
      <c r="AV745">
        <v>17</v>
      </c>
      <c r="AW745">
        <v>1</v>
      </c>
      <c r="AX745" t="s">
        <v>74</v>
      </c>
      <c r="AY745" t="s">
        <v>74</v>
      </c>
      <c r="AZ745" t="s">
        <v>74</v>
      </c>
      <c r="BA745" t="s">
        <v>74</v>
      </c>
      <c r="BB745" t="s">
        <v>74</v>
      </c>
      <c r="BC745" t="s">
        <v>74</v>
      </c>
      <c r="BD745" t="s">
        <v>12789</v>
      </c>
      <c r="BE745" t="s">
        <v>12790</v>
      </c>
      <c r="BF745" t="str">
        <f>HYPERLINK("http://dx.doi.org/10.1111/mcn.13069","http://dx.doi.org/10.1111/mcn.13069")</f>
        <v>http://dx.doi.org/10.1111/mcn.13069</v>
      </c>
      <c r="BG745" t="s">
        <v>74</v>
      </c>
      <c r="BH745" t="s">
        <v>7030</v>
      </c>
      <c r="BI745">
        <v>13</v>
      </c>
      <c r="BJ745" t="s">
        <v>12791</v>
      </c>
      <c r="BK745" t="s">
        <v>283</v>
      </c>
      <c r="BL745" t="s">
        <v>12791</v>
      </c>
      <c r="BM745" t="s">
        <v>12792</v>
      </c>
      <c r="BN745">
        <v>32770664</v>
      </c>
      <c r="BO745" t="s">
        <v>4398</v>
      </c>
      <c r="BP745" t="s">
        <v>74</v>
      </c>
      <c r="BQ745" t="s">
        <v>74</v>
      </c>
      <c r="BR745" t="s">
        <v>97</v>
      </c>
      <c r="BS745" t="s">
        <v>12793</v>
      </c>
      <c r="BT745" t="str">
        <f>HYPERLINK("https%3A%2F%2Fwww.webofscience.com%2Fwos%2Fwoscc%2Ffull-record%2FWOS:000556829000001","View Full Record in Web of Science")</f>
        <v>View Full Record in Web of Science</v>
      </c>
    </row>
    <row r="746" spans="1:72" x14ac:dyDescent="0.25">
      <c r="A746" t="s">
        <v>72</v>
      </c>
      <c r="B746" t="s">
        <v>12794</v>
      </c>
      <c r="C746" t="s">
        <v>74</v>
      </c>
      <c r="D746" t="s">
        <v>74</v>
      </c>
      <c r="E746" t="s">
        <v>74</v>
      </c>
      <c r="F746" t="s">
        <v>12795</v>
      </c>
      <c r="G746" t="s">
        <v>74</v>
      </c>
      <c r="H746" t="s">
        <v>74</v>
      </c>
      <c r="I746" t="s">
        <v>12796</v>
      </c>
      <c r="J746" t="s">
        <v>6590</v>
      </c>
      <c r="K746" t="s">
        <v>74</v>
      </c>
      <c r="L746" t="s">
        <v>74</v>
      </c>
      <c r="M746" t="s">
        <v>77</v>
      </c>
      <c r="N746" t="s">
        <v>78</v>
      </c>
      <c r="O746" t="s">
        <v>74</v>
      </c>
      <c r="P746" t="s">
        <v>74</v>
      </c>
      <c r="Q746" t="s">
        <v>74</v>
      </c>
      <c r="R746" t="s">
        <v>74</v>
      </c>
      <c r="S746" t="s">
        <v>74</v>
      </c>
      <c r="T746" t="s">
        <v>12797</v>
      </c>
      <c r="U746" t="s">
        <v>12798</v>
      </c>
      <c r="V746" t="s">
        <v>12799</v>
      </c>
      <c r="W746" t="s">
        <v>12800</v>
      </c>
      <c r="X746" t="s">
        <v>12801</v>
      </c>
      <c r="Y746" t="s">
        <v>12802</v>
      </c>
      <c r="Z746" t="s">
        <v>12803</v>
      </c>
      <c r="AA746" t="s">
        <v>12804</v>
      </c>
      <c r="AB746" t="s">
        <v>12805</v>
      </c>
      <c r="AC746" t="s">
        <v>74</v>
      </c>
      <c r="AD746" t="s">
        <v>74</v>
      </c>
      <c r="AE746" t="s">
        <v>74</v>
      </c>
      <c r="AF746" t="s">
        <v>74</v>
      </c>
      <c r="AG746">
        <v>91</v>
      </c>
      <c r="AH746">
        <v>6</v>
      </c>
      <c r="AI746">
        <v>6</v>
      </c>
      <c r="AJ746">
        <v>4</v>
      </c>
      <c r="AK746">
        <v>13</v>
      </c>
      <c r="AL746" t="s">
        <v>1099</v>
      </c>
      <c r="AM746" t="s">
        <v>305</v>
      </c>
      <c r="AN746" t="s">
        <v>1100</v>
      </c>
      <c r="AO746" t="s">
        <v>6599</v>
      </c>
      <c r="AP746" t="s">
        <v>6600</v>
      </c>
      <c r="AQ746" t="s">
        <v>74</v>
      </c>
      <c r="AR746" t="s">
        <v>6601</v>
      </c>
      <c r="AS746" t="s">
        <v>6602</v>
      </c>
      <c r="AT746" t="s">
        <v>1717</v>
      </c>
      <c r="AU746">
        <v>2021</v>
      </c>
      <c r="AV746">
        <v>29</v>
      </c>
      <c r="AW746">
        <v>1</v>
      </c>
      <c r="AX746" t="s">
        <v>74</v>
      </c>
      <c r="AY746" t="s">
        <v>74</v>
      </c>
      <c r="AZ746" t="s">
        <v>74</v>
      </c>
      <c r="BA746" t="s">
        <v>74</v>
      </c>
      <c r="BB746">
        <v>16</v>
      </c>
      <c r="BC746">
        <v>51</v>
      </c>
      <c r="BD746" t="s">
        <v>74</v>
      </c>
      <c r="BE746" t="s">
        <v>12806</v>
      </c>
      <c r="BF746" t="str">
        <f>HYPERLINK("http://dx.doi.org/10.1080/19761597.2020.1778493","http://dx.doi.org/10.1080/19761597.2020.1778493")</f>
        <v>http://dx.doi.org/10.1080/19761597.2020.1778493</v>
      </c>
      <c r="BG746" t="s">
        <v>74</v>
      </c>
      <c r="BH746" t="s">
        <v>2176</v>
      </c>
      <c r="BI746">
        <v>36</v>
      </c>
      <c r="BJ746" t="s">
        <v>6604</v>
      </c>
      <c r="BK746" t="s">
        <v>94</v>
      </c>
      <c r="BL746" t="s">
        <v>95</v>
      </c>
      <c r="BM746" t="s">
        <v>12807</v>
      </c>
      <c r="BN746" t="s">
        <v>74</v>
      </c>
      <c r="BO746" t="s">
        <v>74</v>
      </c>
      <c r="BP746" t="s">
        <v>74</v>
      </c>
      <c r="BQ746" t="s">
        <v>74</v>
      </c>
      <c r="BR746" t="s">
        <v>97</v>
      </c>
      <c r="BS746" t="s">
        <v>12808</v>
      </c>
      <c r="BT746" t="str">
        <f>HYPERLINK("https%3A%2F%2Fwww.webofscience.com%2Fwos%2Fwoscc%2Ffull-record%2FWOS:000543241100001","View Full Record in Web of Science")</f>
        <v>View Full Record in Web of Science</v>
      </c>
    </row>
    <row r="747" spans="1:72" x14ac:dyDescent="0.25">
      <c r="A747" t="s">
        <v>72</v>
      </c>
      <c r="B747" t="s">
        <v>5943</v>
      </c>
      <c r="C747" t="s">
        <v>74</v>
      </c>
      <c r="D747" t="s">
        <v>74</v>
      </c>
      <c r="E747" t="s">
        <v>74</v>
      </c>
      <c r="F747" t="s">
        <v>5944</v>
      </c>
      <c r="G747" t="s">
        <v>74</v>
      </c>
      <c r="H747" t="s">
        <v>74</v>
      </c>
      <c r="I747" t="s">
        <v>12809</v>
      </c>
      <c r="J747" t="s">
        <v>2502</v>
      </c>
      <c r="K747" t="s">
        <v>74</v>
      </c>
      <c r="L747" t="s">
        <v>74</v>
      </c>
      <c r="M747" t="s">
        <v>77</v>
      </c>
      <c r="N747" t="s">
        <v>78</v>
      </c>
      <c r="O747" t="s">
        <v>74</v>
      </c>
      <c r="P747" t="s">
        <v>74</v>
      </c>
      <c r="Q747" t="s">
        <v>74</v>
      </c>
      <c r="R747" t="s">
        <v>74</v>
      </c>
      <c r="S747" t="s">
        <v>74</v>
      </c>
      <c r="T747" t="s">
        <v>12810</v>
      </c>
      <c r="U747" t="s">
        <v>12811</v>
      </c>
      <c r="V747" t="s">
        <v>12812</v>
      </c>
      <c r="W747" t="s">
        <v>12813</v>
      </c>
      <c r="X747" t="s">
        <v>12814</v>
      </c>
      <c r="Y747" t="s">
        <v>5951</v>
      </c>
      <c r="Z747" t="s">
        <v>7716</v>
      </c>
      <c r="AA747" t="s">
        <v>5953</v>
      </c>
      <c r="AB747" t="s">
        <v>7717</v>
      </c>
      <c r="AC747" t="s">
        <v>74</v>
      </c>
      <c r="AD747" t="s">
        <v>74</v>
      </c>
      <c r="AE747" t="s">
        <v>74</v>
      </c>
      <c r="AF747" t="s">
        <v>74</v>
      </c>
      <c r="AG747">
        <v>124</v>
      </c>
      <c r="AH747">
        <v>6</v>
      </c>
      <c r="AI747">
        <v>6</v>
      </c>
      <c r="AJ747">
        <v>2</v>
      </c>
      <c r="AK747">
        <v>45</v>
      </c>
      <c r="AL747" t="s">
        <v>665</v>
      </c>
      <c r="AM747" t="s">
        <v>666</v>
      </c>
      <c r="AN747" t="s">
        <v>667</v>
      </c>
      <c r="AO747" t="s">
        <v>2510</v>
      </c>
      <c r="AP747" t="s">
        <v>2511</v>
      </c>
      <c r="AQ747" t="s">
        <v>74</v>
      </c>
      <c r="AR747" t="s">
        <v>2512</v>
      </c>
      <c r="AS747" t="s">
        <v>2513</v>
      </c>
      <c r="AT747" t="s">
        <v>8950</v>
      </c>
      <c r="AU747">
        <v>2021</v>
      </c>
      <c r="AV747">
        <v>50</v>
      </c>
      <c r="AW747">
        <v>1</v>
      </c>
      <c r="AX747" t="s">
        <v>74</v>
      </c>
      <c r="AY747" t="s">
        <v>74</v>
      </c>
      <c r="AZ747" t="s">
        <v>74</v>
      </c>
      <c r="BA747" t="s">
        <v>74</v>
      </c>
      <c r="BB747">
        <v>108</v>
      </c>
      <c r="BC747">
        <v>128</v>
      </c>
      <c r="BD747" t="s">
        <v>74</v>
      </c>
      <c r="BE747" t="s">
        <v>12815</v>
      </c>
      <c r="BF747" t="str">
        <f>HYPERLINK("http://dx.doi.org/10.1108/PR-12-2018-0484","http://dx.doi.org/10.1108/PR-12-2018-0484")</f>
        <v>http://dx.doi.org/10.1108/PR-12-2018-0484</v>
      </c>
      <c r="BG747" t="s">
        <v>74</v>
      </c>
      <c r="BH747" t="s">
        <v>2840</v>
      </c>
      <c r="BI747">
        <v>21</v>
      </c>
      <c r="BJ747" t="s">
        <v>2515</v>
      </c>
      <c r="BK747" t="s">
        <v>94</v>
      </c>
      <c r="BL747" t="s">
        <v>227</v>
      </c>
      <c r="BM747" t="s">
        <v>12816</v>
      </c>
      <c r="BN747" t="s">
        <v>74</v>
      </c>
      <c r="BO747" t="s">
        <v>378</v>
      </c>
      <c r="BP747" t="s">
        <v>74</v>
      </c>
      <c r="BQ747" t="s">
        <v>74</v>
      </c>
      <c r="BR747" t="s">
        <v>97</v>
      </c>
      <c r="BS747" t="s">
        <v>12817</v>
      </c>
      <c r="BT747" t="str">
        <f>HYPERLINK("https%3A%2F%2Fwww.webofscience.com%2Fwos%2Fwoscc%2Ffull-record%2FWOS:000528232500001","View Full Record in Web of Science")</f>
        <v>View Full Record in Web of Science</v>
      </c>
    </row>
    <row r="748" spans="1:72" x14ac:dyDescent="0.25">
      <c r="A748" t="s">
        <v>72</v>
      </c>
      <c r="B748" t="s">
        <v>12818</v>
      </c>
      <c r="C748" t="s">
        <v>74</v>
      </c>
      <c r="D748" t="s">
        <v>74</v>
      </c>
      <c r="E748" t="s">
        <v>74</v>
      </c>
      <c r="F748" t="s">
        <v>12819</v>
      </c>
      <c r="G748" t="s">
        <v>74</v>
      </c>
      <c r="H748" t="s">
        <v>74</v>
      </c>
      <c r="I748" t="s">
        <v>12820</v>
      </c>
      <c r="J748" t="s">
        <v>2502</v>
      </c>
      <c r="K748" t="s">
        <v>74</v>
      </c>
      <c r="L748" t="s">
        <v>74</v>
      </c>
      <c r="M748" t="s">
        <v>77</v>
      </c>
      <c r="N748" t="s">
        <v>78</v>
      </c>
      <c r="O748" t="s">
        <v>74</v>
      </c>
      <c r="P748" t="s">
        <v>74</v>
      </c>
      <c r="Q748" t="s">
        <v>74</v>
      </c>
      <c r="R748" t="s">
        <v>74</v>
      </c>
      <c r="S748" t="s">
        <v>74</v>
      </c>
      <c r="T748" t="s">
        <v>12821</v>
      </c>
      <c r="U748" t="s">
        <v>12822</v>
      </c>
      <c r="V748" t="s">
        <v>12823</v>
      </c>
      <c r="W748" t="s">
        <v>12824</v>
      </c>
      <c r="X748" t="s">
        <v>12825</v>
      </c>
      <c r="Y748" t="s">
        <v>12826</v>
      </c>
      <c r="Z748" t="s">
        <v>12827</v>
      </c>
      <c r="AA748" t="s">
        <v>74</v>
      </c>
      <c r="AB748" t="s">
        <v>74</v>
      </c>
      <c r="AC748" t="s">
        <v>74</v>
      </c>
      <c r="AD748" t="s">
        <v>74</v>
      </c>
      <c r="AE748" t="s">
        <v>74</v>
      </c>
      <c r="AF748" t="s">
        <v>74</v>
      </c>
      <c r="AG748">
        <v>90</v>
      </c>
      <c r="AH748">
        <v>6</v>
      </c>
      <c r="AI748">
        <v>6</v>
      </c>
      <c r="AJ748">
        <v>1</v>
      </c>
      <c r="AK748">
        <v>31</v>
      </c>
      <c r="AL748" t="s">
        <v>665</v>
      </c>
      <c r="AM748" t="s">
        <v>666</v>
      </c>
      <c r="AN748" t="s">
        <v>667</v>
      </c>
      <c r="AO748" t="s">
        <v>2510</v>
      </c>
      <c r="AP748" t="s">
        <v>2511</v>
      </c>
      <c r="AQ748" t="s">
        <v>74</v>
      </c>
      <c r="AR748" t="s">
        <v>2512</v>
      </c>
      <c r="AS748" t="s">
        <v>2513</v>
      </c>
      <c r="AT748" t="s">
        <v>6679</v>
      </c>
      <c r="AU748">
        <v>2020</v>
      </c>
      <c r="AV748">
        <v>49</v>
      </c>
      <c r="AW748">
        <v>9</v>
      </c>
      <c r="AX748" t="s">
        <v>74</v>
      </c>
      <c r="AY748" t="s">
        <v>74</v>
      </c>
      <c r="AZ748" t="s">
        <v>74</v>
      </c>
      <c r="BA748" t="s">
        <v>74</v>
      </c>
      <c r="BB748">
        <v>1919</v>
      </c>
      <c r="BC748">
        <v>1944</v>
      </c>
      <c r="BD748" t="s">
        <v>74</v>
      </c>
      <c r="BE748" t="s">
        <v>12828</v>
      </c>
      <c r="BF748" t="str">
        <f>HYPERLINK("http://dx.doi.org/10.1108/PR-03-2019-0110","http://dx.doi.org/10.1108/PR-03-2019-0110")</f>
        <v>http://dx.doi.org/10.1108/PR-03-2019-0110</v>
      </c>
      <c r="BG748" t="s">
        <v>74</v>
      </c>
      <c r="BH748" t="s">
        <v>6160</v>
      </c>
      <c r="BI748">
        <v>26</v>
      </c>
      <c r="BJ748" t="s">
        <v>2515</v>
      </c>
      <c r="BK748" t="s">
        <v>94</v>
      </c>
      <c r="BL748" t="s">
        <v>227</v>
      </c>
      <c r="BM748" t="s">
        <v>12829</v>
      </c>
      <c r="BN748" t="s">
        <v>74</v>
      </c>
      <c r="BO748" t="s">
        <v>74</v>
      </c>
      <c r="BP748" t="s">
        <v>74</v>
      </c>
      <c r="BQ748" t="s">
        <v>74</v>
      </c>
      <c r="BR748" t="s">
        <v>97</v>
      </c>
      <c r="BS748" t="s">
        <v>12830</v>
      </c>
      <c r="BT748" t="str">
        <f>HYPERLINK("https%3A%2F%2Fwww.webofscience.com%2Fwos%2Fwoscc%2Ffull-record%2FWOS:000522228800001","View Full Record in Web of Science")</f>
        <v>View Full Record in Web of Science</v>
      </c>
    </row>
    <row r="749" spans="1:72" x14ac:dyDescent="0.25">
      <c r="A749" t="s">
        <v>72</v>
      </c>
      <c r="B749" t="s">
        <v>12831</v>
      </c>
      <c r="C749" t="s">
        <v>74</v>
      </c>
      <c r="D749" t="s">
        <v>74</v>
      </c>
      <c r="E749" t="s">
        <v>74</v>
      </c>
      <c r="F749" t="s">
        <v>12832</v>
      </c>
      <c r="G749" t="s">
        <v>74</v>
      </c>
      <c r="H749" t="s">
        <v>74</v>
      </c>
      <c r="I749" t="s">
        <v>12833</v>
      </c>
      <c r="J749" t="s">
        <v>466</v>
      </c>
      <c r="K749" t="s">
        <v>74</v>
      </c>
      <c r="L749" t="s">
        <v>74</v>
      </c>
      <c r="M749" t="s">
        <v>77</v>
      </c>
      <c r="N749" t="s">
        <v>78</v>
      </c>
      <c r="O749" t="s">
        <v>74</v>
      </c>
      <c r="P749" t="s">
        <v>74</v>
      </c>
      <c r="Q749" t="s">
        <v>74</v>
      </c>
      <c r="R749" t="s">
        <v>74</v>
      </c>
      <c r="S749" t="s">
        <v>74</v>
      </c>
      <c r="T749" t="s">
        <v>12834</v>
      </c>
      <c r="U749" t="s">
        <v>12835</v>
      </c>
      <c r="V749" t="s">
        <v>12836</v>
      </c>
      <c r="W749" t="s">
        <v>12837</v>
      </c>
      <c r="X749" t="s">
        <v>12838</v>
      </c>
      <c r="Y749" t="s">
        <v>12839</v>
      </c>
      <c r="Z749" t="s">
        <v>12840</v>
      </c>
      <c r="AA749" t="s">
        <v>74</v>
      </c>
      <c r="AB749" t="s">
        <v>74</v>
      </c>
      <c r="AC749" t="s">
        <v>12841</v>
      </c>
      <c r="AD749" t="s">
        <v>12842</v>
      </c>
      <c r="AE749" t="s">
        <v>12843</v>
      </c>
      <c r="AF749" t="s">
        <v>74</v>
      </c>
      <c r="AG749">
        <v>54</v>
      </c>
      <c r="AH749">
        <v>6</v>
      </c>
      <c r="AI749">
        <v>6</v>
      </c>
      <c r="AJ749">
        <v>21</v>
      </c>
      <c r="AK749">
        <v>101</v>
      </c>
      <c r="AL749" t="s">
        <v>218</v>
      </c>
      <c r="AM749" t="s">
        <v>219</v>
      </c>
      <c r="AN749" t="s">
        <v>220</v>
      </c>
      <c r="AO749" t="s">
        <v>476</v>
      </c>
      <c r="AP749" t="s">
        <v>477</v>
      </c>
      <c r="AQ749" t="s">
        <v>74</v>
      </c>
      <c r="AR749" t="s">
        <v>478</v>
      </c>
      <c r="AS749" t="s">
        <v>479</v>
      </c>
      <c r="AT749" t="s">
        <v>200</v>
      </c>
      <c r="AU749">
        <v>2021</v>
      </c>
      <c r="AV749">
        <v>55</v>
      </c>
      <c r="AW749">
        <v>1</v>
      </c>
      <c r="AX749" t="s">
        <v>74</v>
      </c>
      <c r="AY749" t="s">
        <v>74</v>
      </c>
      <c r="AZ749" t="s">
        <v>74</v>
      </c>
      <c r="BA749" t="s">
        <v>74</v>
      </c>
      <c r="BB749">
        <v>63</v>
      </c>
      <c r="BC749">
        <v>78</v>
      </c>
      <c r="BD749" t="s">
        <v>74</v>
      </c>
      <c r="BE749" t="s">
        <v>12844</v>
      </c>
      <c r="BF749" t="str">
        <f>HYPERLINK("http://dx.doi.org/10.1002/jocb.435","http://dx.doi.org/10.1002/jocb.435")</f>
        <v>http://dx.doi.org/10.1002/jocb.435</v>
      </c>
      <c r="BG749" t="s">
        <v>74</v>
      </c>
      <c r="BH749" t="s">
        <v>1651</v>
      </c>
      <c r="BI749">
        <v>16</v>
      </c>
      <c r="BJ749" t="s">
        <v>481</v>
      </c>
      <c r="BK749" t="s">
        <v>94</v>
      </c>
      <c r="BL749" t="s">
        <v>460</v>
      </c>
      <c r="BM749" t="s">
        <v>12845</v>
      </c>
      <c r="BN749" t="s">
        <v>74</v>
      </c>
      <c r="BO749" t="s">
        <v>74</v>
      </c>
      <c r="BP749" t="s">
        <v>74</v>
      </c>
      <c r="BQ749" t="s">
        <v>74</v>
      </c>
      <c r="BR749" t="s">
        <v>97</v>
      </c>
      <c r="BS749" t="s">
        <v>12846</v>
      </c>
      <c r="BT749" t="str">
        <f>HYPERLINK("https%3A%2F%2Fwww.webofscience.com%2Fwos%2Fwoscc%2Ffull-record%2FWOS:000506520600001","View Full Record in Web of Science")</f>
        <v>View Full Record in Web of Science</v>
      </c>
    </row>
    <row r="750" spans="1:72" x14ac:dyDescent="0.25">
      <c r="A750" t="s">
        <v>72</v>
      </c>
      <c r="B750" t="s">
        <v>12847</v>
      </c>
      <c r="C750" t="s">
        <v>74</v>
      </c>
      <c r="D750" t="s">
        <v>74</v>
      </c>
      <c r="E750" t="s">
        <v>74</v>
      </c>
      <c r="F750" t="s">
        <v>12848</v>
      </c>
      <c r="G750" t="s">
        <v>74</v>
      </c>
      <c r="H750" t="s">
        <v>74</v>
      </c>
      <c r="I750" t="s">
        <v>12849</v>
      </c>
      <c r="J750" t="s">
        <v>12850</v>
      </c>
      <c r="K750" t="s">
        <v>74</v>
      </c>
      <c r="L750" t="s">
        <v>74</v>
      </c>
      <c r="M750" t="s">
        <v>77</v>
      </c>
      <c r="N750" t="s">
        <v>78</v>
      </c>
      <c r="O750" t="s">
        <v>74</v>
      </c>
      <c r="P750" t="s">
        <v>74</v>
      </c>
      <c r="Q750" t="s">
        <v>74</v>
      </c>
      <c r="R750" t="s">
        <v>74</v>
      </c>
      <c r="S750" t="s">
        <v>74</v>
      </c>
      <c r="T750" t="s">
        <v>12851</v>
      </c>
      <c r="U750" t="s">
        <v>12852</v>
      </c>
      <c r="V750" t="s">
        <v>12853</v>
      </c>
      <c r="W750" t="s">
        <v>12854</v>
      </c>
      <c r="X750" t="s">
        <v>12855</v>
      </c>
      <c r="Y750" t="s">
        <v>12856</v>
      </c>
      <c r="Z750" t="s">
        <v>12857</v>
      </c>
      <c r="AA750" t="s">
        <v>74</v>
      </c>
      <c r="AB750" t="s">
        <v>12858</v>
      </c>
      <c r="AC750" t="s">
        <v>12859</v>
      </c>
      <c r="AD750" t="s">
        <v>12860</v>
      </c>
      <c r="AE750" t="s">
        <v>12861</v>
      </c>
      <c r="AF750" t="s">
        <v>74</v>
      </c>
      <c r="AG750">
        <v>167</v>
      </c>
      <c r="AH750">
        <v>6</v>
      </c>
      <c r="AI750">
        <v>6</v>
      </c>
      <c r="AJ750">
        <v>11</v>
      </c>
      <c r="AK750">
        <v>57</v>
      </c>
      <c r="AL750" t="s">
        <v>12862</v>
      </c>
      <c r="AM750" t="s">
        <v>12863</v>
      </c>
      <c r="AN750" t="s">
        <v>12864</v>
      </c>
      <c r="AO750" t="s">
        <v>12865</v>
      </c>
      <c r="AP750" t="s">
        <v>12866</v>
      </c>
      <c r="AQ750" t="s">
        <v>74</v>
      </c>
      <c r="AR750" t="s">
        <v>12867</v>
      </c>
      <c r="AS750" t="s">
        <v>12868</v>
      </c>
      <c r="AT750" t="s">
        <v>74</v>
      </c>
      <c r="AU750">
        <v>2020</v>
      </c>
      <c r="AV750">
        <v>21</v>
      </c>
      <c r="AW750">
        <v>4</v>
      </c>
      <c r="AX750" t="s">
        <v>74</v>
      </c>
      <c r="AY750" t="s">
        <v>74</v>
      </c>
      <c r="AZ750" t="s">
        <v>74</v>
      </c>
      <c r="BA750" t="s">
        <v>74</v>
      </c>
      <c r="BB750">
        <v>936</v>
      </c>
      <c r="BC750">
        <v>970</v>
      </c>
      <c r="BD750" t="s">
        <v>74</v>
      </c>
      <c r="BE750" t="s">
        <v>12869</v>
      </c>
      <c r="BF750" t="str">
        <f>HYPERLINK("http://dx.doi.org/10.17705/1jais.00625","http://dx.doi.org/10.17705/1jais.00625")</f>
        <v>http://dx.doi.org/10.17705/1jais.00625</v>
      </c>
      <c r="BG750" t="s">
        <v>74</v>
      </c>
      <c r="BH750" t="s">
        <v>74</v>
      </c>
      <c r="BI750">
        <v>35</v>
      </c>
      <c r="BJ750" t="s">
        <v>12870</v>
      </c>
      <c r="BK750" t="s">
        <v>147</v>
      </c>
      <c r="BL750" t="s">
        <v>9201</v>
      </c>
      <c r="BM750" t="s">
        <v>12871</v>
      </c>
      <c r="BN750" t="s">
        <v>74</v>
      </c>
      <c r="BO750" t="s">
        <v>12872</v>
      </c>
      <c r="BP750" t="s">
        <v>74</v>
      </c>
      <c r="BQ750" t="s">
        <v>74</v>
      </c>
      <c r="BR750" t="s">
        <v>97</v>
      </c>
      <c r="BS750" t="s">
        <v>12873</v>
      </c>
      <c r="BT750" t="str">
        <f>HYPERLINK("https%3A%2F%2Fwww.webofscience.com%2Fwos%2Fwoscc%2Ffull-record%2FWOS:000551343600006","View Full Record in Web of Science")</f>
        <v>View Full Record in Web of Science</v>
      </c>
    </row>
    <row r="751" spans="1:72" x14ac:dyDescent="0.25">
      <c r="A751" t="s">
        <v>72</v>
      </c>
      <c r="B751" t="s">
        <v>12874</v>
      </c>
      <c r="C751" t="s">
        <v>74</v>
      </c>
      <c r="D751" t="s">
        <v>74</v>
      </c>
      <c r="E751" t="s">
        <v>74</v>
      </c>
      <c r="F751" t="s">
        <v>12875</v>
      </c>
      <c r="G751" t="s">
        <v>74</v>
      </c>
      <c r="H751" t="s">
        <v>74</v>
      </c>
      <c r="I751" t="s">
        <v>12876</v>
      </c>
      <c r="J751" t="s">
        <v>9332</v>
      </c>
      <c r="K751" t="s">
        <v>74</v>
      </c>
      <c r="L751" t="s">
        <v>74</v>
      </c>
      <c r="M751" t="s">
        <v>77</v>
      </c>
      <c r="N751" t="s">
        <v>78</v>
      </c>
      <c r="O751" t="s">
        <v>74</v>
      </c>
      <c r="P751" t="s">
        <v>74</v>
      </c>
      <c r="Q751" t="s">
        <v>74</v>
      </c>
      <c r="R751" t="s">
        <v>74</v>
      </c>
      <c r="S751" t="s">
        <v>74</v>
      </c>
      <c r="T751" t="s">
        <v>12877</v>
      </c>
      <c r="U751" t="s">
        <v>12878</v>
      </c>
      <c r="V751" t="s">
        <v>12879</v>
      </c>
      <c r="W751" t="s">
        <v>12880</v>
      </c>
      <c r="X751" t="s">
        <v>12881</v>
      </c>
      <c r="Y751" t="s">
        <v>12882</v>
      </c>
      <c r="Z751" t="s">
        <v>5622</v>
      </c>
      <c r="AA751" t="s">
        <v>74</v>
      </c>
      <c r="AB751" t="s">
        <v>74</v>
      </c>
      <c r="AC751" t="s">
        <v>74</v>
      </c>
      <c r="AD751" t="s">
        <v>74</v>
      </c>
      <c r="AE751" t="s">
        <v>74</v>
      </c>
      <c r="AF751" t="s">
        <v>74</v>
      </c>
      <c r="AG751">
        <v>92</v>
      </c>
      <c r="AH751">
        <v>6</v>
      </c>
      <c r="AI751">
        <v>6</v>
      </c>
      <c r="AJ751">
        <v>16</v>
      </c>
      <c r="AK751">
        <v>87</v>
      </c>
      <c r="AL751" t="s">
        <v>766</v>
      </c>
      <c r="AM751" t="s">
        <v>330</v>
      </c>
      <c r="AN751" t="s">
        <v>767</v>
      </c>
      <c r="AO751" t="s">
        <v>9344</v>
      </c>
      <c r="AP751" t="s">
        <v>9345</v>
      </c>
      <c r="AQ751" t="s">
        <v>74</v>
      </c>
      <c r="AR751" t="s">
        <v>9346</v>
      </c>
      <c r="AS751" t="s">
        <v>9347</v>
      </c>
      <c r="AT751" t="s">
        <v>256</v>
      </c>
      <c r="AU751">
        <v>2019</v>
      </c>
      <c r="AV751">
        <v>38</v>
      </c>
      <c r="AW751">
        <v>5</v>
      </c>
      <c r="AX751" t="s">
        <v>74</v>
      </c>
      <c r="AY751" t="s">
        <v>74</v>
      </c>
      <c r="AZ751" t="s">
        <v>74</v>
      </c>
      <c r="BA751" t="s">
        <v>74</v>
      </c>
      <c r="BB751">
        <v>1152</v>
      </c>
      <c r="BC751">
        <v>1161</v>
      </c>
      <c r="BD751" t="s">
        <v>74</v>
      </c>
      <c r="BE751" t="s">
        <v>12883</v>
      </c>
      <c r="BF751" t="str">
        <f>HYPERLINK("http://dx.doi.org/10.1007/s12144-018-9968-6","http://dx.doi.org/10.1007/s12144-018-9968-6")</f>
        <v>http://dx.doi.org/10.1007/s12144-018-9968-6</v>
      </c>
      <c r="BG751" t="s">
        <v>74</v>
      </c>
      <c r="BH751" t="s">
        <v>74</v>
      </c>
      <c r="BI751">
        <v>10</v>
      </c>
      <c r="BJ751" t="s">
        <v>3203</v>
      </c>
      <c r="BK751" t="s">
        <v>94</v>
      </c>
      <c r="BL751" t="s">
        <v>460</v>
      </c>
      <c r="BM751" t="s">
        <v>12884</v>
      </c>
      <c r="BN751" t="s">
        <v>74</v>
      </c>
      <c r="BO751" t="s">
        <v>74</v>
      </c>
      <c r="BP751" t="s">
        <v>74</v>
      </c>
      <c r="BQ751" t="s">
        <v>74</v>
      </c>
      <c r="BR751" t="s">
        <v>97</v>
      </c>
      <c r="BS751" t="s">
        <v>12885</v>
      </c>
      <c r="BT751" t="str">
        <f>HYPERLINK("https%3A%2F%2Fwww.webofscience.com%2Fwos%2Fwoscc%2Ffull-record%2FWOS:000494948800008","View Full Record in Web of Science")</f>
        <v>View Full Record in Web of Science</v>
      </c>
    </row>
    <row r="752" spans="1:72" x14ac:dyDescent="0.25">
      <c r="A752" t="s">
        <v>72</v>
      </c>
      <c r="B752" t="s">
        <v>12886</v>
      </c>
      <c r="C752" t="s">
        <v>74</v>
      </c>
      <c r="D752" t="s">
        <v>74</v>
      </c>
      <c r="E752" t="s">
        <v>74</v>
      </c>
      <c r="F752" t="s">
        <v>12887</v>
      </c>
      <c r="G752" t="s">
        <v>74</v>
      </c>
      <c r="H752" t="s">
        <v>74</v>
      </c>
      <c r="I752" t="s">
        <v>12888</v>
      </c>
      <c r="J752" t="s">
        <v>2643</v>
      </c>
      <c r="K752" t="s">
        <v>74</v>
      </c>
      <c r="L752" t="s">
        <v>74</v>
      </c>
      <c r="M752" t="s">
        <v>77</v>
      </c>
      <c r="N752" t="s">
        <v>78</v>
      </c>
      <c r="O752" t="s">
        <v>74</v>
      </c>
      <c r="P752" t="s">
        <v>74</v>
      </c>
      <c r="Q752" t="s">
        <v>74</v>
      </c>
      <c r="R752" t="s">
        <v>74</v>
      </c>
      <c r="S752" t="s">
        <v>74</v>
      </c>
      <c r="T752" t="s">
        <v>12889</v>
      </c>
      <c r="U752" t="s">
        <v>12890</v>
      </c>
      <c r="V752" t="s">
        <v>12891</v>
      </c>
      <c r="W752" t="s">
        <v>12892</v>
      </c>
      <c r="X752" t="s">
        <v>12893</v>
      </c>
      <c r="Y752" t="s">
        <v>12894</v>
      </c>
      <c r="Z752" t="s">
        <v>12895</v>
      </c>
      <c r="AA752" t="s">
        <v>12896</v>
      </c>
      <c r="AB752" t="s">
        <v>12897</v>
      </c>
      <c r="AC752" t="s">
        <v>12898</v>
      </c>
      <c r="AD752" t="s">
        <v>12899</v>
      </c>
      <c r="AE752" t="s">
        <v>12900</v>
      </c>
      <c r="AF752" t="s">
        <v>74</v>
      </c>
      <c r="AG752">
        <v>46</v>
      </c>
      <c r="AH752">
        <v>6</v>
      </c>
      <c r="AI752">
        <v>6</v>
      </c>
      <c r="AJ752">
        <v>4</v>
      </c>
      <c r="AK752">
        <v>75</v>
      </c>
      <c r="AL752" t="s">
        <v>2652</v>
      </c>
      <c r="AM752" t="s">
        <v>2653</v>
      </c>
      <c r="AN752" t="s">
        <v>2654</v>
      </c>
      <c r="AO752" t="s">
        <v>2655</v>
      </c>
      <c r="AP752" t="s">
        <v>2656</v>
      </c>
      <c r="AQ752" t="s">
        <v>74</v>
      </c>
      <c r="AR752" t="s">
        <v>2657</v>
      </c>
      <c r="AS752" t="s">
        <v>2658</v>
      </c>
      <c r="AT752" t="s">
        <v>256</v>
      </c>
      <c r="AU752">
        <v>2019</v>
      </c>
      <c r="AV752">
        <v>18</v>
      </c>
      <c r="AW752">
        <v>4</v>
      </c>
      <c r="AX752" t="s">
        <v>74</v>
      </c>
      <c r="AY752" t="s">
        <v>74</v>
      </c>
      <c r="AZ752" t="s">
        <v>74</v>
      </c>
      <c r="BA752" t="s">
        <v>74</v>
      </c>
      <c r="BB752">
        <v>165</v>
      </c>
      <c r="BC752">
        <v>176</v>
      </c>
      <c r="BD752" t="s">
        <v>74</v>
      </c>
      <c r="BE752" t="s">
        <v>12901</v>
      </c>
      <c r="BF752" t="str">
        <f>HYPERLINK("http://dx.doi.org/10.1027/1866-5888/a000231","http://dx.doi.org/10.1027/1866-5888/a000231")</f>
        <v>http://dx.doi.org/10.1027/1866-5888/a000231</v>
      </c>
      <c r="BG752" t="s">
        <v>74</v>
      </c>
      <c r="BH752" t="s">
        <v>74</v>
      </c>
      <c r="BI752">
        <v>12</v>
      </c>
      <c r="BJ752" t="s">
        <v>692</v>
      </c>
      <c r="BK752" t="s">
        <v>94</v>
      </c>
      <c r="BL752" t="s">
        <v>460</v>
      </c>
      <c r="BM752" t="s">
        <v>12902</v>
      </c>
      <c r="BN752" t="s">
        <v>74</v>
      </c>
      <c r="BO752" t="s">
        <v>74</v>
      </c>
      <c r="BP752" t="s">
        <v>74</v>
      </c>
      <c r="BQ752" t="s">
        <v>74</v>
      </c>
      <c r="BR752" t="s">
        <v>97</v>
      </c>
      <c r="BS752" t="s">
        <v>12903</v>
      </c>
      <c r="BT752" t="str">
        <f>HYPERLINK("https%3A%2F%2Fwww.webofscience.com%2Fwos%2Fwoscc%2Ffull-record%2FWOS:000493918000001","View Full Record in Web of Science")</f>
        <v>View Full Record in Web of Science</v>
      </c>
    </row>
    <row r="753" spans="1:72" x14ac:dyDescent="0.25">
      <c r="A753" t="s">
        <v>72</v>
      </c>
      <c r="B753" t="s">
        <v>12904</v>
      </c>
      <c r="C753" t="s">
        <v>74</v>
      </c>
      <c r="D753" t="s">
        <v>74</v>
      </c>
      <c r="E753" t="s">
        <v>74</v>
      </c>
      <c r="F753" t="s">
        <v>12905</v>
      </c>
      <c r="G753" t="s">
        <v>74</v>
      </c>
      <c r="H753" t="s">
        <v>74</v>
      </c>
      <c r="I753" t="s">
        <v>12906</v>
      </c>
      <c r="J753" t="s">
        <v>12907</v>
      </c>
      <c r="K753" t="s">
        <v>74</v>
      </c>
      <c r="L753" t="s">
        <v>74</v>
      </c>
      <c r="M753" t="s">
        <v>77</v>
      </c>
      <c r="N753" t="s">
        <v>78</v>
      </c>
      <c r="O753" t="s">
        <v>74</v>
      </c>
      <c r="P753" t="s">
        <v>74</v>
      </c>
      <c r="Q753" t="s">
        <v>74</v>
      </c>
      <c r="R753" t="s">
        <v>74</v>
      </c>
      <c r="S753" t="s">
        <v>74</v>
      </c>
      <c r="T753" t="s">
        <v>12908</v>
      </c>
      <c r="U753" t="s">
        <v>12909</v>
      </c>
      <c r="V753" t="s">
        <v>12910</v>
      </c>
      <c r="W753" t="s">
        <v>12911</v>
      </c>
      <c r="X753" t="s">
        <v>12912</v>
      </c>
      <c r="Y753" t="s">
        <v>12913</v>
      </c>
      <c r="Z753" t="s">
        <v>12914</v>
      </c>
      <c r="AA753" t="s">
        <v>12915</v>
      </c>
      <c r="AB753" t="s">
        <v>12916</v>
      </c>
      <c r="AC753" t="s">
        <v>74</v>
      </c>
      <c r="AD753" t="s">
        <v>74</v>
      </c>
      <c r="AE753" t="s">
        <v>74</v>
      </c>
      <c r="AF753" t="s">
        <v>74</v>
      </c>
      <c r="AG753">
        <v>51</v>
      </c>
      <c r="AH753">
        <v>6</v>
      </c>
      <c r="AI753">
        <v>6</v>
      </c>
      <c r="AJ753">
        <v>5</v>
      </c>
      <c r="AK753">
        <v>15</v>
      </c>
      <c r="AL753" t="s">
        <v>12917</v>
      </c>
      <c r="AM753" t="s">
        <v>12918</v>
      </c>
      <c r="AN753" t="s">
        <v>12919</v>
      </c>
      <c r="AO753" t="s">
        <v>12920</v>
      </c>
      <c r="AP753" t="s">
        <v>12921</v>
      </c>
      <c r="AQ753" t="s">
        <v>74</v>
      </c>
      <c r="AR753" t="s">
        <v>12922</v>
      </c>
      <c r="AS753" t="s">
        <v>12923</v>
      </c>
      <c r="AT753" t="s">
        <v>496</v>
      </c>
      <c r="AU753">
        <v>2019</v>
      </c>
      <c r="AV753">
        <v>66</v>
      </c>
      <c r="AW753" t="s">
        <v>74</v>
      </c>
      <c r="AX753" t="s">
        <v>74</v>
      </c>
      <c r="AY753" t="s">
        <v>74</v>
      </c>
      <c r="AZ753" t="s">
        <v>74</v>
      </c>
      <c r="BA753" t="s">
        <v>74</v>
      </c>
      <c r="BB753">
        <v>114</v>
      </c>
      <c r="BC753">
        <v>132</v>
      </c>
      <c r="BD753" t="s">
        <v>74</v>
      </c>
      <c r="BE753" t="s">
        <v>12924</v>
      </c>
      <c r="BF753" t="str">
        <f>HYPERLINK("http://dx.doi.org/10.33788/rcis.66.8","http://dx.doi.org/10.33788/rcis.66.8")</f>
        <v>http://dx.doi.org/10.33788/rcis.66.8</v>
      </c>
      <c r="BG753" t="s">
        <v>74</v>
      </c>
      <c r="BH753" t="s">
        <v>74</v>
      </c>
      <c r="BI753">
        <v>19</v>
      </c>
      <c r="BJ753" t="s">
        <v>8867</v>
      </c>
      <c r="BK753" t="s">
        <v>94</v>
      </c>
      <c r="BL753" t="s">
        <v>631</v>
      </c>
      <c r="BM753" t="s">
        <v>12925</v>
      </c>
      <c r="BN753" t="s">
        <v>74</v>
      </c>
      <c r="BO753" t="s">
        <v>8011</v>
      </c>
      <c r="BP753" t="s">
        <v>74</v>
      </c>
      <c r="BQ753" t="s">
        <v>74</v>
      </c>
      <c r="BR753" t="s">
        <v>97</v>
      </c>
      <c r="BS753" t="s">
        <v>12926</v>
      </c>
      <c r="BT753" t="str">
        <f>HYPERLINK("https%3A%2F%2Fwww.webofscience.com%2Fwos%2Fwoscc%2Ffull-record%2FWOS:000502819000008","View Full Record in Web of Science")</f>
        <v>View Full Record in Web of Science</v>
      </c>
    </row>
    <row r="754" spans="1:72" x14ac:dyDescent="0.25">
      <c r="A754" t="s">
        <v>72</v>
      </c>
      <c r="B754" t="s">
        <v>12927</v>
      </c>
      <c r="C754" t="s">
        <v>74</v>
      </c>
      <c r="D754" t="s">
        <v>74</v>
      </c>
      <c r="E754" t="s">
        <v>74</v>
      </c>
      <c r="F754" t="s">
        <v>12928</v>
      </c>
      <c r="G754" t="s">
        <v>74</v>
      </c>
      <c r="H754" t="s">
        <v>74</v>
      </c>
      <c r="I754" t="s">
        <v>12929</v>
      </c>
      <c r="J754" t="s">
        <v>6267</v>
      </c>
      <c r="K754" t="s">
        <v>74</v>
      </c>
      <c r="L754" t="s">
        <v>74</v>
      </c>
      <c r="M754" t="s">
        <v>77</v>
      </c>
      <c r="N754" t="s">
        <v>78</v>
      </c>
      <c r="O754" t="s">
        <v>74</v>
      </c>
      <c r="P754" t="s">
        <v>74</v>
      </c>
      <c r="Q754" t="s">
        <v>74</v>
      </c>
      <c r="R754" t="s">
        <v>74</v>
      </c>
      <c r="S754" t="s">
        <v>74</v>
      </c>
      <c r="T754" t="s">
        <v>12930</v>
      </c>
      <c r="U754" t="s">
        <v>12931</v>
      </c>
      <c r="V754" t="s">
        <v>12932</v>
      </c>
      <c r="W754" t="s">
        <v>12933</v>
      </c>
      <c r="X754" t="s">
        <v>12934</v>
      </c>
      <c r="Y754" t="s">
        <v>12935</v>
      </c>
      <c r="Z754" t="s">
        <v>12936</v>
      </c>
      <c r="AA754" t="s">
        <v>74</v>
      </c>
      <c r="AB754" t="s">
        <v>74</v>
      </c>
      <c r="AC754" t="s">
        <v>12937</v>
      </c>
      <c r="AD754" t="s">
        <v>575</v>
      </c>
      <c r="AE754" t="s">
        <v>12938</v>
      </c>
      <c r="AF754" t="s">
        <v>74</v>
      </c>
      <c r="AG754">
        <v>78</v>
      </c>
      <c r="AH754">
        <v>6</v>
      </c>
      <c r="AI754">
        <v>6</v>
      </c>
      <c r="AJ754">
        <v>4</v>
      </c>
      <c r="AK754">
        <v>58</v>
      </c>
      <c r="AL754" t="s">
        <v>304</v>
      </c>
      <c r="AM754" t="s">
        <v>305</v>
      </c>
      <c r="AN754" t="s">
        <v>306</v>
      </c>
      <c r="AO754" t="s">
        <v>6276</v>
      </c>
      <c r="AP754" t="s">
        <v>6277</v>
      </c>
      <c r="AQ754" t="s">
        <v>74</v>
      </c>
      <c r="AR754" t="s">
        <v>6278</v>
      </c>
      <c r="AS754" t="s">
        <v>6279</v>
      </c>
      <c r="AT754" t="s">
        <v>7597</v>
      </c>
      <c r="AU754">
        <v>2019</v>
      </c>
      <c r="AV754">
        <v>38</v>
      </c>
      <c r="AW754">
        <v>4</v>
      </c>
      <c r="AX754" t="s">
        <v>74</v>
      </c>
      <c r="AY754" t="s">
        <v>74</v>
      </c>
      <c r="AZ754" t="s">
        <v>74</v>
      </c>
      <c r="BA754" t="s">
        <v>74</v>
      </c>
      <c r="BB754">
        <v>345</v>
      </c>
      <c r="BC754">
        <v>360</v>
      </c>
      <c r="BD754" t="s">
        <v>74</v>
      </c>
      <c r="BE754" t="s">
        <v>12939</v>
      </c>
      <c r="BF754" t="str">
        <f>HYPERLINK("http://dx.doi.org/10.1080/0144929X.2018.1534988","http://dx.doi.org/10.1080/0144929X.2018.1534988")</f>
        <v>http://dx.doi.org/10.1080/0144929X.2018.1534988</v>
      </c>
      <c r="BG754" t="s">
        <v>74</v>
      </c>
      <c r="BH754" t="s">
        <v>74</v>
      </c>
      <c r="BI754">
        <v>16</v>
      </c>
      <c r="BJ754" t="s">
        <v>6281</v>
      </c>
      <c r="BK754" t="s">
        <v>147</v>
      </c>
      <c r="BL754" t="s">
        <v>4544</v>
      </c>
      <c r="BM754" t="s">
        <v>12940</v>
      </c>
      <c r="BN754" t="s">
        <v>74</v>
      </c>
      <c r="BO754" t="s">
        <v>74</v>
      </c>
      <c r="BP754" t="s">
        <v>74</v>
      </c>
      <c r="BQ754" t="s">
        <v>74</v>
      </c>
      <c r="BR754" t="s">
        <v>97</v>
      </c>
      <c r="BS754" t="s">
        <v>12941</v>
      </c>
      <c r="BT754" t="str">
        <f>HYPERLINK("https%3A%2F%2Fwww.webofscience.com%2Fwos%2Fwoscc%2Ffull-record%2FWOS:000460627500003","View Full Record in Web of Science")</f>
        <v>View Full Record in Web of Science</v>
      </c>
    </row>
    <row r="755" spans="1:72" x14ac:dyDescent="0.25">
      <c r="A755" t="s">
        <v>72</v>
      </c>
      <c r="B755" t="s">
        <v>12942</v>
      </c>
      <c r="C755" t="s">
        <v>74</v>
      </c>
      <c r="D755" t="s">
        <v>74</v>
      </c>
      <c r="E755" t="s">
        <v>74</v>
      </c>
      <c r="F755" t="s">
        <v>12943</v>
      </c>
      <c r="G755" t="s">
        <v>74</v>
      </c>
      <c r="H755" t="s">
        <v>74</v>
      </c>
      <c r="I755" t="s">
        <v>12944</v>
      </c>
      <c r="J755" t="s">
        <v>2463</v>
      </c>
      <c r="K755" t="s">
        <v>74</v>
      </c>
      <c r="L755" t="s">
        <v>74</v>
      </c>
      <c r="M755" t="s">
        <v>77</v>
      </c>
      <c r="N755" t="s">
        <v>78</v>
      </c>
      <c r="O755" t="s">
        <v>74</v>
      </c>
      <c r="P755" t="s">
        <v>74</v>
      </c>
      <c r="Q755" t="s">
        <v>74</v>
      </c>
      <c r="R755" t="s">
        <v>74</v>
      </c>
      <c r="S755" t="s">
        <v>74</v>
      </c>
      <c r="T755" t="s">
        <v>12945</v>
      </c>
      <c r="U755" t="s">
        <v>12946</v>
      </c>
      <c r="V755" t="s">
        <v>12947</v>
      </c>
      <c r="W755" t="s">
        <v>12948</v>
      </c>
      <c r="X755" t="s">
        <v>12949</v>
      </c>
      <c r="Y755" t="s">
        <v>12950</v>
      </c>
      <c r="Z755" t="s">
        <v>12951</v>
      </c>
      <c r="AA755" t="s">
        <v>12952</v>
      </c>
      <c r="AB755" t="s">
        <v>12953</v>
      </c>
      <c r="AC755" t="s">
        <v>12954</v>
      </c>
      <c r="AD755" t="s">
        <v>12954</v>
      </c>
      <c r="AE755" t="s">
        <v>12955</v>
      </c>
      <c r="AF755" t="s">
        <v>74</v>
      </c>
      <c r="AG755">
        <v>163</v>
      </c>
      <c r="AH755">
        <v>6</v>
      </c>
      <c r="AI755">
        <v>6</v>
      </c>
      <c r="AJ755">
        <v>4</v>
      </c>
      <c r="AK755">
        <v>33</v>
      </c>
      <c r="AL755" t="s">
        <v>2473</v>
      </c>
      <c r="AM755" t="s">
        <v>2102</v>
      </c>
      <c r="AN755" t="s">
        <v>2474</v>
      </c>
      <c r="AO755" t="s">
        <v>74</v>
      </c>
      <c r="AP755" t="s">
        <v>2475</v>
      </c>
      <c r="AQ755" t="s">
        <v>74</v>
      </c>
      <c r="AR755" t="s">
        <v>2476</v>
      </c>
      <c r="AS755" t="s">
        <v>2477</v>
      </c>
      <c r="AT755" t="s">
        <v>3541</v>
      </c>
      <c r="AU755">
        <v>2019</v>
      </c>
      <c r="AV755">
        <v>11</v>
      </c>
      <c r="AW755">
        <v>7</v>
      </c>
      <c r="AX755" t="s">
        <v>74</v>
      </c>
      <c r="AY755" t="s">
        <v>74</v>
      </c>
      <c r="AZ755" t="s">
        <v>74</v>
      </c>
      <c r="BA755" t="s">
        <v>74</v>
      </c>
      <c r="BB755" t="s">
        <v>74</v>
      </c>
      <c r="BC755" t="s">
        <v>74</v>
      </c>
      <c r="BD755">
        <v>2162</v>
      </c>
      <c r="BE755" t="s">
        <v>12956</v>
      </c>
      <c r="BF755" t="str">
        <f>HYPERLINK("http://dx.doi.org/10.3390/su11072162","http://dx.doi.org/10.3390/su11072162")</f>
        <v>http://dx.doi.org/10.3390/su11072162</v>
      </c>
      <c r="BG755" t="s">
        <v>74</v>
      </c>
      <c r="BH755" t="s">
        <v>74</v>
      </c>
      <c r="BI755">
        <v>24</v>
      </c>
      <c r="BJ755" t="s">
        <v>2479</v>
      </c>
      <c r="BK755" t="s">
        <v>147</v>
      </c>
      <c r="BL755" t="s">
        <v>2480</v>
      </c>
      <c r="BM755" t="s">
        <v>12957</v>
      </c>
      <c r="BN755" t="s">
        <v>74</v>
      </c>
      <c r="BO755" t="s">
        <v>2482</v>
      </c>
      <c r="BP755" t="s">
        <v>74</v>
      </c>
      <c r="BQ755" t="s">
        <v>74</v>
      </c>
      <c r="BR755" t="s">
        <v>97</v>
      </c>
      <c r="BS755" t="s">
        <v>12958</v>
      </c>
      <c r="BT755" t="str">
        <f>HYPERLINK("https%3A%2F%2Fwww.webofscience.com%2Fwos%2Fwoscc%2Ffull-record%2FWOS:000466551600339","View Full Record in Web of Science")</f>
        <v>View Full Record in Web of Science</v>
      </c>
    </row>
    <row r="756" spans="1:72" x14ac:dyDescent="0.25">
      <c r="A756" t="s">
        <v>72</v>
      </c>
      <c r="B756" t="s">
        <v>12959</v>
      </c>
      <c r="C756" t="s">
        <v>74</v>
      </c>
      <c r="D756" t="s">
        <v>74</v>
      </c>
      <c r="E756" t="s">
        <v>74</v>
      </c>
      <c r="F756" t="s">
        <v>12960</v>
      </c>
      <c r="G756" t="s">
        <v>74</v>
      </c>
      <c r="H756" t="s">
        <v>74</v>
      </c>
      <c r="I756" t="s">
        <v>12961</v>
      </c>
      <c r="J756" t="s">
        <v>1090</v>
      </c>
      <c r="K756" t="s">
        <v>74</v>
      </c>
      <c r="L756" t="s">
        <v>74</v>
      </c>
      <c r="M756" t="s">
        <v>77</v>
      </c>
      <c r="N756" t="s">
        <v>78</v>
      </c>
      <c r="O756" t="s">
        <v>74</v>
      </c>
      <c r="P756" t="s">
        <v>74</v>
      </c>
      <c r="Q756" t="s">
        <v>74</v>
      </c>
      <c r="R756" t="s">
        <v>74</v>
      </c>
      <c r="S756" t="s">
        <v>74</v>
      </c>
      <c r="T756" t="s">
        <v>74</v>
      </c>
      <c r="U756" t="s">
        <v>12962</v>
      </c>
      <c r="V756" t="s">
        <v>12963</v>
      </c>
      <c r="W756" t="s">
        <v>12964</v>
      </c>
      <c r="X756" t="s">
        <v>12965</v>
      </c>
      <c r="Y756" t="s">
        <v>12966</v>
      </c>
      <c r="Z756" t="s">
        <v>12967</v>
      </c>
      <c r="AA756" t="s">
        <v>12968</v>
      </c>
      <c r="AB756" t="s">
        <v>12969</v>
      </c>
      <c r="AC756" t="s">
        <v>74</v>
      </c>
      <c r="AD756" t="s">
        <v>74</v>
      </c>
      <c r="AE756" t="s">
        <v>74</v>
      </c>
      <c r="AF756" t="s">
        <v>74</v>
      </c>
      <c r="AG756">
        <v>62</v>
      </c>
      <c r="AH756">
        <v>6</v>
      </c>
      <c r="AI756">
        <v>6</v>
      </c>
      <c r="AJ756">
        <v>9</v>
      </c>
      <c r="AK756">
        <v>29</v>
      </c>
      <c r="AL756" t="s">
        <v>1099</v>
      </c>
      <c r="AM756" t="s">
        <v>305</v>
      </c>
      <c r="AN756" t="s">
        <v>1100</v>
      </c>
      <c r="AO756" t="s">
        <v>1101</v>
      </c>
      <c r="AP756" t="s">
        <v>1102</v>
      </c>
      <c r="AQ756" t="s">
        <v>74</v>
      </c>
      <c r="AR756" t="s">
        <v>1103</v>
      </c>
      <c r="AS756" t="s">
        <v>1104</v>
      </c>
      <c r="AT756" t="s">
        <v>74</v>
      </c>
      <c r="AU756">
        <v>2018</v>
      </c>
      <c r="AV756">
        <v>30</v>
      </c>
      <c r="AW756">
        <v>4</v>
      </c>
      <c r="AX756" t="s">
        <v>74</v>
      </c>
      <c r="AY756" t="s">
        <v>74</v>
      </c>
      <c r="AZ756" t="s">
        <v>74</v>
      </c>
      <c r="BA756" t="s">
        <v>74</v>
      </c>
      <c r="BB756">
        <v>329</v>
      </c>
      <c r="BC756">
        <v>338</v>
      </c>
      <c r="BD756" t="s">
        <v>74</v>
      </c>
      <c r="BE756" t="s">
        <v>12970</v>
      </c>
      <c r="BF756" t="str">
        <f>HYPERLINK("http://dx.doi.org/10.1080/10400419.2018.1530532","http://dx.doi.org/10.1080/10400419.2018.1530532")</f>
        <v>http://dx.doi.org/10.1080/10400419.2018.1530532</v>
      </c>
      <c r="BG756" t="s">
        <v>74</v>
      </c>
      <c r="BH756" t="s">
        <v>74</v>
      </c>
      <c r="BI756">
        <v>10</v>
      </c>
      <c r="BJ756" t="s">
        <v>1107</v>
      </c>
      <c r="BK756" t="s">
        <v>94</v>
      </c>
      <c r="BL756" t="s">
        <v>460</v>
      </c>
      <c r="BM756" t="s">
        <v>12971</v>
      </c>
      <c r="BN756" t="s">
        <v>74</v>
      </c>
      <c r="BO756" t="s">
        <v>74</v>
      </c>
      <c r="BP756" t="s">
        <v>74</v>
      </c>
      <c r="BQ756" t="s">
        <v>74</v>
      </c>
      <c r="BR756" t="s">
        <v>97</v>
      </c>
      <c r="BS756" t="s">
        <v>12972</v>
      </c>
      <c r="BT756" t="str">
        <f>HYPERLINK("https%3A%2F%2Fwww.webofscience.com%2Fwos%2Fwoscc%2Ffull-record%2FWOS:000453358000002","View Full Record in Web of Science")</f>
        <v>View Full Record in Web of Science</v>
      </c>
    </row>
    <row r="757" spans="1:72" x14ac:dyDescent="0.25">
      <c r="A757" t="s">
        <v>72</v>
      </c>
      <c r="B757" t="s">
        <v>12973</v>
      </c>
      <c r="C757" t="s">
        <v>74</v>
      </c>
      <c r="D757" t="s">
        <v>74</v>
      </c>
      <c r="E757" t="s">
        <v>74</v>
      </c>
      <c r="F757" t="s">
        <v>12974</v>
      </c>
      <c r="G757" t="s">
        <v>74</v>
      </c>
      <c r="H757" t="s">
        <v>74</v>
      </c>
      <c r="I757" t="s">
        <v>12975</v>
      </c>
      <c r="J757" t="s">
        <v>12976</v>
      </c>
      <c r="K757" t="s">
        <v>74</v>
      </c>
      <c r="L757" t="s">
        <v>74</v>
      </c>
      <c r="M757" t="s">
        <v>77</v>
      </c>
      <c r="N757" t="s">
        <v>78</v>
      </c>
      <c r="O757" t="s">
        <v>74</v>
      </c>
      <c r="P757" t="s">
        <v>74</v>
      </c>
      <c r="Q757" t="s">
        <v>74</v>
      </c>
      <c r="R757" t="s">
        <v>74</v>
      </c>
      <c r="S757" t="s">
        <v>74</v>
      </c>
      <c r="T757" t="s">
        <v>12977</v>
      </c>
      <c r="U757" t="s">
        <v>12978</v>
      </c>
      <c r="V757" t="s">
        <v>12979</v>
      </c>
      <c r="W757" t="s">
        <v>12980</v>
      </c>
      <c r="X757" t="s">
        <v>12981</v>
      </c>
      <c r="Y757" t="s">
        <v>12982</v>
      </c>
      <c r="Z757" t="s">
        <v>12983</v>
      </c>
      <c r="AA757" t="s">
        <v>12984</v>
      </c>
      <c r="AB757" t="s">
        <v>12985</v>
      </c>
      <c r="AC757" t="s">
        <v>12986</v>
      </c>
      <c r="AD757" t="s">
        <v>12987</v>
      </c>
      <c r="AE757" t="s">
        <v>12988</v>
      </c>
      <c r="AF757" t="s">
        <v>74</v>
      </c>
      <c r="AG757">
        <v>40</v>
      </c>
      <c r="AH757">
        <v>6</v>
      </c>
      <c r="AI757">
        <v>6</v>
      </c>
      <c r="AJ757">
        <v>0</v>
      </c>
      <c r="AK757">
        <v>8</v>
      </c>
      <c r="AL757" t="s">
        <v>1099</v>
      </c>
      <c r="AM757" t="s">
        <v>305</v>
      </c>
      <c r="AN757" t="s">
        <v>1100</v>
      </c>
      <c r="AO757" t="s">
        <v>12989</v>
      </c>
      <c r="AP757" t="s">
        <v>12990</v>
      </c>
      <c r="AQ757" t="s">
        <v>74</v>
      </c>
      <c r="AR757" t="s">
        <v>12991</v>
      </c>
      <c r="AS757" t="s">
        <v>12992</v>
      </c>
      <c r="AT757" t="s">
        <v>74</v>
      </c>
      <c r="AU757">
        <v>2018</v>
      </c>
      <c r="AV757">
        <v>20</v>
      </c>
      <c r="AW757">
        <v>8</v>
      </c>
      <c r="AX757" t="s">
        <v>74</v>
      </c>
      <c r="AY757" t="s">
        <v>74</v>
      </c>
      <c r="AZ757" t="s">
        <v>74</v>
      </c>
      <c r="BA757" t="s">
        <v>74</v>
      </c>
      <c r="BB757">
        <v>873</v>
      </c>
      <c r="BC757">
        <v>887</v>
      </c>
      <c r="BD757" t="s">
        <v>74</v>
      </c>
      <c r="BE757" t="s">
        <v>12993</v>
      </c>
      <c r="BF757" t="str">
        <f>HYPERLINK("http://dx.doi.org/10.1080/13691058.2017.1390161","http://dx.doi.org/10.1080/13691058.2017.1390161")</f>
        <v>http://dx.doi.org/10.1080/13691058.2017.1390161</v>
      </c>
      <c r="BG757" t="s">
        <v>74</v>
      </c>
      <c r="BH757" t="s">
        <v>74</v>
      </c>
      <c r="BI757">
        <v>15</v>
      </c>
      <c r="BJ757" t="s">
        <v>12994</v>
      </c>
      <c r="BK757" t="s">
        <v>94</v>
      </c>
      <c r="BL757" t="s">
        <v>12995</v>
      </c>
      <c r="BM757" t="s">
        <v>12996</v>
      </c>
      <c r="BN757">
        <v>29125041</v>
      </c>
      <c r="BO757" t="s">
        <v>378</v>
      </c>
      <c r="BP757" t="s">
        <v>74</v>
      </c>
      <c r="BQ757" t="s">
        <v>74</v>
      </c>
      <c r="BR757" t="s">
        <v>97</v>
      </c>
      <c r="BS757" t="s">
        <v>12997</v>
      </c>
      <c r="BT757" t="str">
        <f>HYPERLINK("https%3A%2F%2Fwww.webofscience.com%2Fwos%2Fwoscc%2Ffull-record%2FWOS:000438635000003","View Full Record in Web of Science")</f>
        <v>View Full Record in Web of Science</v>
      </c>
    </row>
    <row r="758" spans="1:72" x14ac:dyDescent="0.25">
      <c r="A758" t="s">
        <v>72</v>
      </c>
      <c r="B758" t="s">
        <v>12998</v>
      </c>
      <c r="C758" t="s">
        <v>74</v>
      </c>
      <c r="D758" t="s">
        <v>74</v>
      </c>
      <c r="E758" t="s">
        <v>74</v>
      </c>
      <c r="F758" t="s">
        <v>12999</v>
      </c>
      <c r="G758" t="s">
        <v>74</v>
      </c>
      <c r="H758" t="s">
        <v>74</v>
      </c>
      <c r="I758" t="s">
        <v>13000</v>
      </c>
      <c r="J758" t="s">
        <v>13001</v>
      </c>
      <c r="K758" t="s">
        <v>74</v>
      </c>
      <c r="L758" t="s">
        <v>74</v>
      </c>
      <c r="M758" t="s">
        <v>77</v>
      </c>
      <c r="N758" t="s">
        <v>78</v>
      </c>
      <c r="O758" t="s">
        <v>74</v>
      </c>
      <c r="P758" t="s">
        <v>74</v>
      </c>
      <c r="Q758" t="s">
        <v>74</v>
      </c>
      <c r="R758" t="s">
        <v>74</v>
      </c>
      <c r="S758" t="s">
        <v>74</v>
      </c>
      <c r="T758" t="s">
        <v>13002</v>
      </c>
      <c r="U758" t="s">
        <v>13003</v>
      </c>
      <c r="V758" t="s">
        <v>13004</v>
      </c>
      <c r="W758" t="s">
        <v>13005</v>
      </c>
      <c r="X758" t="s">
        <v>13006</v>
      </c>
      <c r="Y758" t="s">
        <v>13007</v>
      </c>
      <c r="Z758" t="s">
        <v>13008</v>
      </c>
      <c r="AA758" t="s">
        <v>13009</v>
      </c>
      <c r="AB758" t="s">
        <v>13010</v>
      </c>
      <c r="AC758" t="s">
        <v>74</v>
      </c>
      <c r="AD758" t="s">
        <v>74</v>
      </c>
      <c r="AE758" t="s">
        <v>74</v>
      </c>
      <c r="AF758" t="s">
        <v>74</v>
      </c>
      <c r="AG758">
        <v>45</v>
      </c>
      <c r="AH758">
        <v>6</v>
      </c>
      <c r="AI758">
        <v>6</v>
      </c>
      <c r="AJ758">
        <v>2</v>
      </c>
      <c r="AK758">
        <v>37</v>
      </c>
      <c r="AL758" t="s">
        <v>2351</v>
      </c>
      <c r="AM758" t="s">
        <v>541</v>
      </c>
      <c r="AN758" t="s">
        <v>2352</v>
      </c>
      <c r="AO758" t="s">
        <v>13011</v>
      </c>
      <c r="AP758" t="s">
        <v>13012</v>
      </c>
      <c r="AQ758" t="s">
        <v>74</v>
      </c>
      <c r="AR758" t="s">
        <v>13013</v>
      </c>
      <c r="AS758" t="s">
        <v>13014</v>
      </c>
      <c r="AT758" t="s">
        <v>375</v>
      </c>
      <c r="AU758">
        <v>2017</v>
      </c>
      <c r="AV758">
        <v>49</v>
      </c>
      <c r="AW758">
        <v>4</v>
      </c>
      <c r="AX758" t="s">
        <v>74</v>
      </c>
      <c r="AY758" t="s">
        <v>74</v>
      </c>
      <c r="AZ758" t="s">
        <v>74</v>
      </c>
      <c r="BA758" t="s">
        <v>74</v>
      </c>
      <c r="BB758">
        <v>368</v>
      </c>
      <c r="BC758">
        <v>379</v>
      </c>
      <c r="BD758" t="s">
        <v>74</v>
      </c>
      <c r="BE758" t="s">
        <v>13015</v>
      </c>
      <c r="BF758" t="str">
        <f>HYPERLINK("http://dx.doi.org/10.1177/0961000616640030","http://dx.doi.org/10.1177/0961000616640030")</f>
        <v>http://dx.doi.org/10.1177/0961000616640030</v>
      </c>
      <c r="BG758" t="s">
        <v>74</v>
      </c>
      <c r="BH758" t="s">
        <v>74</v>
      </c>
      <c r="BI758">
        <v>12</v>
      </c>
      <c r="BJ758" t="s">
        <v>7086</v>
      </c>
      <c r="BK758" t="s">
        <v>94</v>
      </c>
      <c r="BL758" t="s">
        <v>7086</v>
      </c>
      <c r="BM758" t="s">
        <v>13016</v>
      </c>
      <c r="BN758" t="s">
        <v>74</v>
      </c>
      <c r="BO758" t="s">
        <v>74</v>
      </c>
      <c r="BP758" t="s">
        <v>74</v>
      </c>
      <c r="BQ758" t="s">
        <v>74</v>
      </c>
      <c r="BR758" t="s">
        <v>97</v>
      </c>
      <c r="BS758" t="s">
        <v>13017</v>
      </c>
      <c r="BT758" t="str">
        <f>HYPERLINK("https%3A%2F%2Fwww.webofscience.com%2Fwos%2Fwoscc%2Ffull-record%2FWOS:000415292900002","View Full Record in Web of Science")</f>
        <v>View Full Record in Web of Science</v>
      </c>
    </row>
    <row r="759" spans="1:72" x14ac:dyDescent="0.25">
      <c r="A759" t="s">
        <v>72</v>
      </c>
      <c r="B759" t="s">
        <v>13018</v>
      </c>
      <c r="C759" t="s">
        <v>74</v>
      </c>
      <c r="D759" t="s">
        <v>74</v>
      </c>
      <c r="E759" t="s">
        <v>74</v>
      </c>
      <c r="F759" t="s">
        <v>13019</v>
      </c>
      <c r="G759" t="s">
        <v>74</v>
      </c>
      <c r="H759" t="s">
        <v>74</v>
      </c>
      <c r="I759" t="s">
        <v>13020</v>
      </c>
      <c r="J759" t="s">
        <v>5705</v>
      </c>
      <c r="K759" t="s">
        <v>74</v>
      </c>
      <c r="L759" t="s">
        <v>74</v>
      </c>
      <c r="M759" t="s">
        <v>77</v>
      </c>
      <c r="N759" t="s">
        <v>78</v>
      </c>
      <c r="O759" t="s">
        <v>74</v>
      </c>
      <c r="P759" t="s">
        <v>74</v>
      </c>
      <c r="Q759" t="s">
        <v>74</v>
      </c>
      <c r="R759" t="s">
        <v>74</v>
      </c>
      <c r="S759" t="s">
        <v>74</v>
      </c>
      <c r="T759" t="s">
        <v>13021</v>
      </c>
      <c r="U759" t="s">
        <v>13022</v>
      </c>
      <c r="V759" t="s">
        <v>13023</v>
      </c>
      <c r="W759" t="s">
        <v>13024</v>
      </c>
      <c r="X759" t="s">
        <v>13025</v>
      </c>
      <c r="Y759" t="s">
        <v>13026</v>
      </c>
      <c r="Z759" t="s">
        <v>13027</v>
      </c>
      <c r="AA759" t="s">
        <v>74</v>
      </c>
      <c r="AB759" t="s">
        <v>74</v>
      </c>
      <c r="AC759" t="s">
        <v>13028</v>
      </c>
      <c r="AD759" t="s">
        <v>13029</v>
      </c>
      <c r="AE759" t="s">
        <v>13030</v>
      </c>
      <c r="AF759" t="s">
        <v>74</v>
      </c>
      <c r="AG759">
        <v>30</v>
      </c>
      <c r="AH759">
        <v>6</v>
      </c>
      <c r="AI759">
        <v>6</v>
      </c>
      <c r="AJ759">
        <v>0</v>
      </c>
      <c r="AK759">
        <v>20</v>
      </c>
      <c r="AL759" t="s">
        <v>194</v>
      </c>
      <c r="AM759" t="s">
        <v>195</v>
      </c>
      <c r="AN759" t="s">
        <v>196</v>
      </c>
      <c r="AO759" t="s">
        <v>5718</v>
      </c>
      <c r="AP759" t="s">
        <v>5719</v>
      </c>
      <c r="AQ759" t="s">
        <v>74</v>
      </c>
      <c r="AR759" t="s">
        <v>5720</v>
      </c>
      <c r="AS759" t="s">
        <v>5721</v>
      </c>
      <c r="AT759" t="s">
        <v>165</v>
      </c>
      <c r="AU759">
        <v>2017</v>
      </c>
      <c r="AV759">
        <v>131</v>
      </c>
      <c r="AW759">
        <v>2</v>
      </c>
      <c r="AX759" t="s">
        <v>74</v>
      </c>
      <c r="AY759" t="s">
        <v>74</v>
      </c>
      <c r="AZ759" t="s">
        <v>74</v>
      </c>
      <c r="BA759" t="s">
        <v>74</v>
      </c>
      <c r="BB759">
        <v>174</v>
      </c>
      <c r="BC759">
        <v>178</v>
      </c>
      <c r="BD759" t="s">
        <v>74</v>
      </c>
      <c r="BE759" t="s">
        <v>13031</v>
      </c>
      <c r="BF759" t="str">
        <f>HYPERLINK("http://dx.doi.org/10.1037/com0000071","http://dx.doi.org/10.1037/com0000071")</f>
        <v>http://dx.doi.org/10.1037/com0000071</v>
      </c>
      <c r="BG759" t="s">
        <v>74</v>
      </c>
      <c r="BH759" t="s">
        <v>74</v>
      </c>
      <c r="BI759">
        <v>5</v>
      </c>
      <c r="BJ759" t="s">
        <v>5723</v>
      </c>
      <c r="BK759" t="s">
        <v>147</v>
      </c>
      <c r="BL759" t="s">
        <v>5724</v>
      </c>
      <c r="BM759" t="s">
        <v>13032</v>
      </c>
      <c r="BN759">
        <v>28277719</v>
      </c>
      <c r="BO759" t="s">
        <v>3476</v>
      </c>
      <c r="BP759" t="s">
        <v>74</v>
      </c>
      <c r="BQ759" t="s">
        <v>74</v>
      </c>
      <c r="BR759" t="s">
        <v>97</v>
      </c>
      <c r="BS759" t="s">
        <v>13033</v>
      </c>
      <c r="BT759" t="str">
        <f>HYPERLINK("https%3A%2F%2Fwww.webofscience.com%2Fwos%2Fwoscc%2Ffull-record%2FWOS:000401085800009","View Full Record in Web of Science")</f>
        <v>View Full Record in Web of Science</v>
      </c>
    </row>
    <row r="760" spans="1:72" x14ac:dyDescent="0.25">
      <c r="A760" t="s">
        <v>72</v>
      </c>
      <c r="B760" t="s">
        <v>13034</v>
      </c>
      <c r="C760" t="s">
        <v>74</v>
      </c>
      <c r="D760" t="s">
        <v>74</v>
      </c>
      <c r="E760" t="s">
        <v>74</v>
      </c>
      <c r="F760" t="s">
        <v>13035</v>
      </c>
      <c r="G760" t="s">
        <v>74</v>
      </c>
      <c r="H760" t="s">
        <v>74</v>
      </c>
      <c r="I760" t="s">
        <v>13036</v>
      </c>
      <c r="J760" t="s">
        <v>9115</v>
      </c>
      <c r="K760" t="s">
        <v>74</v>
      </c>
      <c r="L760" t="s">
        <v>74</v>
      </c>
      <c r="M760" t="s">
        <v>77</v>
      </c>
      <c r="N760" t="s">
        <v>78</v>
      </c>
      <c r="O760" t="s">
        <v>74</v>
      </c>
      <c r="P760" t="s">
        <v>74</v>
      </c>
      <c r="Q760" t="s">
        <v>74</v>
      </c>
      <c r="R760" t="s">
        <v>74</v>
      </c>
      <c r="S760" t="s">
        <v>74</v>
      </c>
      <c r="T760" t="s">
        <v>13037</v>
      </c>
      <c r="U760" t="s">
        <v>13038</v>
      </c>
      <c r="V760" t="s">
        <v>13039</v>
      </c>
      <c r="W760" t="s">
        <v>13040</v>
      </c>
      <c r="X760" t="s">
        <v>74</v>
      </c>
      <c r="Y760" t="s">
        <v>13041</v>
      </c>
      <c r="Z760" t="s">
        <v>13042</v>
      </c>
      <c r="AA760" t="s">
        <v>74</v>
      </c>
      <c r="AB760" t="s">
        <v>13043</v>
      </c>
      <c r="AC760" t="s">
        <v>74</v>
      </c>
      <c r="AD760" t="s">
        <v>74</v>
      </c>
      <c r="AE760" t="s">
        <v>74</v>
      </c>
      <c r="AF760" t="s">
        <v>74</v>
      </c>
      <c r="AG760">
        <v>75</v>
      </c>
      <c r="AH760">
        <v>6</v>
      </c>
      <c r="AI760">
        <v>6</v>
      </c>
      <c r="AJ760">
        <v>1</v>
      </c>
      <c r="AK760">
        <v>21</v>
      </c>
      <c r="AL760" t="s">
        <v>1099</v>
      </c>
      <c r="AM760" t="s">
        <v>305</v>
      </c>
      <c r="AN760" t="s">
        <v>1100</v>
      </c>
      <c r="AO760" t="s">
        <v>9124</v>
      </c>
      <c r="AP760" t="s">
        <v>9125</v>
      </c>
      <c r="AQ760" t="s">
        <v>74</v>
      </c>
      <c r="AR760" t="s">
        <v>9126</v>
      </c>
      <c r="AS760" t="s">
        <v>9127</v>
      </c>
      <c r="AT760" t="s">
        <v>584</v>
      </c>
      <c r="AU760">
        <v>2015</v>
      </c>
      <c r="AV760">
        <v>17</v>
      </c>
      <c r="AW760">
        <v>4</v>
      </c>
      <c r="AX760" t="s">
        <v>74</v>
      </c>
      <c r="AY760" t="s">
        <v>74</v>
      </c>
      <c r="AZ760" t="s">
        <v>74</v>
      </c>
      <c r="BA760" t="s">
        <v>74</v>
      </c>
      <c r="BB760">
        <v>466</v>
      </c>
      <c r="BC760">
        <v>484</v>
      </c>
      <c r="BD760" t="s">
        <v>74</v>
      </c>
      <c r="BE760" t="s">
        <v>13044</v>
      </c>
      <c r="BF760" t="str">
        <f>HYPERLINK("http://dx.doi.org/10.1080/14479338.2016.1157447","http://dx.doi.org/10.1080/14479338.2016.1157447")</f>
        <v>http://dx.doi.org/10.1080/14479338.2016.1157447</v>
      </c>
      <c r="BG760" t="s">
        <v>74</v>
      </c>
      <c r="BH760" t="s">
        <v>74</v>
      </c>
      <c r="BI760">
        <v>19</v>
      </c>
      <c r="BJ760" t="s">
        <v>442</v>
      </c>
      <c r="BK760" t="s">
        <v>94</v>
      </c>
      <c r="BL760" t="s">
        <v>95</v>
      </c>
      <c r="BM760" t="s">
        <v>13045</v>
      </c>
      <c r="BN760" t="s">
        <v>74</v>
      </c>
      <c r="BO760" t="s">
        <v>74</v>
      </c>
      <c r="BP760" t="s">
        <v>74</v>
      </c>
      <c r="BQ760" t="s">
        <v>74</v>
      </c>
      <c r="BR760" t="s">
        <v>97</v>
      </c>
      <c r="BS760" t="s">
        <v>13046</v>
      </c>
      <c r="BT760" t="str">
        <f>HYPERLINK("https%3A%2F%2Fwww.webofscience.com%2Fwos%2Fwoscc%2Ffull-record%2FWOS:000373934600004","View Full Record in Web of Science")</f>
        <v>View Full Record in Web of Science</v>
      </c>
    </row>
    <row r="761" spans="1:72" x14ac:dyDescent="0.25">
      <c r="A761" t="s">
        <v>72</v>
      </c>
      <c r="B761" t="s">
        <v>13047</v>
      </c>
      <c r="C761" t="s">
        <v>74</v>
      </c>
      <c r="D761" t="s">
        <v>74</v>
      </c>
      <c r="E761" t="s">
        <v>74</v>
      </c>
      <c r="F761" t="s">
        <v>13048</v>
      </c>
      <c r="G761" t="s">
        <v>74</v>
      </c>
      <c r="H761" t="s">
        <v>74</v>
      </c>
      <c r="I761" t="s">
        <v>13049</v>
      </c>
      <c r="J761" t="s">
        <v>9190</v>
      </c>
      <c r="K761" t="s">
        <v>74</v>
      </c>
      <c r="L761" t="s">
        <v>74</v>
      </c>
      <c r="M761" t="s">
        <v>77</v>
      </c>
      <c r="N761" t="s">
        <v>78</v>
      </c>
      <c r="O761" t="s">
        <v>74</v>
      </c>
      <c r="P761" t="s">
        <v>74</v>
      </c>
      <c r="Q761" t="s">
        <v>74</v>
      </c>
      <c r="R761" t="s">
        <v>74</v>
      </c>
      <c r="S761" t="s">
        <v>74</v>
      </c>
      <c r="T761" t="s">
        <v>13050</v>
      </c>
      <c r="U761" t="s">
        <v>13051</v>
      </c>
      <c r="V761" t="s">
        <v>13052</v>
      </c>
      <c r="W761" t="s">
        <v>13053</v>
      </c>
      <c r="X761" t="s">
        <v>13054</v>
      </c>
      <c r="Y761" t="s">
        <v>13055</v>
      </c>
      <c r="Z761" t="s">
        <v>13056</v>
      </c>
      <c r="AA761" t="s">
        <v>74</v>
      </c>
      <c r="AB761" t="s">
        <v>74</v>
      </c>
      <c r="AC761" t="s">
        <v>13057</v>
      </c>
      <c r="AD761" t="s">
        <v>13058</v>
      </c>
      <c r="AE761" t="s">
        <v>13059</v>
      </c>
      <c r="AF761" t="s">
        <v>74</v>
      </c>
      <c r="AG761">
        <v>31</v>
      </c>
      <c r="AH761">
        <v>6</v>
      </c>
      <c r="AI761">
        <v>7</v>
      </c>
      <c r="AJ761">
        <v>3</v>
      </c>
      <c r="AK761">
        <v>49</v>
      </c>
      <c r="AL761" t="s">
        <v>766</v>
      </c>
      <c r="AM761" t="s">
        <v>1193</v>
      </c>
      <c r="AN761" t="s">
        <v>1498</v>
      </c>
      <c r="AO761" t="s">
        <v>9197</v>
      </c>
      <c r="AP761" t="s">
        <v>10868</v>
      </c>
      <c r="AQ761" t="s">
        <v>74</v>
      </c>
      <c r="AR761" t="s">
        <v>9190</v>
      </c>
      <c r="AS761" t="s">
        <v>9198</v>
      </c>
      <c r="AT761" t="s">
        <v>256</v>
      </c>
      <c r="AU761">
        <v>2014</v>
      </c>
      <c r="AV761">
        <v>101</v>
      </c>
      <c r="AW761">
        <v>1</v>
      </c>
      <c r="AX761" t="s">
        <v>74</v>
      </c>
      <c r="AY761" t="s">
        <v>74</v>
      </c>
      <c r="AZ761" t="s">
        <v>74</v>
      </c>
      <c r="BA761" t="s">
        <v>74</v>
      </c>
      <c r="BB761">
        <v>705</v>
      </c>
      <c r="BC761">
        <v>716</v>
      </c>
      <c r="BD761" t="s">
        <v>74</v>
      </c>
      <c r="BE761" t="s">
        <v>13060</v>
      </c>
      <c r="BF761" t="str">
        <f>HYPERLINK("http://dx.doi.org/10.1007/s11192-013-1191-5","http://dx.doi.org/10.1007/s11192-013-1191-5")</f>
        <v>http://dx.doi.org/10.1007/s11192-013-1191-5</v>
      </c>
      <c r="BG761" t="s">
        <v>74</v>
      </c>
      <c r="BH761" t="s">
        <v>74</v>
      </c>
      <c r="BI761">
        <v>12</v>
      </c>
      <c r="BJ761" t="s">
        <v>9200</v>
      </c>
      <c r="BK761" t="s">
        <v>147</v>
      </c>
      <c r="BL761" t="s">
        <v>9201</v>
      </c>
      <c r="BM761" t="s">
        <v>13061</v>
      </c>
      <c r="BN761" t="s">
        <v>74</v>
      </c>
      <c r="BO761" t="s">
        <v>74</v>
      </c>
      <c r="BP761" t="s">
        <v>74</v>
      </c>
      <c r="BQ761" t="s">
        <v>74</v>
      </c>
      <c r="BR761" t="s">
        <v>97</v>
      </c>
      <c r="BS761" t="s">
        <v>13062</v>
      </c>
      <c r="BT761" t="str">
        <f>HYPERLINK("https%3A%2F%2Fwww.webofscience.com%2Fwos%2Fwoscc%2Ffull-record%2FWOS:000342228300032","View Full Record in Web of Science")</f>
        <v>View Full Record in Web of Science</v>
      </c>
    </row>
    <row r="762" spans="1:72" x14ac:dyDescent="0.25">
      <c r="A762" t="s">
        <v>72</v>
      </c>
      <c r="B762" t="s">
        <v>13063</v>
      </c>
      <c r="C762" t="s">
        <v>74</v>
      </c>
      <c r="D762" t="s">
        <v>74</v>
      </c>
      <c r="E762" t="s">
        <v>74</v>
      </c>
      <c r="F762" t="s">
        <v>13064</v>
      </c>
      <c r="G762" t="s">
        <v>74</v>
      </c>
      <c r="H762" t="s">
        <v>74</v>
      </c>
      <c r="I762" t="s">
        <v>13065</v>
      </c>
      <c r="J762" t="s">
        <v>3528</v>
      </c>
      <c r="K762" t="s">
        <v>74</v>
      </c>
      <c r="L762" t="s">
        <v>74</v>
      </c>
      <c r="M762" t="s">
        <v>77</v>
      </c>
      <c r="N762" t="s">
        <v>78</v>
      </c>
      <c r="O762" t="s">
        <v>74</v>
      </c>
      <c r="P762" t="s">
        <v>74</v>
      </c>
      <c r="Q762" t="s">
        <v>74</v>
      </c>
      <c r="R762" t="s">
        <v>74</v>
      </c>
      <c r="S762" t="s">
        <v>74</v>
      </c>
      <c r="T762" t="s">
        <v>13066</v>
      </c>
      <c r="U762" t="s">
        <v>13067</v>
      </c>
      <c r="V762" t="s">
        <v>13068</v>
      </c>
      <c r="W762" t="s">
        <v>13069</v>
      </c>
      <c r="X762" t="s">
        <v>9494</v>
      </c>
      <c r="Y762" t="s">
        <v>13070</v>
      </c>
      <c r="Z762" t="s">
        <v>13071</v>
      </c>
      <c r="AA762" t="s">
        <v>13072</v>
      </c>
      <c r="AB762" t="s">
        <v>13073</v>
      </c>
      <c r="AC762" t="s">
        <v>74</v>
      </c>
      <c r="AD762" t="s">
        <v>74</v>
      </c>
      <c r="AE762" t="s">
        <v>74</v>
      </c>
      <c r="AF762" t="s">
        <v>74</v>
      </c>
      <c r="AG762">
        <v>131</v>
      </c>
      <c r="AH762">
        <v>6</v>
      </c>
      <c r="AI762">
        <v>6</v>
      </c>
      <c r="AJ762">
        <v>0</v>
      </c>
      <c r="AK762">
        <v>43</v>
      </c>
      <c r="AL762" t="s">
        <v>1099</v>
      </c>
      <c r="AM762" t="s">
        <v>305</v>
      </c>
      <c r="AN762" t="s">
        <v>1100</v>
      </c>
      <c r="AO762" t="s">
        <v>3537</v>
      </c>
      <c r="AP762" t="s">
        <v>3538</v>
      </c>
      <c r="AQ762" t="s">
        <v>74</v>
      </c>
      <c r="AR762" t="s">
        <v>3539</v>
      </c>
      <c r="AS762" t="s">
        <v>3540</v>
      </c>
      <c r="AT762" t="s">
        <v>10453</v>
      </c>
      <c r="AU762">
        <v>2013</v>
      </c>
      <c r="AV762">
        <v>33</v>
      </c>
      <c r="AW762">
        <v>11</v>
      </c>
      <c r="AX762" t="s">
        <v>74</v>
      </c>
      <c r="AY762" t="s">
        <v>74</v>
      </c>
      <c r="AZ762" t="s">
        <v>74</v>
      </c>
      <c r="BA762" t="s">
        <v>74</v>
      </c>
      <c r="BB762">
        <v>977</v>
      </c>
      <c r="BC762">
        <v>1002</v>
      </c>
      <c r="BD762" t="s">
        <v>74</v>
      </c>
      <c r="BE762" t="s">
        <v>13074</v>
      </c>
      <c r="BF762" t="str">
        <f>HYPERLINK("http://dx.doi.org/10.1080/02642069.2011.628987","http://dx.doi.org/10.1080/02642069.2011.628987")</f>
        <v>http://dx.doi.org/10.1080/02642069.2011.628987</v>
      </c>
      <c r="BG762" t="s">
        <v>74</v>
      </c>
      <c r="BH762" t="s">
        <v>74</v>
      </c>
      <c r="BI762">
        <v>26</v>
      </c>
      <c r="BJ762" t="s">
        <v>442</v>
      </c>
      <c r="BK762" t="s">
        <v>94</v>
      </c>
      <c r="BL762" t="s">
        <v>95</v>
      </c>
      <c r="BM762" t="s">
        <v>13075</v>
      </c>
      <c r="BN762" t="s">
        <v>74</v>
      </c>
      <c r="BO762" t="s">
        <v>74</v>
      </c>
      <c r="BP762" t="s">
        <v>74</v>
      </c>
      <c r="BQ762" t="s">
        <v>74</v>
      </c>
      <c r="BR762" t="s">
        <v>97</v>
      </c>
      <c r="BS762" t="s">
        <v>13076</v>
      </c>
      <c r="BT762" t="str">
        <f>HYPERLINK("https%3A%2F%2Fwww.webofscience.com%2Fwos%2Fwoscc%2Ffull-record%2FWOS:000322754600001","View Full Record in Web of Science")</f>
        <v>View Full Record in Web of Science</v>
      </c>
    </row>
    <row r="763" spans="1:72" x14ac:dyDescent="0.25">
      <c r="A763" t="s">
        <v>72</v>
      </c>
      <c r="B763" t="s">
        <v>13077</v>
      </c>
      <c r="C763" t="s">
        <v>74</v>
      </c>
      <c r="D763" t="s">
        <v>74</v>
      </c>
      <c r="E763" t="s">
        <v>74</v>
      </c>
      <c r="F763" t="s">
        <v>13078</v>
      </c>
      <c r="G763" t="s">
        <v>74</v>
      </c>
      <c r="H763" t="s">
        <v>74</v>
      </c>
      <c r="I763" t="s">
        <v>13079</v>
      </c>
      <c r="J763" t="s">
        <v>3949</v>
      </c>
      <c r="K763" t="s">
        <v>74</v>
      </c>
      <c r="L763" t="s">
        <v>74</v>
      </c>
      <c r="M763" t="s">
        <v>77</v>
      </c>
      <c r="N763" t="s">
        <v>78</v>
      </c>
      <c r="O763" t="s">
        <v>74</v>
      </c>
      <c r="P763" t="s">
        <v>74</v>
      </c>
      <c r="Q763" t="s">
        <v>74</v>
      </c>
      <c r="R763" t="s">
        <v>74</v>
      </c>
      <c r="S763" t="s">
        <v>74</v>
      </c>
      <c r="T763" t="s">
        <v>13080</v>
      </c>
      <c r="U763" t="s">
        <v>13081</v>
      </c>
      <c r="V763" t="s">
        <v>13082</v>
      </c>
      <c r="W763" t="s">
        <v>13083</v>
      </c>
      <c r="X763" t="s">
        <v>13084</v>
      </c>
      <c r="Y763" t="s">
        <v>13085</v>
      </c>
      <c r="Z763" t="s">
        <v>13086</v>
      </c>
      <c r="AA763" t="s">
        <v>74</v>
      </c>
      <c r="AB763" t="s">
        <v>74</v>
      </c>
      <c r="AC763" t="s">
        <v>74</v>
      </c>
      <c r="AD763" t="s">
        <v>74</v>
      </c>
      <c r="AE763" t="s">
        <v>74</v>
      </c>
      <c r="AF763" t="s">
        <v>74</v>
      </c>
      <c r="AG763">
        <v>96</v>
      </c>
      <c r="AH763">
        <v>6</v>
      </c>
      <c r="AI763">
        <v>7</v>
      </c>
      <c r="AJ763">
        <v>1</v>
      </c>
      <c r="AK763">
        <v>59</v>
      </c>
      <c r="AL763" t="s">
        <v>602</v>
      </c>
      <c r="AM763" t="s">
        <v>160</v>
      </c>
      <c r="AN763" t="s">
        <v>603</v>
      </c>
      <c r="AO763" t="s">
        <v>3962</v>
      </c>
      <c r="AP763" t="s">
        <v>3963</v>
      </c>
      <c r="AQ763" t="s">
        <v>74</v>
      </c>
      <c r="AR763" t="s">
        <v>3964</v>
      </c>
      <c r="AS763" t="s">
        <v>3965</v>
      </c>
      <c r="AT763" t="s">
        <v>122</v>
      </c>
      <c r="AU763">
        <v>2013</v>
      </c>
      <c r="AV763">
        <v>31</v>
      </c>
      <c r="AW763">
        <v>2</v>
      </c>
      <c r="AX763" t="s">
        <v>74</v>
      </c>
      <c r="AY763" t="s">
        <v>74</v>
      </c>
      <c r="AZ763" t="s">
        <v>74</v>
      </c>
      <c r="BA763" t="s">
        <v>74</v>
      </c>
      <c r="BB763">
        <v>164</v>
      </c>
      <c r="BC763">
        <v>178</v>
      </c>
      <c r="BD763" t="s">
        <v>74</v>
      </c>
      <c r="BE763" t="s">
        <v>13087</v>
      </c>
      <c r="BF763" t="str">
        <f>HYPERLINK("http://dx.doi.org/10.1016/j.emj.2012.05.002","http://dx.doi.org/10.1016/j.emj.2012.05.002")</f>
        <v>http://dx.doi.org/10.1016/j.emj.2012.05.002</v>
      </c>
      <c r="BG763" t="s">
        <v>74</v>
      </c>
      <c r="BH763" t="s">
        <v>74</v>
      </c>
      <c r="BI763">
        <v>15</v>
      </c>
      <c r="BJ763" t="s">
        <v>93</v>
      </c>
      <c r="BK763" t="s">
        <v>94</v>
      </c>
      <c r="BL763" t="s">
        <v>95</v>
      </c>
      <c r="BM763" t="s">
        <v>13088</v>
      </c>
      <c r="BN763" t="s">
        <v>74</v>
      </c>
      <c r="BO763" t="s">
        <v>74</v>
      </c>
      <c r="BP763" t="s">
        <v>74</v>
      </c>
      <c r="BQ763" t="s">
        <v>74</v>
      </c>
      <c r="BR763" t="s">
        <v>97</v>
      </c>
      <c r="BS763" t="s">
        <v>13089</v>
      </c>
      <c r="BT763" t="str">
        <f>HYPERLINK("https%3A%2F%2Fwww.webofscience.com%2Fwos%2Fwoscc%2Ffull-record%2FWOS:000315323100005","View Full Record in Web of Science")</f>
        <v>View Full Record in Web of Science</v>
      </c>
    </row>
    <row r="764" spans="1:72" x14ac:dyDescent="0.25">
      <c r="A764" t="s">
        <v>72</v>
      </c>
      <c r="B764" t="s">
        <v>13090</v>
      </c>
      <c r="C764" t="s">
        <v>74</v>
      </c>
      <c r="D764" t="s">
        <v>74</v>
      </c>
      <c r="E764" t="s">
        <v>74</v>
      </c>
      <c r="F764" t="s">
        <v>13091</v>
      </c>
      <c r="G764" t="s">
        <v>74</v>
      </c>
      <c r="H764" t="s">
        <v>74</v>
      </c>
      <c r="I764" t="s">
        <v>13092</v>
      </c>
      <c r="J764" t="s">
        <v>2550</v>
      </c>
      <c r="K764" t="s">
        <v>74</v>
      </c>
      <c r="L764" t="s">
        <v>74</v>
      </c>
      <c r="M764" t="s">
        <v>77</v>
      </c>
      <c r="N764" t="s">
        <v>78</v>
      </c>
      <c r="O764" t="s">
        <v>74</v>
      </c>
      <c r="P764" t="s">
        <v>74</v>
      </c>
      <c r="Q764" t="s">
        <v>74</v>
      </c>
      <c r="R764" t="s">
        <v>74</v>
      </c>
      <c r="S764" t="s">
        <v>74</v>
      </c>
      <c r="T764" t="s">
        <v>13093</v>
      </c>
      <c r="U764" t="s">
        <v>13094</v>
      </c>
      <c r="V764" t="s">
        <v>13095</v>
      </c>
      <c r="W764" t="s">
        <v>13096</v>
      </c>
      <c r="X764" t="s">
        <v>13097</v>
      </c>
      <c r="Y764" t="s">
        <v>13098</v>
      </c>
      <c r="Z764" t="s">
        <v>13099</v>
      </c>
      <c r="AA764" t="s">
        <v>13100</v>
      </c>
      <c r="AB764" t="s">
        <v>13101</v>
      </c>
      <c r="AC764" t="s">
        <v>74</v>
      </c>
      <c r="AD764" t="s">
        <v>74</v>
      </c>
      <c r="AE764" t="s">
        <v>74</v>
      </c>
      <c r="AF764" t="s">
        <v>74</v>
      </c>
      <c r="AG764">
        <v>47</v>
      </c>
      <c r="AH764">
        <v>6</v>
      </c>
      <c r="AI764">
        <v>6</v>
      </c>
      <c r="AJ764">
        <v>3</v>
      </c>
      <c r="AK764">
        <v>47</v>
      </c>
      <c r="AL764" t="s">
        <v>2557</v>
      </c>
      <c r="AM764" t="s">
        <v>10469</v>
      </c>
      <c r="AN764" t="s">
        <v>10470</v>
      </c>
      <c r="AO764" t="s">
        <v>2559</v>
      </c>
      <c r="AP764" t="s">
        <v>10471</v>
      </c>
      <c r="AQ764" t="s">
        <v>74</v>
      </c>
      <c r="AR764" t="s">
        <v>2560</v>
      </c>
      <c r="AS764" t="s">
        <v>2561</v>
      </c>
      <c r="AT764" t="s">
        <v>392</v>
      </c>
      <c r="AU764">
        <v>2010</v>
      </c>
      <c r="AV764">
        <v>57</v>
      </c>
      <c r="AW764">
        <v>3</v>
      </c>
      <c r="AX764" t="s">
        <v>74</v>
      </c>
      <c r="AY764" t="s">
        <v>74</v>
      </c>
      <c r="AZ764" t="s">
        <v>74</v>
      </c>
      <c r="BA764" t="s">
        <v>74</v>
      </c>
      <c r="BB764">
        <v>416</v>
      </c>
      <c r="BC764">
        <v>429</v>
      </c>
      <c r="BD764" t="s">
        <v>74</v>
      </c>
      <c r="BE764" t="s">
        <v>13102</v>
      </c>
      <c r="BF764" t="str">
        <f>HYPERLINK("http://dx.doi.org/10.1109/TEM.2009.2037737","http://dx.doi.org/10.1109/TEM.2009.2037737")</f>
        <v>http://dx.doi.org/10.1109/TEM.2009.2037737</v>
      </c>
      <c r="BG764" t="s">
        <v>74</v>
      </c>
      <c r="BH764" t="s">
        <v>74</v>
      </c>
      <c r="BI764">
        <v>14</v>
      </c>
      <c r="BJ764" t="s">
        <v>794</v>
      </c>
      <c r="BK764" t="s">
        <v>147</v>
      </c>
      <c r="BL764" t="s">
        <v>795</v>
      </c>
      <c r="BM764" t="s">
        <v>13103</v>
      </c>
      <c r="BN764" t="s">
        <v>74</v>
      </c>
      <c r="BO764" t="s">
        <v>74</v>
      </c>
      <c r="BP764" t="s">
        <v>74</v>
      </c>
      <c r="BQ764" t="s">
        <v>74</v>
      </c>
      <c r="BR764" t="s">
        <v>97</v>
      </c>
      <c r="BS764" t="s">
        <v>13104</v>
      </c>
      <c r="BT764" t="str">
        <f>HYPERLINK("https%3A%2F%2Fwww.webofscience.com%2Fwos%2Fwoscc%2Ffull-record%2FWOS:000282543900006","View Full Record in Web of Science")</f>
        <v>View Full Record in Web of Science</v>
      </c>
    </row>
    <row r="765" spans="1:72" x14ac:dyDescent="0.25">
      <c r="A765" t="s">
        <v>72</v>
      </c>
      <c r="B765" t="s">
        <v>13105</v>
      </c>
      <c r="C765" t="s">
        <v>74</v>
      </c>
      <c r="D765" t="s">
        <v>74</v>
      </c>
      <c r="E765" t="s">
        <v>74</v>
      </c>
      <c r="F765" t="s">
        <v>13106</v>
      </c>
      <c r="G765" t="s">
        <v>74</v>
      </c>
      <c r="H765" t="s">
        <v>74</v>
      </c>
      <c r="I765" t="s">
        <v>13107</v>
      </c>
      <c r="J765" t="s">
        <v>13108</v>
      </c>
      <c r="K765" t="s">
        <v>74</v>
      </c>
      <c r="L765" t="s">
        <v>74</v>
      </c>
      <c r="M765" t="s">
        <v>12449</v>
      </c>
      <c r="N765" t="s">
        <v>78</v>
      </c>
      <c r="O765" t="s">
        <v>74</v>
      </c>
      <c r="P765" t="s">
        <v>74</v>
      </c>
      <c r="Q765" t="s">
        <v>74</v>
      </c>
      <c r="R765" t="s">
        <v>74</v>
      </c>
      <c r="S765" t="s">
        <v>74</v>
      </c>
      <c r="T765" t="s">
        <v>13109</v>
      </c>
      <c r="U765" t="s">
        <v>13110</v>
      </c>
      <c r="V765" t="s">
        <v>13111</v>
      </c>
      <c r="W765" t="s">
        <v>13112</v>
      </c>
      <c r="X765" t="s">
        <v>13113</v>
      </c>
      <c r="Y765" t="s">
        <v>13114</v>
      </c>
      <c r="Z765" t="s">
        <v>13115</v>
      </c>
      <c r="AA765" t="s">
        <v>13116</v>
      </c>
      <c r="AB765" t="s">
        <v>13117</v>
      </c>
      <c r="AC765" t="s">
        <v>74</v>
      </c>
      <c r="AD765" t="s">
        <v>74</v>
      </c>
      <c r="AE765" t="s">
        <v>74</v>
      </c>
      <c r="AF765" t="s">
        <v>74</v>
      </c>
      <c r="AG765">
        <v>55</v>
      </c>
      <c r="AH765">
        <v>6</v>
      </c>
      <c r="AI765">
        <v>6</v>
      </c>
      <c r="AJ765">
        <v>1</v>
      </c>
      <c r="AK765">
        <v>22</v>
      </c>
      <c r="AL765" t="s">
        <v>13118</v>
      </c>
      <c r="AM765" t="s">
        <v>13119</v>
      </c>
      <c r="AN765" t="s">
        <v>13120</v>
      </c>
      <c r="AO765" t="s">
        <v>13121</v>
      </c>
      <c r="AP765" t="s">
        <v>74</v>
      </c>
      <c r="AQ765" t="s">
        <v>74</v>
      </c>
      <c r="AR765" t="s">
        <v>13122</v>
      </c>
      <c r="AS765" t="s">
        <v>13123</v>
      </c>
      <c r="AT765" t="s">
        <v>7883</v>
      </c>
      <c r="AU765">
        <v>2010</v>
      </c>
      <c r="AV765">
        <v>16</v>
      </c>
      <c r="AW765">
        <v>3</v>
      </c>
      <c r="AX765" t="s">
        <v>74</v>
      </c>
      <c r="AY765" t="s">
        <v>74</v>
      </c>
      <c r="AZ765" t="s">
        <v>74</v>
      </c>
      <c r="BA765" t="s">
        <v>74</v>
      </c>
      <c r="BB765">
        <v>400</v>
      </c>
      <c r="BC765">
        <v>417</v>
      </c>
      <c r="BD765" t="s">
        <v>74</v>
      </c>
      <c r="BE765" t="s">
        <v>74</v>
      </c>
      <c r="BF765" t="s">
        <v>74</v>
      </c>
      <c r="BG765" t="s">
        <v>74</v>
      </c>
      <c r="BH765" t="s">
        <v>74</v>
      </c>
      <c r="BI765">
        <v>18</v>
      </c>
      <c r="BJ765" t="s">
        <v>6604</v>
      </c>
      <c r="BK765" t="s">
        <v>94</v>
      </c>
      <c r="BL765" t="s">
        <v>95</v>
      </c>
      <c r="BM765" t="s">
        <v>13124</v>
      </c>
      <c r="BN765" t="s">
        <v>74</v>
      </c>
      <c r="BO765" t="s">
        <v>74</v>
      </c>
      <c r="BP765" t="s">
        <v>74</v>
      </c>
      <c r="BQ765" t="s">
        <v>74</v>
      </c>
      <c r="BR765" t="s">
        <v>97</v>
      </c>
      <c r="BS765" t="s">
        <v>13125</v>
      </c>
      <c r="BT765" t="str">
        <f>HYPERLINK("https%3A%2F%2Fwww.webofscience.com%2Fwos%2Fwoscc%2Ffull-record%2FWOS:000283900300003","View Full Record in Web of Science")</f>
        <v>View Full Record in Web of Science</v>
      </c>
    </row>
    <row r="766" spans="1:72" x14ac:dyDescent="0.25">
      <c r="A766" t="s">
        <v>72</v>
      </c>
      <c r="B766" t="s">
        <v>13126</v>
      </c>
      <c r="C766" t="s">
        <v>74</v>
      </c>
      <c r="D766" t="s">
        <v>74</v>
      </c>
      <c r="E766" t="s">
        <v>74</v>
      </c>
      <c r="F766" t="s">
        <v>13127</v>
      </c>
      <c r="G766" t="s">
        <v>74</v>
      </c>
      <c r="H766" t="s">
        <v>74</v>
      </c>
      <c r="I766" t="s">
        <v>13128</v>
      </c>
      <c r="J766" t="s">
        <v>10536</v>
      </c>
      <c r="K766" t="s">
        <v>74</v>
      </c>
      <c r="L766" t="s">
        <v>74</v>
      </c>
      <c r="M766" t="s">
        <v>77</v>
      </c>
      <c r="N766" t="s">
        <v>78</v>
      </c>
      <c r="O766" t="s">
        <v>74</v>
      </c>
      <c r="P766" t="s">
        <v>74</v>
      </c>
      <c r="Q766" t="s">
        <v>74</v>
      </c>
      <c r="R766" t="s">
        <v>74</v>
      </c>
      <c r="S766" t="s">
        <v>74</v>
      </c>
      <c r="T766" t="s">
        <v>13129</v>
      </c>
      <c r="U766" t="s">
        <v>13130</v>
      </c>
      <c r="V766" t="s">
        <v>13131</v>
      </c>
      <c r="W766" t="s">
        <v>13132</v>
      </c>
      <c r="X766" t="s">
        <v>13133</v>
      </c>
      <c r="Y766" t="s">
        <v>13134</v>
      </c>
      <c r="Z766" t="s">
        <v>13135</v>
      </c>
      <c r="AA766" t="s">
        <v>13136</v>
      </c>
      <c r="AB766" t="s">
        <v>13137</v>
      </c>
      <c r="AC766" t="s">
        <v>74</v>
      </c>
      <c r="AD766" t="s">
        <v>74</v>
      </c>
      <c r="AE766" t="s">
        <v>74</v>
      </c>
      <c r="AF766" t="s">
        <v>74</v>
      </c>
      <c r="AG766">
        <v>101</v>
      </c>
      <c r="AH766">
        <v>5</v>
      </c>
      <c r="AI766">
        <v>5</v>
      </c>
      <c r="AJ766">
        <v>87</v>
      </c>
      <c r="AK766">
        <v>96</v>
      </c>
      <c r="AL766" t="s">
        <v>10548</v>
      </c>
      <c r="AM766" t="s">
        <v>8003</v>
      </c>
      <c r="AN766" t="s">
        <v>10549</v>
      </c>
      <c r="AO766" t="s">
        <v>10550</v>
      </c>
      <c r="AP766" t="s">
        <v>10551</v>
      </c>
      <c r="AQ766" t="s">
        <v>74</v>
      </c>
      <c r="AR766" t="s">
        <v>10552</v>
      </c>
      <c r="AS766" t="s">
        <v>10553</v>
      </c>
      <c r="AT766" t="s">
        <v>4767</v>
      </c>
      <c r="AU766">
        <v>2022</v>
      </c>
      <c r="AV766">
        <v>7</v>
      </c>
      <c r="AW766">
        <v>4</v>
      </c>
      <c r="AX766" t="s">
        <v>74</v>
      </c>
      <c r="AY766" t="s">
        <v>74</v>
      </c>
      <c r="AZ766" t="s">
        <v>74</v>
      </c>
      <c r="BA766" t="s">
        <v>74</v>
      </c>
      <c r="BB766" t="s">
        <v>74</v>
      </c>
      <c r="BC766" t="s">
        <v>74</v>
      </c>
      <c r="BD766">
        <v>100255</v>
      </c>
      <c r="BE766" t="s">
        <v>13138</v>
      </c>
      <c r="BF766" t="str">
        <f>HYPERLINK("http://dx.doi.org/10.1016/j.jik.2022.100255","http://dx.doi.org/10.1016/j.jik.2022.100255")</f>
        <v>http://dx.doi.org/10.1016/j.jik.2022.100255</v>
      </c>
      <c r="BG766" t="s">
        <v>74</v>
      </c>
      <c r="BH766" t="s">
        <v>74</v>
      </c>
      <c r="BI766">
        <v>10</v>
      </c>
      <c r="BJ766" t="s">
        <v>93</v>
      </c>
      <c r="BK766" t="s">
        <v>94</v>
      </c>
      <c r="BL766" t="s">
        <v>95</v>
      </c>
      <c r="BM766" t="s">
        <v>13139</v>
      </c>
      <c r="BN766" t="s">
        <v>74</v>
      </c>
      <c r="BO766" t="s">
        <v>2482</v>
      </c>
      <c r="BP766" t="s">
        <v>74</v>
      </c>
      <c r="BQ766" t="s">
        <v>74</v>
      </c>
      <c r="BR766" t="s">
        <v>97</v>
      </c>
      <c r="BS766" t="s">
        <v>13140</v>
      </c>
      <c r="BT766" t="str">
        <f>HYPERLINK("https%3A%2F%2Fwww.webofscience.com%2Fwos%2Fwoscc%2Ffull-record%2FWOS:000868786400002","View Full Record in Web of Science")</f>
        <v>View Full Record in Web of Science</v>
      </c>
    </row>
    <row r="767" spans="1:72" x14ac:dyDescent="0.25">
      <c r="A767" t="s">
        <v>72</v>
      </c>
      <c r="B767" t="s">
        <v>13141</v>
      </c>
      <c r="C767" t="s">
        <v>74</v>
      </c>
      <c r="D767" t="s">
        <v>74</v>
      </c>
      <c r="E767" t="s">
        <v>74</v>
      </c>
      <c r="F767" t="s">
        <v>13142</v>
      </c>
      <c r="G767" t="s">
        <v>74</v>
      </c>
      <c r="H767" t="s">
        <v>74</v>
      </c>
      <c r="I767" t="s">
        <v>13143</v>
      </c>
      <c r="J767" t="s">
        <v>779</v>
      </c>
      <c r="K767" t="s">
        <v>74</v>
      </c>
      <c r="L767" t="s">
        <v>74</v>
      </c>
      <c r="M767" t="s">
        <v>77</v>
      </c>
      <c r="N767" t="s">
        <v>78</v>
      </c>
      <c r="O767" t="s">
        <v>74</v>
      </c>
      <c r="P767" t="s">
        <v>74</v>
      </c>
      <c r="Q767" t="s">
        <v>74</v>
      </c>
      <c r="R767" t="s">
        <v>74</v>
      </c>
      <c r="S767" t="s">
        <v>74</v>
      </c>
      <c r="T767" t="s">
        <v>13144</v>
      </c>
      <c r="U767" t="s">
        <v>13145</v>
      </c>
      <c r="V767" t="s">
        <v>13146</v>
      </c>
      <c r="W767" t="s">
        <v>13147</v>
      </c>
      <c r="X767" t="s">
        <v>13148</v>
      </c>
      <c r="Y767" t="s">
        <v>13149</v>
      </c>
      <c r="Z767" t="s">
        <v>13150</v>
      </c>
      <c r="AA767" t="s">
        <v>13151</v>
      </c>
      <c r="AB767" t="s">
        <v>13152</v>
      </c>
      <c r="AC767" t="s">
        <v>74</v>
      </c>
      <c r="AD767" t="s">
        <v>74</v>
      </c>
      <c r="AE767" t="s">
        <v>74</v>
      </c>
      <c r="AF767" t="s">
        <v>74</v>
      </c>
      <c r="AG767">
        <v>121</v>
      </c>
      <c r="AH767">
        <v>5</v>
      </c>
      <c r="AI767">
        <v>5</v>
      </c>
      <c r="AJ767">
        <v>32</v>
      </c>
      <c r="AK767">
        <v>84</v>
      </c>
      <c r="AL767" t="s">
        <v>218</v>
      </c>
      <c r="AM767" t="s">
        <v>219</v>
      </c>
      <c r="AN767" t="s">
        <v>220</v>
      </c>
      <c r="AO767" t="s">
        <v>789</v>
      </c>
      <c r="AP767" t="s">
        <v>1320</v>
      </c>
      <c r="AQ767" t="s">
        <v>74</v>
      </c>
      <c r="AR767" t="s">
        <v>790</v>
      </c>
      <c r="AS767" t="s">
        <v>791</v>
      </c>
      <c r="AT767" t="s">
        <v>496</v>
      </c>
      <c r="AU767">
        <v>2022</v>
      </c>
      <c r="AV767">
        <v>39</v>
      </c>
      <c r="AW767">
        <v>5</v>
      </c>
      <c r="AX767" t="s">
        <v>74</v>
      </c>
      <c r="AY767" t="s">
        <v>74</v>
      </c>
      <c r="AZ767" t="s">
        <v>74</v>
      </c>
      <c r="BA767" t="s">
        <v>74</v>
      </c>
      <c r="BB767">
        <v>717</v>
      </c>
      <c r="BC767">
        <v>745</v>
      </c>
      <c r="BD767" t="s">
        <v>74</v>
      </c>
      <c r="BE767" t="s">
        <v>13153</v>
      </c>
      <c r="BF767" t="str">
        <f>HYPERLINK("http://dx.doi.org/10.1111/jpim.12626","http://dx.doi.org/10.1111/jpim.12626")</f>
        <v>http://dx.doi.org/10.1111/jpim.12626</v>
      </c>
      <c r="BG767" t="s">
        <v>74</v>
      </c>
      <c r="BH767" t="s">
        <v>12534</v>
      </c>
      <c r="BI767">
        <v>29</v>
      </c>
      <c r="BJ767" t="s">
        <v>794</v>
      </c>
      <c r="BK767" t="s">
        <v>147</v>
      </c>
      <c r="BL767" t="s">
        <v>795</v>
      </c>
      <c r="BM767" t="s">
        <v>13154</v>
      </c>
      <c r="BN767" t="s">
        <v>74</v>
      </c>
      <c r="BO767" t="s">
        <v>718</v>
      </c>
      <c r="BP767" t="s">
        <v>74</v>
      </c>
      <c r="BQ767" t="s">
        <v>74</v>
      </c>
      <c r="BR767" t="s">
        <v>97</v>
      </c>
      <c r="BS767" t="s">
        <v>13155</v>
      </c>
      <c r="BT767" t="str">
        <f>HYPERLINK("https%3A%2F%2Fwww.webofscience.com%2Fwos%2Fwoscc%2Ffull-record%2FWOS:000791959100001","View Full Record in Web of Science")</f>
        <v>View Full Record in Web of Science</v>
      </c>
    </row>
    <row r="768" spans="1:72" x14ac:dyDescent="0.25">
      <c r="A768" t="s">
        <v>72</v>
      </c>
      <c r="B768" t="s">
        <v>8561</v>
      </c>
      <c r="C768" t="s">
        <v>74</v>
      </c>
      <c r="D768" t="s">
        <v>74</v>
      </c>
      <c r="E768" t="s">
        <v>74</v>
      </c>
      <c r="F768" t="s">
        <v>9262</v>
      </c>
      <c r="G768" t="s">
        <v>74</v>
      </c>
      <c r="H768" t="s">
        <v>74</v>
      </c>
      <c r="I768" t="s">
        <v>13156</v>
      </c>
      <c r="J768" t="s">
        <v>13157</v>
      </c>
      <c r="K768" t="s">
        <v>74</v>
      </c>
      <c r="L768" t="s">
        <v>74</v>
      </c>
      <c r="M768" t="s">
        <v>77</v>
      </c>
      <c r="N768" t="s">
        <v>78</v>
      </c>
      <c r="O768" t="s">
        <v>74</v>
      </c>
      <c r="P768" t="s">
        <v>74</v>
      </c>
      <c r="Q768" t="s">
        <v>74</v>
      </c>
      <c r="R768" t="s">
        <v>74</v>
      </c>
      <c r="S768" t="s">
        <v>74</v>
      </c>
      <c r="T768" t="s">
        <v>13158</v>
      </c>
      <c r="U768" t="s">
        <v>13159</v>
      </c>
      <c r="V768" t="s">
        <v>13160</v>
      </c>
      <c r="W768" t="s">
        <v>9267</v>
      </c>
      <c r="X768" t="s">
        <v>9268</v>
      </c>
      <c r="Y768" t="s">
        <v>13161</v>
      </c>
      <c r="Z768" t="s">
        <v>8569</v>
      </c>
      <c r="AA768" t="s">
        <v>8570</v>
      </c>
      <c r="AB768" t="s">
        <v>8571</v>
      </c>
      <c r="AC768" t="s">
        <v>74</v>
      </c>
      <c r="AD768" t="s">
        <v>74</v>
      </c>
      <c r="AE768" t="s">
        <v>74</v>
      </c>
      <c r="AF768" t="s">
        <v>74</v>
      </c>
      <c r="AG768">
        <v>96</v>
      </c>
      <c r="AH768">
        <v>5</v>
      </c>
      <c r="AI768">
        <v>5</v>
      </c>
      <c r="AJ768">
        <v>6</v>
      </c>
      <c r="AK768">
        <v>12</v>
      </c>
      <c r="AL768" t="s">
        <v>434</v>
      </c>
      <c r="AM768" t="s">
        <v>435</v>
      </c>
      <c r="AN768" t="s">
        <v>436</v>
      </c>
      <c r="AO768" t="s">
        <v>13162</v>
      </c>
      <c r="AP768" t="s">
        <v>13163</v>
      </c>
      <c r="AQ768" t="s">
        <v>74</v>
      </c>
      <c r="AR768" t="s">
        <v>13164</v>
      </c>
      <c r="AS768" t="s">
        <v>13165</v>
      </c>
      <c r="AT768" t="s">
        <v>200</v>
      </c>
      <c r="AU768">
        <v>2022</v>
      </c>
      <c r="AV768">
        <v>50</v>
      </c>
      <c r="AW768" t="s">
        <v>74</v>
      </c>
      <c r="AX768" t="s">
        <v>74</v>
      </c>
      <c r="AY768" t="s">
        <v>74</v>
      </c>
      <c r="AZ768" t="s">
        <v>74</v>
      </c>
      <c r="BA768" t="s">
        <v>74</v>
      </c>
      <c r="BB768">
        <v>93</v>
      </c>
      <c r="BC768">
        <v>107</v>
      </c>
      <c r="BD768" t="s">
        <v>74</v>
      </c>
      <c r="BE768" t="s">
        <v>13166</v>
      </c>
      <c r="BF768" t="str">
        <f>HYPERLINK("http://dx.doi.org/10.1016/j.jhtm.2022.01.001","http://dx.doi.org/10.1016/j.jhtm.2022.01.001")</f>
        <v>http://dx.doi.org/10.1016/j.jhtm.2022.01.001</v>
      </c>
      <c r="BG768" t="s">
        <v>74</v>
      </c>
      <c r="BH768" t="s">
        <v>9259</v>
      </c>
      <c r="BI768">
        <v>15</v>
      </c>
      <c r="BJ768" t="s">
        <v>1305</v>
      </c>
      <c r="BK768" t="s">
        <v>94</v>
      </c>
      <c r="BL768" t="s">
        <v>1306</v>
      </c>
      <c r="BM768" t="s">
        <v>13167</v>
      </c>
      <c r="BN768" t="s">
        <v>74</v>
      </c>
      <c r="BO768" t="s">
        <v>718</v>
      </c>
      <c r="BP768" t="s">
        <v>74</v>
      </c>
      <c r="BQ768" t="s">
        <v>74</v>
      </c>
      <c r="BR768" t="s">
        <v>97</v>
      </c>
      <c r="BS768" t="s">
        <v>13168</v>
      </c>
      <c r="BT768" t="str">
        <f>HYPERLINK("https%3A%2F%2Fwww.webofscience.com%2Fwos%2Fwoscc%2Ffull-record%2FWOS:000797305400009","View Full Record in Web of Science")</f>
        <v>View Full Record in Web of Science</v>
      </c>
    </row>
    <row r="769" spans="1:72" x14ac:dyDescent="0.25">
      <c r="A769" t="s">
        <v>72</v>
      </c>
      <c r="B769" t="s">
        <v>13169</v>
      </c>
      <c r="C769" t="s">
        <v>74</v>
      </c>
      <c r="D769" t="s">
        <v>74</v>
      </c>
      <c r="E769" t="s">
        <v>74</v>
      </c>
      <c r="F769" t="s">
        <v>13170</v>
      </c>
      <c r="G769" t="s">
        <v>74</v>
      </c>
      <c r="H769" t="s">
        <v>74</v>
      </c>
      <c r="I769" t="s">
        <v>13171</v>
      </c>
      <c r="J769" t="s">
        <v>6395</v>
      </c>
      <c r="K769" t="s">
        <v>74</v>
      </c>
      <c r="L769" t="s">
        <v>74</v>
      </c>
      <c r="M769" t="s">
        <v>77</v>
      </c>
      <c r="N769" t="s">
        <v>78</v>
      </c>
      <c r="O769" t="s">
        <v>74</v>
      </c>
      <c r="P769" t="s">
        <v>74</v>
      </c>
      <c r="Q769" t="s">
        <v>74</v>
      </c>
      <c r="R769" t="s">
        <v>74</v>
      </c>
      <c r="S769" t="s">
        <v>74</v>
      </c>
      <c r="T769" t="s">
        <v>13172</v>
      </c>
      <c r="U769" t="s">
        <v>13173</v>
      </c>
      <c r="V769" t="s">
        <v>13174</v>
      </c>
      <c r="W769" t="s">
        <v>13175</v>
      </c>
      <c r="X769" t="s">
        <v>10985</v>
      </c>
      <c r="Y769" t="s">
        <v>13176</v>
      </c>
      <c r="Z769" t="s">
        <v>13177</v>
      </c>
      <c r="AA769" t="s">
        <v>13178</v>
      </c>
      <c r="AB769" t="s">
        <v>13179</v>
      </c>
      <c r="AC769" t="s">
        <v>13180</v>
      </c>
      <c r="AD769" t="s">
        <v>575</v>
      </c>
      <c r="AE769" t="s">
        <v>13181</v>
      </c>
      <c r="AF769" t="s">
        <v>74</v>
      </c>
      <c r="AG769">
        <v>163</v>
      </c>
      <c r="AH769">
        <v>5</v>
      </c>
      <c r="AI769">
        <v>5</v>
      </c>
      <c r="AJ769">
        <v>14</v>
      </c>
      <c r="AK769">
        <v>39</v>
      </c>
      <c r="AL769" t="s">
        <v>6407</v>
      </c>
      <c r="AM769" t="s">
        <v>6408</v>
      </c>
      <c r="AN769" t="s">
        <v>6409</v>
      </c>
      <c r="AO769" t="s">
        <v>6410</v>
      </c>
      <c r="AP769" t="s">
        <v>74</v>
      </c>
      <c r="AQ769" t="s">
        <v>74</v>
      </c>
      <c r="AR769" t="s">
        <v>6411</v>
      </c>
      <c r="AS769" t="s">
        <v>6412</v>
      </c>
      <c r="AT769" t="s">
        <v>74</v>
      </c>
      <c r="AU769">
        <v>2022</v>
      </c>
      <c r="AV769">
        <v>15</v>
      </c>
      <c r="AW769" t="s">
        <v>74</v>
      </c>
      <c r="AX769" t="s">
        <v>74</v>
      </c>
      <c r="AY769" t="s">
        <v>74</v>
      </c>
      <c r="AZ769" t="s">
        <v>74</v>
      </c>
      <c r="BA769" t="s">
        <v>74</v>
      </c>
      <c r="BB769">
        <v>471</v>
      </c>
      <c r="BC769">
        <v>490</v>
      </c>
      <c r="BD769" t="s">
        <v>74</v>
      </c>
      <c r="BE769" t="s">
        <v>13182</v>
      </c>
      <c r="BF769" t="str">
        <f>HYPERLINK("http://dx.doi.org/10.2147/PRBM.S340326","http://dx.doi.org/10.2147/PRBM.S340326")</f>
        <v>http://dx.doi.org/10.2147/PRBM.S340326</v>
      </c>
      <c r="BG769" t="s">
        <v>74</v>
      </c>
      <c r="BH769" t="s">
        <v>74</v>
      </c>
      <c r="BI769">
        <v>20</v>
      </c>
      <c r="BJ769" t="s">
        <v>6414</v>
      </c>
      <c r="BK769" t="s">
        <v>94</v>
      </c>
      <c r="BL769" t="s">
        <v>6415</v>
      </c>
      <c r="BM769" t="s">
        <v>13183</v>
      </c>
      <c r="BN769">
        <v>35241940</v>
      </c>
      <c r="BO769" t="s">
        <v>4398</v>
      </c>
      <c r="BP769" t="s">
        <v>74</v>
      </c>
      <c r="BQ769" t="s">
        <v>74</v>
      </c>
      <c r="BR769" t="s">
        <v>97</v>
      </c>
      <c r="BS769" t="s">
        <v>13184</v>
      </c>
      <c r="BT769" t="str">
        <f>HYPERLINK("https%3A%2F%2Fwww.webofscience.com%2Fwos%2Fwoscc%2Ffull-record%2FWOS:000762119100004","View Full Record in Web of Science")</f>
        <v>View Full Record in Web of Science</v>
      </c>
    </row>
    <row r="770" spans="1:72" x14ac:dyDescent="0.25">
      <c r="A770" t="s">
        <v>72</v>
      </c>
      <c r="B770" t="s">
        <v>13185</v>
      </c>
      <c r="C770" t="s">
        <v>74</v>
      </c>
      <c r="D770" t="s">
        <v>74</v>
      </c>
      <c r="E770" t="s">
        <v>74</v>
      </c>
      <c r="F770" t="s">
        <v>13186</v>
      </c>
      <c r="G770" t="s">
        <v>74</v>
      </c>
      <c r="H770" t="s">
        <v>74</v>
      </c>
      <c r="I770" t="s">
        <v>13187</v>
      </c>
      <c r="J770" t="s">
        <v>657</v>
      </c>
      <c r="K770" t="s">
        <v>74</v>
      </c>
      <c r="L770" t="s">
        <v>74</v>
      </c>
      <c r="M770" t="s">
        <v>77</v>
      </c>
      <c r="N770" t="s">
        <v>78</v>
      </c>
      <c r="O770" t="s">
        <v>74</v>
      </c>
      <c r="P770" t="s">
        <v>74</v>
      </c>
      <c r="Q770" t="s">
        <v>74</v>
      </c>
      <c r="R770" t="s">
        <v>74</v>
      </c>
      <c r="S770" t="s">
        <v>74</v>
      </c>
      <c r="T770" t="s">
        <v>13188</v>
      </c>
      <c r="U770" t="s">
        <v>13189</v>
      </c>
      <c r="V770" t="s">
        <v>13190</v>
      </c>
      <c r="W770" t="s">
        <v>13191</v>
      </c>
      <c r="X770" t="s">
        <v>13192</v>
      </c>
      <c r="Y770" t="s">
        <v>11095</v>
      </c>
      <c r="Z770" t="s">
        <v>13193</v>
      </c>
      <c r="AA770" t="s">
        <v>8001</v>
      </c>
      <c r="AB770" t="s">
        <v>74</v>
      </c>
      <c r="AC770" t="s">
        <v>11098</v>
      </c>
      <c r="AD770" t="s">
        <v>8685</v>
      </c>
      <c r="AE770" t="s">
        <v>13194</v>
      </c>
      <c r="AF770" t="s">
        <v>74</v>
      </c>
      <c r="AG770">
        <v>45</v>
      </c>
      <c r="AH770">
        <v>5</v>
      </c>
      <c r="AI770">
        <v>5</v>
      </c>
      <c r="AJ770">
        <v>4</v>
      </c>
      <c r="AK770">
        <v>28</v>
      </c>
      <c r="AL770" t="s">
        <v>665</v>
      </c>
      <c r="AM770" t="s">
        <v>666</v>
      </c>
      <c r="AN770" t="s">
        <v>667</v>
      </c>
      <c r="AO770" t="s">
        <v>668</v>
      </c>
      <c r="AP770" t="s">
        <v>669</v>
      </c>
      <c r="AQ770" t="s">
        <v>74</v>
      </c>
      <c r="AR770" t="s">
        <v>670</v>
      </c>
      <c r="AS770" t="s">
        <v>671</v>
      </c>
      <c r="AT770" t="s">
        <v>13195</v>
      </c>
      <c r="AU770">
        <v>2022</v>
      </c>
      <c r="AV770">
        <v>43</v>
      </c>
      <c r="AW770">
        <v>4</v>
      </c>
      <c r="AX770" t="s">
        <v>74</v>
      </c>
      <c r="AY770" t="s">
        <v>74</v>
      </c>
      <c r="AZ770" t="s">
        <v>74</v>
      </c>
      <c r="BA770" t="s">
        <v>74</v>
      </c>
      <c r="BB770">
        <v>1019</v>
      </c>
      <c r="BC770">
        <v>1032</v>
      </c>
      <c r="BD770" t="s">
        <v>74</v>
      </c>
      <c r="BE770" t="s">
        <v>13196</v>
      </c>
      <c r="BF770" t="str">
        <f>HYPERLINK("http://dx.doi.org/10.1108/IJM-10-2020-0466","http://dx.doi.org/10.1108/IJM-10-2020-0466")</f>
        <v>http://dx.doi.org/10.1108/IJM-10-2020-0466</v>
      </c>
      <c r="BG770" t="s">
        <v>74</v>
      </c>
      <c r="BH770" t="s">
        <v>6758</v>
      </c>
      <c r="BI770">
        <v>14</v>
      </c>
      <c r="BJ770" t="s">
        <v>673</v>
      </c>
      <c r="BK770" t="s">
        <v>94</v>
      </c>
      <c r="BL770" t="s">
        <v>95</v>
      </c>
      <c r="BM770" t="s">
        <v>13197</v>
      </c>
      <c r="BN770" t="s">
        <v>74</v>
      </c>
      <c r="BO770" t="s">
        <v>74</v>
      </c>
      <c r="BP770" t="s">
        <v>74</v>
      </c>
      <c r="BQ770" t="s">
        <v>74</v>
      </c>
      <c r="BR770" t="s">
        <v>97</v>
      </c>
      <c r="BS770" t="s">
        <v>13198</v>
      </c>
      <c r="BT770" t="str">
        <f>HYPERLINK("https%3A%2F%2Fwww.webofscience.com%2Fwos%2Fwoscc%2Ffull-record%2FWOS:000699782600001","View Full Record in Web of Science")</f>
        <v>View Full Record in Web of Science</v>
      </c>
    </row>
    <row r="771" spans="1:72" x14ac:dyDescent="0.25">
      <c r="A771" t="s">
        <v>72</v>
      </c>
      <c r="B771" t="s">
        <v>13199</v>
      </c>
      <c r="C771" t="s">
        <v>74</v>
      </c>
      <c r="D771" t="s">
        <v>74</v>
      </c>
      <c r="E771" t="s">
        <v>74</v>
      </c>
      <c r="F771" t="s">
        <v>13200</v>
      </c>
      <c r="G771" t="s">
        <v>74</v>
      </c>
      <c r="H771" t="s">
        <v>74</v>
      </c>
      <c r="I771" t="s">
        <v>13201</v>
      </c>
      <c r="J771" t="s">
        <v>779</v>
      </c>
      <c r="K771" t="s">
        <v>74</v>
      </c>
      <c r="L771" t="s">
        <v>74</v>
      </c>
      <c r="M771" t="s">
        <v>77</v>
      </c>
      <c r="N771" t="s">
        <v>78</v>
      </c>
      <c r="O771" t="s">
        <v>74</v>
      </c>
      <c r="P771" t="s">
        <v>74</v>
      </c>
      <c r="Q771" t="s">
        <v>74</v>
      </c>
      <c r="R771" t="s">
        <v>74</v>
      </c>
      <c r="S771" t="s">
        <v>74</v>
      </c>
      <c r="T771" t="s">
        <v>13202</v>
      </c>
      <c r="U771" t="s">
        <v>13203</v>
      </c>
      <c r="V771" t="s">
        <v>13204</v>
      </c>
      <c r="W771" t="s">
        <v>13205</v>
      </c>
      <c r="X771" t="s">
        <v>13206</v>
      </c>
      <c r="Y771" t="s">
        <v>13207</v>
      </c>
      <c r="Z771" t="s">
        <v>13208</v>
      </c>
      <c r="AA771" t="s">
        <v>13209</v>
      </c>
      <c r="AB771" t="s">
        <v>13210</v>
      </c>
      <c r="AC771" t="s">
        <v>74</v>
      </c>
      <c r="AD771" t="s">
        <v>74</v>
      </c>
      <c r="AE771" t="s">
        <v>74</v>
      </c>
      <c r="AF771" t="s">
        <v>74</v>
      </c>
      <c r="AG771">
        <v>115</v>
      </c>
      <c r="AH771">
        <v>5</v>
      </c>
      <c r="AI771">
        <v>5</v>
      </c>
      <c r="AJ771">
        <v>5</v>
      </c>
      <c r="AK771">
        <v>34</v>
      </c>
      <c r="AL771" t="s">
        <v>218</v>
      </c>
      <c r="AM771" t="s">
        <v>219</v>
      </c>
      <c r="AN771" t="s">
        <v>220</v>
      </c>
      <c r="AO771" t="s">
        <v>789</v>
      </c>
      <c r="AP771" t="s">
        <v>1320</v>
      </c>
      <c r="AQ771" t="s">
        <v>74</v>
      </c>
      <c r="AR771" t="s">
        <v>790</v>
      </c>
      <c r="AS771" t="s">
        <v>791</v>
      </c>
      <c r="AT771" t="s">
        <v>165</v>
      </c>
      <c r="AU771">
        <v>2022</v>
      </c>
      <c r="AV771">
        <v>39</v>
      </c>
      <c r="AW771">
        <v>3</v>
      </c>
      <c r="AX771" t="s">
        <v>74</v>
      </c>
      <c r="AY771" t="s">
        <v>74</v>
      </c>
      <c r="AZ771" t="s">
        <v>860</v>
      </c>
      <c r="BA771" t="s">
        <v>74</v>
      </c>
      <c r="BB771">
        <v>419</v>
      </c>
      <c r="BC771">
        <v>444</v>
      </c>
      <c r="BD771" t="s">
        <v>74</v>
      </c>
      <c r="BE771" t="s">
        <v>13211</v>
      </c>
      <c r="BF771" t="str">
        <f>HYPERLINK("http://dx.doi.org/10.1111/jpim.12593","http://dx.doi.org/10.1111/jpim.12593")</f>
        <v>http://dx.doi.org/10.1111/jpim.12593</v>
      </c>
      <c r="BG771" t="s">
        <v>74</v>
      </c>
      <c r="BH771" t="s">
        <v>6758</v>
      </c>
      <c r="BI771">
        <v>26</v>
      </c>
      <c r="BJ771" t="s">
        <v>794</v>
      </c>
      <c r="BK771" t="s">
        <v>147</v>
      </c>
      <c r="BL771" t="s">
        <v>795</v>
      </c>
      <c r="BM771" t="s">
        <v>13212</v>
      </c>
      <c r="BN771" t="s">
        <v>74</v>
      </c>
      <c r="BO771" t="s">
        <v>408</v>
      </c>
      <c r="BP771" t="s">
        <v>74</v>
      </c>
      <c r="BQ771" t="s">
        <v>74</v>
      </c>
      <c r="BR771" t="s">
        <v>97</v>
      </c>
      <c r="BS771" t="s">
        <v>13213</v>
      </c>
      <c r="BT771" t="str">
        <f>HYPERLINK("https%3A%2F%2Fwww.webofscience.com%2Fwos%2Fwoscc%2Ffull-record%2FWOS:000691970700001","View Full Record in Web of Science")</f>
        <v>View Full Record in Web of Science</v>
      </c>
    </row>
    <row r="772" spans="1:72" x14ac:dyDescent="0.25">
      <c r="A772" t="s">
        <v>72</v>
      </c>
      <c r="B772" t="s">
        <v>13214</v>
      </c>
      <c r="C772" t="s">
        <v>74</v>
      </c>
      <c r="D772" t="s">
        <v>74</v>
      </c>
      <c r="E772" t="s">
        <v>74</v>
      </c>
      <c r="F772" t="s">
        <v>13215</v>
      </c>
      <c r="G772" t="s">
        <v>74</v>
      </c>
      <c r="H772" t="s">
        <v>74</v>
      </c>
      <c r="I772" t="s">
        <v>13216</v>
      </c>
      <c r="J772" t="s">
        <v>4081</v>
      </c>
      <c r="K772" t="s">
        <v>74</v>
      </c>
      <c r="L772" t="s">
        <v>74</v>
      </c>
      <c r="M772" t="s">
        <v>77</v>
      </c>
      <c r="N772" t="s">
        <v>78</v>
      </c>
      <c r="O772" t="s">
        <v>74</v>
      </c>
      <c r="P772" t="s">
        <v>74</v>
      </c>
      <c r="Q772" t="s">
        <v>74</v>
      </c>
      <c r="R772" t="s">
        <v>74</v>
      </c>
      <c r="S772" t="s">
        <v>74</v>
      </c>
      <c r="T772" t="s">
        <v>13217</v>
      </c>
      <c r="U772" t="s">
        <v>13218</v>
      </c>
      <c r="V772" t="s">
        <v>13219</v>
      </c>
      <c r="W772" t="s">
        <v>13220</v>
      </c>
      <c r="X772" t="s">
        <v>13221</v>
      </c>
      <c r="Y772" t="s">
        <v>13222</v>
      </c>
      <c r="Z772" t="s">
        <v>13223</v>
      </c>
      <c r="AA772" t="s">
        <v>74</v>
      </c>
      <c r="AB772" t="s">
        <v>13224</v>
      </c>
      <c r="AC772" t="s">
        <v>13225</v>
      </c>
      <c r="AD772" t="s">
        <v>13226</v>
      </c>
      <c r="AE772" t="s">
        <v>13227</v>
      </c>
      <c r="AF772" t="s">
        <v>74</v>
      </c>
      <c r="AG772">
        <v>43</v>
      </c>
      <c r="AH772">
        <v>5</v>
      </c>
      <c r="AI772">
        <v>5</v>
      </c>
      <c r="AJ772">
        <v>6</v>
      </c>
      <c r="AK772">
        <v>38</v>
      </c>
      <c r="AL772" t="s">
        <v>218</v>
      </c>
      <c r="AM772" t="s">
        <v>219</v>
      </c>
      <c r="AN772" t="s">
        <v>220</v>
      </c>
      <c r="AO772" t="s">
        <v>4093</v>
      </c>
      <c r="AP772" t="s">
        <v>4094</v>
      </c>
      <c r="AQ772" t="s">
        <v>74</v>
      </c>
      <c r="AR772" t="s">
        <v>4095</v>
      </c>
      <c r="AS772" t="s">
        <v>4096</v>
      </c>
      <c r="AT772" t="s">
        <v>256</v>
      </c>
      <c r="AU772">
        <v>2021</v>
      </c>
      <c r="AV772">
        <v>29</v>
      </c>
      <c r="AW772">
        <v>7</v>
      </c>
      <c r="AX772" t="s">
        <v>74</v>
      </c>
      <c r="AY772" t="s">
        <v>74</v>
      </c>
      <c r="AZ772" t="s">
        <v>74</v>
      </c>
      <c r="BA772" t="s">
        <v>74</v>
      </c>
      <c r="BB772">
        <v>2250</v>
      </c>
      <c r="BC772">
        <v>2259</v>
      </c>
      <c r="BD772" t="s">
        <v>74</v>
      </c>
      <c r="BE772" t="s">
        <v>13228</v>
      </c>
      <c r="BF772" t="str">
        <f>HYPERLINK("http://dx.doi.org/10.1111/jonm.13387","http://dx.doi.org/10.1111/jonm.13387")</f>
        <v>http://dx.doi.org/10.1111/jonm.13387</v>
      </c>
      <c r="BG772" t="s">
        <v>74</v>
      </c>
      <c r="BH772" t="s">
        <v>8573</v>
      </c>
      <c r="BI772">
        <v>10</v>
      </c>
      <c r="BJ772" t="s">
        <v>4098</v>
      </c>
      <c r="BK772" t="s">
        <v>147</v>
      </c>
      <c r="BL772" t="s">
        <v>4099</v>
      </c>
      <c r="BM772" t="s">
        <v>11583</v>
      </c>
      <c r="BN772">
        <v>34053146</v>
      </c>
      <c r="BO772" t="s">
        <v>2482</v>
      </c>
      <c r="BP772" t="s">
        <v>74</v>
      </c>
      <c r="BQ772" t="s">
        <v>74</v>
      </c>
      <c r="BR772" t="s">
        <v>97</v>
      </c>
      <c r="BS772" t="s">
        <v>13229</v>
      </c>
      <c r="BT772" t="str">
        <f>HYPERLINK("https%3A%2F%2Fwww.webofscience.com%2Fwos%2Fwoscc%2Ffull-record%2FWOS:000674223700001","View Full Record in Web of Science")</f>
        <v>View Full Record in Web of Science</v>
      </c>
    </row>
    <row r="773" spans="1:72" x14ac:dyDescent="0.25">
      <c r="A773" t="s">
        <v>72</v>
      </c>
      <c r="B773" t="s">
        <v>13230</v>
      </c>
      <c r="C773" t="s">
        <v>74</v>
      </c>
      <c r="D773" t="s">
        <v>74</v>
      </c>
      <c r="E773" t="s">
        <v>74</v>
      </c>
      <c r="F773" t="s">
        <v>13231</v>
      </c>
      <c r="G773" t="s">
        <v>74</v>
      </c>
      <c r="H773" t="s">
        <v>74</v>
      </c>
      <c r="I773" t="s">
        <v>13232</v>
      </c>
      <c r="J773" t="s">
        <v>3184</v>
      </c>
      <c r="K773" t="s">
        <v>74</v>
      </c>
      <c r="L773" t="s">
        <v>74</v>
      </c>
      <c r="M773" t="s">
        <v>77</v>
      </c>
      <c r="N773" t="s">
        <v>78</v>
      </c>
      <c r="O773" t="s">
        <v>74</v>
      </c>
      <c r="P773" t="s">
        <v>74</v>
      </c>
      <c r="Q773" t="s">
        <v>74</v>
      </c>
      <c r="R773" t="s">
        <v>74</v>
      </c>
      <c r="S773" t="s">
        <v>74</v>
      </c>
      <c r="T773" t="s">
        <v>13233</v>
      </c>
      <c r="U773" t="s">
        <v>13234</v>
      </c>
      <c r="V773" t="s">
        <v>13235</v>
      </c>
      <c r="W773" t="s">
        <v>13236</v>
      </c>
      <c r="X773" t="s">
        <v>13237</v>
      </c>
      <c r="Y773" t="s">
        <v>13238</v>
      </c>
      <c r="Z773" t="s">
        <v>13239</v>
      </c>
      <c r="AA773" t="s">
        <v>74</v>
      </c>
      <c r="AB773" t="s">
        <v>74</v>
      </c>
      <c r="AC773" t="s">
        <v>13240</v>
      </c>
      <c r="AD773" t="s">
        <v>575</v>
      </c>
      <c r="AE773" t="s">
        <v>13241</v>
      </c>
      <c r="AF773" t="s">
        <v>74</v>
      </c>
      <c r="AG773">
        <v>69</v>
      </c>
      <c r="AH773">
        <v>5</v>
      </c>
      <c r="AI773">
        <v>5</v>
      </c>
      <c r="AJ773">
        <v>14</v>
      </c>
      <c r="AK773">
        <v>63</v>
      </c>
      <c r="AL773" t="s">
        <v>3195</v>
      </c>
      <c r="AM773" t="s">
        <v>3196</v>
      </c>
      <c r="AN773" t="s">
        <v>3197</v>
      </c>
      <c r="AO773" t="s">
        <v>3198</v>
      </c>
      <c r="AP773" t="s">
        <v>74</v>
      </c>
      <c r="AQ773" t="s">
        <v>74</v>
      </c>
      <c r="AR773" t="s">
        <v>3199</v>
      </c>
      <c r="AS773" t="s">
        <v>3200</v>
      </c>
      <c r="AT773" t="s">
        <v>1178</v>
      </c>
      <c r="AU773">
        <v>2021</v>
      </c>
      <c r="AV773">
        <v>12</v>
      </c>
      <c r="AW773" t="s">
        <v>74</v>
      </c>
      <c r="AX773" t="s">
        <v>74</v>
      </c>
      <c r="AY773" t="s">
        <v>74</v>
      </c>
      <c r="AZ773" t="s">
        <v>74</v>
      </c>
      <c r="BA773" t="s">
        <v>74</v>
      </c>
      <c r="BB773" t="s">
        <v>74</v>
      </c>
      <c r="BC773" t="s">
        <v>74</v>
      </c>
      <c r="BD773">
        <v>681505</v>
      </c>
      <c r="BE773" t="s">
        <v>13242</v>
      </c>
      <c r="BF773" t="str">
        <f>HYPERLINK("http://dx.doi.org/10.3389/fpsyg.2021.681505","http://dx.doi.org/10.3389/fpsyg.2021.681505")</f>
        <v>http://dx.doi.org/10.3389/fpsyg.2021.681505</v>
      </c>
      <c r="BG773" t="s">
        <v>74</v>
      </c>
      <c r="BH773" t="s">
        <v>74</v>
      </c>
      <c r="BI773">
        <v>11</v>
      </c>
      <c r="BJ773" t="s">
        <v>3203</v>
      </c>
      <c r="BK773" t="s">
        <v>94</v>
      </c>
      <c r="BL773" t="s">
        <v>460</v>
      </c>
      <c r="BM773" t="s">
        <v>13243</v>
      </c>
      <c r="BN773">
        <v>34276503</v>
      </c>
      <c r="BO773" t="s">
        <v>4398</v>
      </c>
      <c r="BP773" t="s">
        <v>74</v>
      </c>
      <c r="BQ773" t="s">
        <v>74</v>
      </c>
      <c r="BR773" t="s">
        <v>97</v>
      </c>
      <c r="BS773" t="s">
        <v>13244</v>
      </c>
      <c r="BT773" t="str">
        <f>HYPERLINK("https%3A%2F%2Fwww.webofscience.com%2Fwos%2Fwoscc%2Ffull-record%2FWOS:000673640700001","View Full Record in Web of Science")</f>
        <v>View Full Record in Web of Science</v>
      </c>
    </row>
    <row r="774" spans="1:72" x14ac:dyDescent="0.25">
      <c r="A774" t="s">
        <v>72</v>
      </c>
      <c r="B774" t="s">
        <v>13245</v>
      </c>
      <c r="C774" t="s">
        <v>74</v>
      </c>
      <c r="D774" t="s">
        <v>74</v>
      </c>
      <c r="E774" t="s">
        <v>74</v>
      </c>
      <c r="F774" t="s">
        <v>13246</v>
      </c>
      <c r="G774" t="s">
        <v>74</v>
      </c>
      <c r="H774" t="s">
        <v>74</v>
      </c>
      <c r="I774" t="s">
        <v>13247</v>
      </c>
      <c r="J774" t="s">
        <v>5615</v>
      </c>
      <c r="K774" t="s">
        <v>74</v>
      </c>
      <c r="L774" t="s">
        <v>74</v>
      </c>
      <c r="M774" t="s">
        <v>77</v>
      </c>
      <c r="N774" t="s">
        <v>78</v>
      </c>
      <c r="O774" t="s">
        <v>74</v>
      </c>
      <c r="P774" t="s">
        <v>74</v>
      </c>
      <c r="Q774" t="s">
        <v>74</v>
      </c>
      <c r="R774" t="s">
        <v>74</v>
      </c>
      <c r="S774" t="s">
        <v>74</v>
      </c>
      <c r="T774" t="s">
        <v>13248</v>
      </c>
      <c r="U774" t="s">
        <v>13249</v>
      </c>
      <c r="V774" t="s">
        <v>13250</v>
      </c>
      <c r="W774" t="s">
        <v>13251</v>
      </c>
      <c r="X774" t="s">
        <v>13252</v>
      </c>
      <c r="Y774" t="s">
        <v>13253</v>
      </c>
      <c r="Z774" t="s">
        <v>13254</v>
      </c>
      <c r="AA774" t="s">
        <v>13255</v>
      </c>
      <c r="AB774" t="s">
        <v>13256</v>
      </c>
      <c r="AC774" t="s">
        <v>13257</v>
      </c>
      <c r="AD774" t="s">
        <v>575</v>
      </c>
      <c r="AE774" t="s">
        <v>13258</v>
      </c>
      <c r="AF774" t="s">
        <v>74</v>
      </c>
      <c r="AG774">
        <v>109</v>
      </c>
      <c r="AH774">
        <v>5</v>
      </c>
      <c r="AI774">
        <v>5</v>
      </c>
      <c r="AJ774">
        <v>17</v>
      </c>
      <c r="AK774">
        <v>83</v>
      </c>
      <c r="AL774" t="s">
        <v>665</v>
      </c>
      <c r="AM774" t="s">
        <v>666</v>
      </c>
      <c r="AN774" t="s">
        <v>667</v>
      </c>
      <c r="AO774" t="s">
        <v>5625</v>
      </c>
      <c r="AP774" t="s">
        <v>5626</v>
      </c>
      <c r="AQ774" t="s">
        <v>74</v>
      </c>
      <c r="AR774" t="s">
        <v>5627</v>
      </c>
      <c r="AS774" t="s">
        <v>5628</v>
      </c>
      <c r="AT774" t="s">
        <v>13259</v>
      </c>
      <c r="AU774">
        <v>2022</v>
      </c>
      <c r="AV774">
        <v>16</v>
      </c>
      <c r="AW774">
        <v>2</v>
      </c>
      <c r="AX774" t="s">
        <v>74</v>
      </c>
      <c r="AY774" t="s">
        <v>74</v>
      </c>
      <c r="AZ774" t="s">
        <v>74</v>
      </c>
      <c r="BA774" t="s">
        <v>74</v>
      </c>
      <c r="BB774">
        <v>466</v>
      </c>
      <c r="BC774">
        <v>492</v>
      </c>
      <c r="BD774" t="s">
        <v>74</v>
      </c>
      <c r="BE774" t="s">
        <v>13260</v>
      </c>
      <c r="BF774" t="str">
        <f>HYPERLINK("http://dx.doi.org/10.1108/CMS-02-2020-0070","http://dx.doi.org/10.1108/CMS-02-2020-0070")</f>
        <v>http://dx.doi.org/10.1108/CMS-02-2020-0070</v>
      </c>
      <c r="BG774" t="s">
        <v>74</v>
      </c>
      <c r="BH774" t="s">
        <v>10620</v>
      </c>
      <c r="BI774">
        <v>27</v>
      </c>
      <c r="BJ774" t="s">
        <v>442</v>
      </c>
      <c r="BK774" t="s">
        <v>94</v>
      </c>
      <c r="BL774" t="s">
        <v>95</v>
      </c>
      <c r="BM774" t="s">
        <v>13261</v>
      </c>
      <c r="BN774" t="s">
        <v>74</v>
      </c>
      <c r="BO774" t="s">
        <v>74</v>
      </c>
      <c r="BP774" t="s">
        <v>74</v>
      </c>
      <c r="BQ774" t="s">
        <v>74</v>
      </c>
      <c r="BR774" t="s">
        <v>97</v>
      </c>
      <c r="BS774" t="s">
        <v>13262</v>
      </c>
      <c r="BT774" t="str">
        <f>HYPERLINK("https%3A%2F%2Fwww.webofscience.com%2Fwos%2Fwoscc%2Ffull-record%2FWOS:000669612200001","View Full Record in Web of Science")</f>
        <v>View Full Record in Web of Science</v>
      </c>
    </row>
    <row r="775" spans="1:72" x14ac:dyDescent="0.25">
      <c r="A775" t="s">
        <v>72</v>
      </c>
      <c r="B775" t="s">
        <v>13263</v>
      </c>
      <c r="C775" t="s">
        <v>74</v>
      </c>
      <c r="D775" t="s">
        <v>74</v>
      </c>
      <c r="E775" t="s">
        <v>74</v>
      </c>
      <c r="F775" t="s">
        <v>13264</v>
      </c>
      <c r="G775" t="s">
        <v>74</v>
      </c>
      <c r="H775" t="s">
        <v>74</v>
      </c>
      <c r="I775" t="s">
        <v>13265</v>
      </c>
      <c r="J775" t="s">
        <v>6903</v>
      </c>
      <c r="K775" t="s">
        <v>74</v>
      </c>
      <c r="L775" t="s">
        <v>74</v>
      </c>
      <c r="M775" t="s">
        <v>77</v>
      </c>
      <c r="N775" t="s">
        <v>78</v>
      </c>
      <c r="O775" t="s">
        <v>74</v>
      </c>
      <c r="P775" t="s">
        <v>74</v>
      </c>
      <c r="Q775" t="s">
        <v>74</v>
      </c>
      <c r="R775" t="s">
        <v>74</v>
      </c>
      <c r="S775" t="s">
        <v>74</v>
      </c>
      <c r="T775" t="s">
        <v>13266</v>
      </c>
      <c r="U775" t="s">
        <v>13267</v>
      </c>
      <c r="V775" t="s">
        <v>13268</v>
      </c>
      <c r="W775" t="s">
        <v>13269</v>
      </c>
      <c r="X775" t="s">
        <v>13270</v>
      </c>
      <c r="Y775" t="s">
        <v>13271</v>
      </c>
      <c r="Z775" t="s">
        <v>13272</v>
      </c>
      <c r="AA775" t="s">
        <v>13273</v>
      </c>
      <c r="AB775" t="s">
        <v>13274</v>
      </c>
      <c r="AC775" t="s">
        <v>74</v>
      </c>
      <c r="AD775" t="s">
        <v>74</v>
      </c>
      <c r="AE775" t="s">
        <v>74</v>
      </c>
      <c r="AF775" t="s">
        <v>74</v>
      </c>
      <c r="AG775">
        <v>95</v>
      </c>
      <c r="AH775">
        <v>5</v>
      </c>
      <c r="AI775">
        <v>5</v>
      </c>
      <c r="AJ775">
        <v>3</v>
      </c>
      <c r="AK775">
        <v>14</v>
      </c>
      <c r="AL775" t="s">
        <v>665</v>
      </c>
      <c r="AM775" t="s">
        <v>666</v>
      </c>
      <c r="AN775" t="s">
        <v>667</v>
      </c>
      <c r="AO775" t="s">
        <v>6911</v>
      </c>
      <c r="AP775" t="s">
        <v>6912</v>
      </c>
      <c r="AQ775" t="s">
        <v>74</v>
      </c>
      <c r="AR775" t="s">
        <v>6913</v>
      </c>
      <c r="AS775" t="s">
        <v>6914</v>
      </c>
      <c r="AT775" t="s">
        <v>13275</v>
      </c>
      <c r="AU775">
        <v>2021</v>
      </c>
      <c r="AV775">
        <v>35</v>
      </c>
      <c r="AW775">
        <v>8</v>
      </c>
      <c r="AX775" t="s">
        <v>74</v>
      </c>
      <c r="AY775" t="s">
        <v>74</v>
      </c>
      <c r="AZ775" t="s">
        <v>74</v>
      </c>
      <c r="BA775" t="s">
        <v>74</v>
      </c>
      <c r="BB775">
        <v>1025</v>
      </c>
      <c r="BC775">
        <v>1045</v>
      </c>
      <c r="BD775" t="s">
        <v>74</v>
      </c>
      <c r="BE775" t="s">
        <v>13276</v>
      </c>
      <c r="BF775" t="str">
        <f>HYPERLINK("http://dx.doi.org/10.1108/JHOM-02-2021-0072","http://dx.doi.org/10.1108/JHOM-02-2021-0072")</f>
        <v>http://dx.doi.org/10.1108/JHOM-02-2021-0072</v>
      </c>
      <c r="BG775" t="s">
        <v>74</v>
      </c>
      <c r="BH775" t="s">
        <v>10620</v>
      </c>
      <c r="BI775">
        <v>21</v>
      </c>
      <c r="BJ775" t="s">
        <v>6916</v>
      </c>
      <c r="BK775" t="s">
        <v>94</v>
      </c>
      <c r="BL775" t="s">
        <v>4027</v>
      </c>
      <c r="BM775" t="s">
        <v>13277</v>
      </c>
      <c r="BN775">
        <v>34170095</v>
      </c>
      <c r="BO775" t="s">
        <v>74</v>
      </c>
      <c r="BP775" t="s">
        <v>74</v>
      </c>
      <c r="BQ775" t="s">
        <v>74</v>
      </c>
      <c r="BR775" t="s">
        <v>97</v>
      </c>
      <c r="BS775" t="s">
        <v>13278</v>
      </c>
      <c r="BT775" t="str">
        <f>HYPERLINK("https%3A%2F%2Fwww.webofscience.com%2Fwos%2Fwoscc%2Ffull-record%2FWOS:000668238500001","View Full Record in Web of Science")</f>
        <v>View Full Record in Web of Science</v>
      </c>
    </row>
    <row r="776" spans="1:72" x14ac:dyDescent="0.25">
      <c r="A776" t="s">
        <v>72</v>
      </c>
      <c r="B776" t="s">
        <v>13279</v>
      </c>
      <c r="C776" t="s">
        <v>74</v>
      </c>
      <c r="D776" t="s">
        <v>74</v>
      </c>
      <c r="E776" t="s">
        <v>74</v>
      </c>
      <c r="F776" t="s">
        <v>13280</v>
      </c>
      <c r="G776" t="s">
        <v>74</v>
      </c>
      <c r="H776" t="s">
        <v>74</v>
      </c>
      <c r="I776" t="s">
        <v>13281</v>
      </c>
      <c r="J776" t="s">
        <v>9190</v>
      </c>
      <c r="K776" t="s">
        <v>74</v>
      </c>
      <c r="L776" t="s">
        <v>74</v>
      </c>
      <c r="M776" t="s">
        <v>77</v>
      </c>
      <c r="N776" t="s">
        <v>78</v>
      </c>
      <c r="O776" t="s">
        <v>74</v>
      </c>
      <c r="P776" t="s">
        <v>74</v>
      </c>
      <c r="Q776" t="s">
        <v>74</v>
      </c>
      <c r="R776" t="s">
        <v>74</v>
      </c>
      <c r="S776" t="s">
        <v>74</v>
      </c>
      <c r="T776" t="s">
        <v>13282</v>
      </c>
      <c r="U776" t="s">
        <v>13283</v>
      </c>
      <c r="V776" t="s">
        <v>13284</v>
      </c>
      <c r="W776" t="s">
        <v>13285</v>
      </c>
      <c r="X776" t="s">
        <v>9703</v>
      </c>
      <c r="Y776" t="s">
        <v>13286</v>
      </c>
      <c r="Z776" t="s">
        <v>13287</v>
      </c>
      <c r="AA776" t="s">
        <v>13288</v>
      </c>
      <c r="AB776" t="s">
        <v>74</v>
      </c>
      <c r="AC776" t="s">
        <v>13289</v>
      </c>
      <c r="AD776" t="s">
        <v>575</v>
      </c>
      <c r="AE776" t="s">
        <v>13290</v>
      </c>
      <c r="AF776" t="s">
        <v>74</v>
      </c>
      <c r="AG776">
        <v>65</v>
      </c>
      <c r="AH776">
        <v>5</v>
      </c>
      <c r="AI776">
        <v>5</v>
      </c>
      <c r="AJ776">
        <v>18</v>
      </c>
      <c r="AK776">
        <v>60</v>
      </c>
      <c r="AL776" t="s">
        <v>766</v>
      </c>
      <c r="AM776" t="s">
        <v>1193</v>
      </c>
      <c r="AN776" t="s">
        <v>1498</v>
      </c>
      <c r="AO776" t="s">
        <v>9197</v>
      </c>
      <c r="AP776" t="s">
        <v>10868</v>
      </c>
      <c r="AQ776" t="s">
        <v>74</v>
      </c>
      <c r="AR776" t="s">
        <v>9190</v>
      </c>
      <c r="AS776" t="s">
        <v>9198</v>
      </c>
      <c r="AT776" t="s">
        <v>392</v>
      </c>
      <c r="AU776">
        <v>2021</v>
      </c>
      <c r="AV776">
        <v>126</v>
      </c>
      <c r="AW776">
        <v>8</v>
      </c>
      <c r="AX776" t="s">
        <v>74</v>
      </c>
      <c r="AY776" t="s">
        <v>74</v>
      </c>
      <c r="AZ776" t="s">
        <v>74</v>
      </c>
      <c r="BA776" t="s">
        <v>74</v>
      </c>
      <c r="BB776">
        <v>6423</v>
      </c>
      <c r="BC776">
        <v>6442</v>
      </c>
      <c r="BD776" t="s">
        <v>74</v>
      </c>
      <c r="BE776" t="s">
        <v>13291</v>
      </c>
      <c r="BF776" t="str">
        <f>HYPERLINK("http://dx.doi.org/10.1007/s11192-021-04047-1","http://dx.doi.org/10.1007/s11192-021-04047-1")</f>
        <v>http://dx.doi.org/10.1007/s11192-021-04047-1</v>
      </c>
      <c r="BG776" t="s">
        <v>74</v>
      </c>
      <c r="BH776" t="s">
        <v>10620</v>
      </c>
      <c r="BI776">
        <v>20</v>
      </c>
      <c r="BJ776" t="s">
        <v>9200</v>
      </c>
      <c r="BK776" t="s">
        <v>147</v>
      </c>
      <c r="BL776" t="s">
        <v>9201</v>
      </c>
      <c r="BM776" t="s">
        <v>13292</v>
      </c>
      <c r="BN776" t="s">
        <v>74</v>
      </c>
      <c r="BO776" t="s">
        <v>74</v>
      </c>
      <c r="BP776" t="s">
        <v>74</v>
      </c>
      <c r="BQ776" t="s">
        <v>74</v>
      </c>
      <c r="BR776" t="s">
        <v>97</v>
      </c>
      <c r="BS776" t="s">
        <v>13293</v>
      </c>
      <c r="BT776" t="str">
        <f>HYPERLINK("https%3A%2F%2Fwww.webofscience.com%2Fwos%2Fwoscc%2Ffull-record%2FWOS:000665683000007","View Full Record in Web of Science")</f>
        <v>View Full Record in Web of Science</v>
      </c>
    </row>
    <row r="777" spans="1:72" x14ac:dyDescent="0.25">
      <c r="A777" t="s">
        <v>72</v>
      </c>
      <c r="B777" t="s">
        <v>13294</v>
      </c>
      <c r="C777" t="s">
        <v>74</v>
      </c>
      <c r="D777" t="s">
        <v>74</v>
      </c>
      <c r="E777" t="s">
        <v>74</v>
      </c>
      <c r="F777" t="s">
        <v>13295</v>
      </c>
      <c r="G777" t="s">
        <v>74</v>
      </c>
      <c r="H777" t="s">
        <v>74</v>
      </c>
      <c r="I777" t="s">
        <v>13296</v>
      </c>
      <c r="J777" t="s">
        <v>2365</v>
      </c>
      <c r="K777" t="s">
        <v>74</v>
      </c>
      <c r="L777" t="s">
        <v>74</v>
      </c>
      <c r="M777" t="s">
        <v>77</v>
      </c>
      <c r="N777" t="s">
        <v>78</v>
      </c>
      <c r="O777" t="s">
        <v>74</v>
      </c>
      <c r="P777" t="s">
        <v>74</v>
      </c>
      <c r="Q777" t="s">
        <v>74</v>
      </c>
      <c r="R777" t="s">
        <v>74</v>
      </c>
      <c r="S777" t="s">
        <v>74</v>
      </c>
      <c r="T777" t="s">
        <v>13297</v>
      </c>
      <c r="U777" t="s">
        <v>13298</v>
      </c>
      <c r="V777" t="s">
        <v>13299</v>
      </c>
      <c r="W777" t="s">
        <v>13300</v>
      </c>
      <c r="X777" t="s">
        <v>13301</v>
      </c>
      <c r="Y777" t="s">
        <v>13302</v>
      </c>
      <c r="Z777" t="s">
        <v>13303</v>
      </c>
      <c r="AA777" t="s">
        <v>74</v>
      </c>
      <c r="AB777" t="s">
        <v>74</v>
      </c>
      <c r="AC777" t="s">
        <v>13304</v>
      </c>
      <c r="AD777" t="s">
        <v>13305</v>
      </c>
      <c r="AE777" t="s">
        <v>13306</v>
      </c>
      <c r="AF777" t="s">
        <v>74</v>
      </c>
      <c r="AG777">
        <v>89</v>
      </c>
      <c r="AH777">
        <v>5</v>
      </c>
      <c r="AI777">
        <v>5</v>
      </c>
      <c r="AJ777">
        <v>26</v>
      </c>
      <c r="AK777">
        <v>85</v>
      </c>
      <c r="AL777" t="s">
        <v>329</v>
      </c>
      <c r="AM777" t="s">
        <v>330</v>
      </c>
      <c r="AN777" t="s">
        <v>331</v>
      </c>
      <c r="AO777" t="s">
        <v>2375</v>
      </c>
      <c r="AP777" t="s">
        <v>2376</v>
      </c>
      <c r="AQ777" t="s">
        <v>74</v>
      </c>
      <c r="AR777" t="s">
        <v>2377</v>
      </c>
      <c r="AS777" t="s">
        <v>2378</v>
      </c>
      <c r="AT777" t="s">
        <v>256</v>
      </c>
      <c r="AU777">
        <v>2021</v>
      </c>
      <c r="AV777">
        <v>171</v>
      </c>
      <c r="AW777" t="s">
        <v>74</v>
      </c>
      <c r="AX777" t="s">
        <v>74</v>
      </c>
      <c r="AY777" t="s">
        <v>74</v>
      </c>
      <c r="AZ777" t="s">
        <v>74</v>
      </c>
      <c r="BA777" t="s">
        <v>74</v>
      </c>
      <c r="BB777" t="s">
        <v>74</v>
      </c>
      <c r="BC777" t="s">
        <v>74</v>
      </c>
      <c r="BD777">
        <v>120958</v>
      </c>
      <c r="BE777" t="s">
        <v>13307</v>
      </c>
      <c r="BF777" t="str">
        <f>HYPERLINK("http://dx.doi.org/10.1016/j.techfore.2021.120958","http://dx.doi.org/10.1016/j.techfore.2021.120958")</f>
        <v>http://dx.doi.org/10.1016/j.techfore.2021.120958</v>
      </c>
      <c r="BG777" t="s">
        <v>74</v>
      </c>
      <c r="BH777" t="s">
        <v>10620</v>
      </c>
      <c r="BI777">
        <v>10</v>
      </c>
      <c r="BJ777" t="s">
        <v>2380</v>
      </c>
      <c r="BK777" t="s">
        <v>94</v>
      </c>
      <c r="BL777" t="s">
        <v>2246</v>
      </c>
      <c r="BM777" t="s">
        <v>13308</v>
      </c>
      <c r="BN777" t="s">
        <v>74</v>
      </c>
      <c r="BO777" t="s">
        <v>74</v>
      </c>
      <c r="BP777" t="s">
        <v>74</v>
      </c>
      <c r="BQ777" t="s">
        <v>74</v>
      </c>
      <c r="BR777" t="s">
        <v>97</v>
      </c>
      <c r="BS777" t="s">
        <v>13309</v>
      </c>
      <c r="BT777" t="str">
        <f>HYPERLINK("https%3A%2F%2Fwww.webofscience.com%2Fwos%2Fwoscc%2Ffull-record%2FWOS:000681245200005","View Full Record in Web of Science")</f>
        <v>View Full Record in Web of Science</v>
      </c>
    </row>
    <row r="778" spans="1:72" x14ac:dyDescent="0.25">
      <c r="A778" t="s">
        <v>72</v>
      </c>
      <c r="B778" t="s">
        <v>13310</v>
      </c>
      <c r="C778" t="s">
        <v>74</v>
      </c>
      <c r="D778" t="s">
        <v>74</v>
      </c>
      <c r="E778" t="s">
        <v>74</v>
      </c>
      <c r="F778" t="s">
        <v>13311</v>
      </c>
      <c r="G778" t="s">
        <v>74</v>
      </c>
      <c r="H778" t="s">
        <v>74</v>
      </c>
      <c r="I778" t="s">
        <v>13312</v>
      </c>
      <c r="J778" t="s">
        <v>4464</v>
      </c>
      <c r="K778" t="s">
        <v>74</v>
      </c>
      <c r="L778" t="s">
        <v>74</v>
      </c>
      <c r="M778" t="s">
        <v>77</v>
      </c>
      <c r="N778" t="s">
        <v>78</v>
      </c>
      <c r="O778" t="s">
        <v>74</v>
      </c>
      <c r="P778" t="s">
        <v>74</v>
      </c>
      <c r="Q778" t="s">
        <v>74</v>
      </c>
      <c r="R778" t="s">
        <v>74</v>
      </c>
      <c r="S778" t="s">
        <v>74</v>
      </c>
      <c r="T778" t="s">
        <v>13313</v>
      </c>
      <c r="U778" t="s">
        <v>13314</v>
      </c>
      <c r="V778" t="s">
        <v>13315</v>
      </c>
      <c r="W778" t="s">
        <v>13316</v>
      </c>
      <c r="X778" t="s">
        <v>13317</v>
      </c>
      <c r="Y778" t="s">
        <v>10101</v>
      </c>
      <c r="Z778" t="s">
        <v>10102</v>
      </c>
      <c r="AA778" t="s">
        <v>10103</v>
      </c>
      <c r="AB778" t="s">
        <v>10104</v>
      </c>
      <c r="AC778" t="s">
        <v>13318</v>
      </c>
      <c r="AD778" t="s">
        <v>13319</v>
      </c>
      <c r="AE778" t="s">
        <v>13320</v>
      </c>
      <c r="AF778" t="s">
        <v>74</v>
      </c>
      <c r="AG778">
        <v>67</v>
      </c>
      <c r="AH778">
        <v>5</v>
      </c>
      <c r="AI778">
        <v>5</v>
      </c>
      <c r="AJ778">
        <v>10</v>
      </c>
      <c r="AK778">
        <v>52</v>
      </c>
      <c r="AL778" t="s">
        <v>602</v>
      </c>
      <c r="AM778" t="s">
        <v>160</v>
      </c>
      <c r="AN778" t="s">
        <v>603</v>
      </c>
      <c r="AO778" t="s">
        <v>4474</v>
      </c>
      <c r="AP778" t="s">
        <v>4475</v>
      </c>
      <c r="AQ778" t="s">
        <v>74</v>
      </c>
      <c r="AR778" t="s">
        <v>4476</v>
      </c>
      <c r="AS778" t="s">
        <v>4477</v>
      </c>
      <c r="AT778" t="s">
        <v>496</v>
      </c>
      <c r="AU778">
        <v>2021</v>
      </c>
      <c r="AV778">
        <v>41</v>
      </c>
      <c r="AW778" t="s">
        <v>74</v>
      </c>
      <c r="AX778" t="s">
        <v>74</v>
      </c>
      <c r="AY778" t="s">
        <v>74</v>
      </c>
      <c r="AZ778" t="s">
        <v>74</v>
      </c>
      <c r="BA778" t="s">
        <v>74</v>
      </c>
      <c r="BB778" t="s">
        <v>74</v>
      </c>
      <c r="BC778" t="s">
        <v>74</v>
      </c>
      <c r="BD778">
        <v>100857</v>
      </c>
      <c r="BE778" t="s">
        <v>13321</v>
      </c>
      <c r="BF778" t="str">
        <f>HYPERLINK("http://dx.doi.org/10.1016/j.tsc.2021.100857","http://dx.doi.org/10.1016/j.tsc.2021.100857")</f>
        <v>http://dx.doi.org/10.1016/j.tsc.2021.100857</v>
      </c>
      <c r="BG778" t="s">
        <v>74</v>
      </c>
      <c r="BH778" t="s">
        <v>10620</v>
      </c>
      <c r="BI778">
        <v>10</v>
      </c>
      <c r="BJ778" t="s">
        <v>815</v>
      </c>
      <c r="BK778" t="s">
        <v>94</v>
      </c>
      <c r="BL778" t="s">
        <v>815</v>
      </c>
      <c r="BM778" t="s">
        <v>13322</v>
      </c>
      <c r="BN778" t="s">
        <v>74</v>
      </c>
      <c r="BO778" t="s">
        <v>74</v>
      </c>
      <c r="BP778" t="s">
        <v>74</v>
      </c>
      <c r="BQ778" t="s">
        <v>74</v>
      </c>
      <c r="BR778" t="s">
        <v>97</v>
      </c>
      <c r="BS778" t="s">
        <v>13323</v>
      </c>
      <c r="BT778" t="str">
        <f>HYPERLINK("https%3A%2F%2Fwww.webofscience.com%2Fwos%2Fwoscc%2Ffull-record%2FWOS:000708919100022","View Full Record in Web of Science")</f>
        <v>View Full Record in Web of Science</v>
      </c>
    </row>
    <row r="779" spans="1:72" x14ac:dyDescent="0.25">
      <c r="A779" t="s">
        <v>72</v>
      </c>
      <c r="B779" t="s">
        <v>13324</v>
      </c>
      <c r="C779" t="s">
        <v>74</v>
      </c>
      <c r="D779" t="s">
        <v>74</v>
      </c>
      <c r="E779" t="s">
        <v>74</v>
      </c>
      <c r="F779" t="s">
        <v>13325</v>
      </c>
      <c r="G779" t="s">
        <v>74</v>
      </c>
      <c r="H779" t="s">
        <v>74</v>
      </c>
      <c r="I779" t="s">
        <v>13326</v>
      </c>
      <c r="J779" t="s">
        <v>1290</v>
      </c>
      <c r="K779" t="s">
        <v>74</v>
      </c>
      <c r="L779" t="s">
        <v>74</v>
      </c>
      <c r="M779" t="s">
        <v>77</v>
      </c>
      <c r="N779" t="s">
        <v>78</v>
      </c>
      <c r="O779" t="s">
        <v>74</v>
      </c>
      <c r="P779" t="s">
        <v>74</v>
      </c>
      <c r="Q779" t="s">
        <v>74</v>
      </c>
      <c r="R779" t="s">
        <v>74</v>
      </c>
      <c r="S779" t="s">
        <v>74</v>
      </c>
      <c r="T779" t="s">
        <v>13327</v>
      </c>
      <c r="U779" t="s">
        <v>13328</v>
      </c>
      <c r="V779" t="s">
        <v>13329</v>
      </c>
      <c r="W779" t="s">
        <v>13330</v>
      </c>
      <c r="X779" t="s">
        <v>13331</v>
      </c>
      <c r="Y779" t="s">
        <v>5204</v>
      </c>
      <c r="Z779" t="s">
        <v>5205</v>
      </c>
      <c r="AA779" t="s">
        <v>13332</v>
      </c>
      <c r="AB779" t="s">
        <v>13333</v>
      </c>
      <c r="AC779" t="s">
        <v>74</v>
      </c>
      <c r="AD779" t="s">
        <v>74</v>
      </c>
      <c r="AE779" t="s">
        <v>74</v>
      </c>
      <c r="AF779" t="s">
        <v>74</v>
      </c>
      <c r="AG779">
        <v>90</v>
      </c>
      <c r="AH779">
        <v>5</v>
      </c>
      <c r="AI779">
        <v>5</v>
      </c>
      <c r="AJ779">
        <v>3</v>
      </c>
      <c r="AK779">
        <v>26</v>
      </c>
      <c r="AL779" t="s">
        <v>665</v>
      </c>
      <c r="AM779" t="s">
        <v>666</v>
      </c>
      <c r="AN779" t="s">
        <v>667</v>
      </c>
      <c r="AO779" t="s">
        <v>1300</v>
      </c>
      <c r="AP779" t="s">
        <v>1301</v>
      </c>
      <c r="AQ779" t="s">
        <v>74</v>
      </c>
      <c r="AR779" t="s">
        <v>1302</v>
      </c>
      <c r="AS779" t="s">
        <v>1303</v>
      </c>
      <c r="AT779" t="s">
        <v>3714</v>
      </c>
      <c r="AU779">
        <v>2021</v>
      </c>
      <c r="AV779">
        <v>33</v>
      </c>
      <c r="AW779">
        <v>5</v>
      </c>
      <c r="AX779" t="s">
        <v>74</v>
      </c>
      <c r="AY779" t="s">
        <v>74</v>
      </c>
      <c r="AZ779" t="s">
        <v>74</v>
      </c>
      <c r="BA779" t="s">
        <v>74</v>
      </c>
      <c r="BB779">
        <v>1746</v>
      </c>
      <c r="BC779">
        <v>1767</v>
      </c>
      <c r="BD779" t="s">
        <v>74</v>
      </c>
      <c r="BE779" t="s">
        <v>13334</v>
      </c>
      <c r="BF779" t="str">
        <f>HYPERLINK("http://dx.doi.org/10.1108/IJCHM-08-2020-0802","http://dx.doi.org/10.1108/IJCHM-08-2020-0802")</f>
        <v>http://dx.doi.org/10.1108/IJCHM-08-2020-0802</v>
      </c>
      <c r="BG779" t="s">
        <v>74</v>
      </c>
      <c r="BH779" t="s">
        <v>4580</v>
      </c>
      <c r="BI779">
        <v>22</v>
      </c>
      <c r="BJ779" t="s">
        <v>1305</v>
      </c>
      <c r="BK779" t="s">
        <v>94</v>
      </c>
      <c r="BL779" t="s">
        <v>1306</v>
      </c>
      <c r="BM779" t="s">
        <v>13335</v>
      </c>
      <c r="BN779" t="s">
        <v>74</v>
      </c>
      <c r="BO779" t="s">
        <v>74</v>
      </c>
      <c r="BP779" t="s">
        <v>74</v>
      </c>
      <c r="BQ779" t="s">
        <v>74</v>
      </c>
      <c r="BR779" t="s">
        <v>97</v>
      </c>
      <c r="BS779" t="s">
        <v>13336</v>
      </c>
      <c r="BT779" t="str">
        <f>HYPERLINK("https%3A%2F%2Fwww.webofscience.com%2Fwos%2Fwoscc%2Ffull-record%2FWOS:000658643300001","View Full Record in Web of Science")</f>
        <v>View Full Record in Web of Science</v>
      </c>
    </row>
    <row r="780" spans="1:72" x14ac:dyDescent="0.25">
      <c r="A780" t="s">
        <v>72</v>
      </c>
      <c r="B780" t="s">
        <v>13337</v>
      </c>
      <c r="C780" t="s">
        <v>74</v>
      </c>
      <c r="D780" t="s">
        <v>74</v>
      </c>
      <c r="E780" t="s">
        <v>74</v>
      </c>
      <c r="F780" t="s">
        <v>13338</v>
      </c>
      <c r="G780" t="s">
        <v>74</v>
      </c>
      <c r="H780" t="s">
        <v>74</v>
      </c>
      <c r="I780" t="s">
        <v>13339</v>
      </c>
      <c r="J780" t="s">
        <v>466</v>
      </c>
      <c r="K780" t="s">
        <v>74</v>
      </c>
      <c r="L780" t="s">
        <v>74</v>
      </c>
      <c r="M780" t="s">
        <v>77</v>
      </c>
      <c r="N780" t="s">
        <v>78</v>
      </c>
      <c r="O780" t="s">
        <v>74</v>
      </c>
      <c r="P780" t="s">
        <v>74</v>
      </c>
      <c r="Q780" t="s">
        <v>74</v>
      </c>
      <c r="R780" t="s">
        <v>74</v>
      </c>
      <c r="S780" t="s">
        <v>74</v>
      </c>
      <c r="T780" t="s">
        <v>13340</v>
      </c>
      <c r="U780" t="s">
        <v>74</v>
      </c>
      <c r="V780" t="s">
        <v>13341</v>
      </c>
      <c r="W780" t="s">
        <v>13342</v>
      </c>
      <c r="X780" t="s">
        <v>13192</v>
      </c>
      <c r="Y780" t="s">
        <v>13343</v>
      </c>
      <c r="Z780" t="s">
        <v>13344</v>
      </c>
      <c r="AA780" t="s">
        <v>8001</v>
      </c>
      <c r="AB780" t="s">
        <v>74</v>
      </c>
      <c r="AC780" t="s">
        <v>11098</v>
      </c>
      <c r="AD780" t="s">
        <v>8685</v>
      </c>
      <c r="AE780" t="s">
        <v>11099</v>
      </c>
      <c r="AF780" t="s">
        <v>74</v>
      </c>
      <c r="AG780">
        <v>81</v>
      </c>
      <c r="AH780">
        <v>5</v>
      </c>
      <c r="AI780">
        <v>5</v>
      </c>
      <c r="AJ780">
        <v>6</v>
      </c>
      <c r="AK780">
        <v>36</v>
      </c>
      <c r="AL780" t="s">
        <v>218</v>
      </c>
      <c r="AM780" t="s">
        <v>219</v>
      </c>
      <c r="AN780" t="s">
        <v>220</v>
      </c>
      <c r="AO780" t="s">
        <v>476</v>
      </c>
      <c r="AP780" t="s">
        <v>477</v>
      </c>
      <c r="AQ780" t="s">
        <v>74</v>
      </c>
      <c r="AR780" t="s">
        <v>478</v>
      </c>
      <c r="AS780" t="s">
        <v>479</v>
      </c>
      <c r="AT780" t="s">
        <v>496</v>
      </c>
      <c r="AU780">
        <v>2021</v>
      </c>
      <c r="AV780">
        <v>55</v>
      </c>
      <c r="AW780">
        <v>3</v>
      </c>
      <c r="AX780" t="s">
        <v>74</v>
      </c>
      <c r="AY780" t="s">
        <v>74</v>
      </c>
      <c r="AZ780" t="s">
        <v>74</v>
      </c>
      <c r="BA780" t="s">
        <v>74</v>
      </c>
      <c r="BB780">
        <v>591</v>
      </c>
      <c r="BC780">
        <v>603</v>
      </c>
      <c r="BD780" t="s">
        <v>74</v>
      </c>
      <c r="BE780" t="s">
        <v>13345</v>
      </c>
      <c r="BF780" t="str">
        <f>HYPERLINK("http://dx.doi.org/10.1002/jocb.473","http://dx.doi.org/10.1002/jocb.473")</f>
        <v>http://dx.doi.org/10.1002/jocb.473</v>
      </c>
      <c r="BG780" t="s">
        <v>74</v>
      </c>
      <c r="BH780" t="s">
        <v>5544</v>
      </c>
      <c r="BI780">
        <v>13</v>
      </c>
      <c r="BJ780" t="s">
        <v>481</v>
      </c>
      <c r="BK780" t="s">
        <v>94</v>
      </c>
      <c r="BL780" t="s">
        <v>460</v>
      </c>
      <c r="BM780" t="s">
        <v>13346</v>
      </c>
      <c r="BN780" t="s">
        <v>74</v>
      </c>
      <c r="BO780" t="s">
        <v>74</v>
      </c>
      <c r="BP780" t="s">
        <v>74</v>
      </c>
      <c r="BQ780" t="s">
        <v>74</v>
      </c>
      <c r="BR780" t="s">
        <v>97</v>
      </c>
      <c r="BS780" t="s">
        <v>13347</v>
      </c>
      <c r="BT780" t="str">
        <f>HYPERLINK("https%3A%2F%2Fwww.webofscience.com%2Fwos%2Fwoscc%2Ffull-record%2FWOS:000624597700001","View Full Record in Web of Science")</f>
        <v>View Full Record in Web of Science</v>
      </c>
    </row>
    <row r="781" spans="1:72" x14ac:dyDescent="0.25">
      <c r="A781" t="s">
        <v>72</v>
      </c>
      <c r="B781" t="s">
        <v>13348</v>
      </c>
      <c r="C781" t="s">
        <v>74</v>
      </c>
      <c r="D781" t="s">
        <v>74</v>
      </c>
      <c r="E781" t="s">
        <v>74</v>
      </c>
      <c r="F781" t="s">
        <v>13349</v>
      </c>
      <c r="G781" t="s">
        <v>74</v>
      </c>
      <c r="H781" t="s">
        <v>74</v>
      </c>
      <c r="I781" t="s">
        <v>13350</v>
      </c>
      <c r="J781" t="s">
        <v>6395</v>
      </c>
      <c r="K781" t="s">
        <v>74</v>
      </c>
      <c r="L781" t="s">
        <v>74</v>
      </c>
      <c r="M781" t="s">
        <v>77</v>
      </c>
      <c r="N781" t="s">
        <v>78</v>
      </c>
      <c r="O781" t="s">
        <v>74</v>
      </c>
      <c r="P781" t="s">
        <v>74</v>
      </c>
      <c r="Q781" t="s">
        <v>74</v>
      </c>
      <c r="R781" t="s">
        <v>74</v>
      </c>
      <c r="S781" t="s">
        <v>74</v>
      </c>
      <c r="T781" t="s">
        <v>13351</v>
      </c>
      <c r="U781" t="s">
        <v>13352</v>
      </c>
      <c r="V781" t="s">
        <v>13353</v>
      </c>
      <c r="W781" t="s">
        <v>13354</v>
      </c>
      <c r="X781" t="s">
        <v>13355</v>
      </c>
      <c r="Y781" t="s">
        <v>13356</v>
      </c>
      <c r="Z781" t="s">
        <v>13357</v>
      </c>
      <c r="AA781" t="s">
        <v>13358</v>
      </c>
      <c r="AB781" t="s">
        <v>13359</v>
      </c>
      <c r="AC781" t="s">
        <v>74</v>
      </c>
      <c r="AD781" t="s">
        <v>74</v>
      </c>
      <c r="AE781" t="s">
        <v>74</v>
      </c>
      <c r="AF781" t="s">
        <v>74</v>
      </c>
      <c r="AG781">
        <v>64</v>
      </c>
      <c r="AH781">
        <v>5</v>
      </c>
      <c r="AI781">
        <v>5</v>
      </c>
      <c r="AJ781">
        <v>13</v>
      </c>
      <c r="AK781">
        <v>35</v>
      </c>
      <c r="AL781" t="s">
        <v>6407</v>
      </c>
      <c r="AM781" t="s">
        <v>6408</v>
      </c>
      <c r="AN781" t="s">
        <v>6409</v>
      </c>
      <c r="AO781" t="s">
        <v>6410</v>
      </c>
      <c r="AP781" t="s">
        <v>74</v>
      </c>
      <c r="AQ781" t="s">
        <v>74</v>
      </c>
      <c r="AR781" t="s">
        <v>6411</v>
      </c>
      <c r="AS781" t="s">
        <v>6412</v>
      </c>
      <c r="AT781" t="s">
        <v>74</v>
      </c>
      <c r="AU781">
        <v>2021</v>
      </c>
      <c r="AV781">
        <v>14</v>
      </c>
      <c r="AW781" t="s">
        <v>74</v>
      </c>
      <c r="AX781" t="s">
        <v>74</v>
      </c>
      <c r="AY781" t="s">
        <v>74</v>
      </c>
      <c r="AZ781" t="s">
        <v>74</v>
      </c>
      <c r="BA781" t="s">
        <v>74</v>
      </c>
      <c r="BB781">
        <v>2257</v>
      </c>
      <c r="BC781">
        <v>2270</v>
      </c>
      <c r="BD781" t="s">
        <v>74</v>
      </c>
      <c r="BE781" t="s">
        <v>13360</v>
      </c>
      <c r="BF781" t="str">
        <f>HYPERLINK("http://dx.doi.org/10.2147/PRBM.S342562","http://dx.doi.org/10.2147/PRBM.S342562")</f>
        <v>http://dx.doi.org/10.2147/PRBM.S342562</v>
      </c>
      <c r="BG781" t="s">
        <v>74</v>
      </c>
      <c r="BH781" t="s">
        <v>74</v>
      </c>
      <c r="BI781">
        <v>14</v>
      </c>
      <c r="BJ781" t="s">
        <v>6414</v>
      </c>
      <c r="BK781" t="s">
        <v>94</v>
      </c>
      <c r="BL781" t="s">
        <v>6415</v>
      </c>
      <c r="BM781" t="s">
        <v>13361</v>
      </c>
      <c r="BN781">
        <v>35002343</v>
      </c>
      <c r="BO781" t="s">
        <v>4398</v>
      </c>
      <c r="BP781" t="s">
        <v>74</v>
      </c>
      <c r="BQ781" t="s">
        <v>74</v>
      </c>
      <c r="BR781" t="s">
        <v>97</v>
      </c>
      <c r="BS781" t="s">
        <v>13362</v>
      </c>
      <c r="BT781" t="str">
        <f>HYPERLINK("https%3A%2F%2Fwww.webofscience.com%2Fwos%2Fwoscc%2Ffull-record%2FWOS:000740689300001","View Full Record in Web of Science")</f>
        <v>View Full Record in Web of Science</v>
      </c>
    </row>
    <row r="782" spans="1:72" x14ac:dyDescent="0.25">
      <c r="A782" t="s">
        <v>72</v>
      </c>
      <c r="B782" t="s">
        <v>13363</v>
      </c>
      <c r="C782" t="s">
        <v>74</v>
      </c>
      <c r="D782" t="s">
        <v>74</v>
      </c>
      <c r="E782" t="s">
        <v>74</v>
      </c>
      <c r="F782" t="s">
        <v>13364</v>
      </c>
      <c r="G782" t="s">
        <v>74</v>
      </c>
      <c r="H782" t="s">
        <v>74</v>
      </c>
      <c r="I782" t="s">
        <v>13365</v>
      </c>
      <c r="J782" t="s">
        <v>13366</v>
      </c>
      <c r="K782" t="s">
        <v>74</v>
      </c>
      <c r="L782" t="s">
        <v>74</v>
      </c>
      <c r="M782" t="s">
        <v>77</v>
      </c>
      <c r="N782" t="s">
        <v>78</v>
      </c>
      <c r="O782" t="s">
        <v>74</v>
      </c>
      <c r="P782" t="s">
        <v>74</v>
      </c>
      <c r="Q782" t="s">
        <v>74</v>
      </c>
      <c r="R782" t="s">
        <v>74</v>
      </c>
      <c r="S782" t="s">
        <v>74</v>
      </c>
      <c r="T782" t="s">
        <v>13367</v>
      </c>
      <c r="U782" t="s">
        <v>13368</v>
      </c>
      <c r="V782" t="s">
        <v>13369</v>
      </c>
      <c r="W782" t="s">
        <v>13370</v>
      </c>
      <c r="X782" t="s">
        <v>13371</v>
      </c>
      <c r="Y782" t="s">
        <v>13372</v>
      </c>
      <c r="Z782" t="s">
        <v>13373</v>
      </c>
      <c r="AA782" t="s">
        <v>13374</v>
      </c>
      <c r="AB782" t="s">
        <v>13375</v>
      </c>
      <c r="AC782" t="s">
        <v>13376</v>
      </c>
      <c r="AD782" t="s">
        <v>13377</v>
      </c>
      <c r="AE782" t="s">
        <v>13378</v>
      </c>
      <c r="AF782" t="s">
        <v>74</v>
      </c>
      <c r="AG782">
        <v>140</v>
      </c>
      <c r="AH782">
        <v>5</v>
      </c>
      <c r="AI782">
        <v>5</v>
      </c>
      <c r="AJ782">
        <v>7</v>
      </c>
      <c r="AK782">
        <v>40</v>
      </c>
      <c r="AL782" t="s">
        <v>350</v>
      </c>
      <c r="AM782" t="s">
        <v>351</v>
      </c>
      <c r="AN782" t="s">
        <v>352</v>
      </c>
      <c r="AO782" t="s">
        <v>13379</v>
      </c>
      <c r="AP782" t="s">
        <v>13380</v>
      </c>
      <c r="AQ782" t="s">
        <v>74</v>
      </c>
      <c r="AR782" t="s">
        <v>13381</v>
      </c>
      <c r="AS782" t="s">
        <v>13382</v>
      </c>
      <c r="AT782" t="s">
        <v>375</v>
      </c>
      <c r="AU782">
        <v>2021</v>
      </c>
      <c r="AV782">
        <v>50</v>
      </c>
      <c r="AW782">
        <v>4</v>
      </c>
      <c r="AX782" t="s">
        <v>74</v>
      </c>
      <c r="AY782" t="s">
        <v>74</v>
      </c>
      <c r="AZ782" t="s">
        <v>74</v>
      </c>
      <c r="BA782" t="s">
        <v>74</v>
      </c>
      <c r="BB782">
        <v>509</v>
      </c>
      <c r="BC782">
        <v>537</v>
      </c>
      <c r="BD782">
        <v>91026020977571</v>
      </c>
      <c r="BE782" t="s">
        <v>13383</v>
      </c>
      <c r="BF782" t="str">
        <f>HYPERLINK("http://dx.doi.org/10.1177/0091026020977571","http://dx.doi.org/10.1177/0091026020977571")</f>
        <v>http://dx.doi.org/10.1177/0091026020977571</v>
      </c>
      <c r="BG782" t="s">
        <v>74</v>
      </c>
      <c r="BH782" t="s">
        <v>8229</v>
      </c>
      <c r="BI782">
        <v>29</v>
      </c>
      <c r="BJ782" t="s">
        <v>13384</v>
      </c>
      <c r="BK782" t="s">
        <v>94</v>
      </c>
      <c r="BL782" t="s">
        <v>2246</v>
      </c>
      <c r="BM782" t="s">
        <v>13385</v>
      </c>
      <c r="BN782" t="s">
        <v>74</v>
      </c>
      <c r="BO782" t="s">
        <v>74</v>
      </c>
      <c r="BP782" t="s">
        <v>74</v>
      </c>
      <c r="BQ782" t="s">
        <v>74</v>
      </c>
      <c r="BR782" t="s">
        <v>97</v>
      </c>
      <c r="BS782" t="s">
        <v>13386</v>
      </c>
      <c r="BT782" t="str">
        <f>HYPERLINK("https%3A%2F%2Fwww.webofscience.com%2Fwos%2Fwoscc%2Ffull-record%2FWOS:000599906300001","View Full Record in Web of Science")</f>
        <v>View Full Record in Web of Science</v>
      </c>
    </row>
    <row r="783" spans="1:72" x14ac:dyDescent="0.25">
      <c r="A783" t="s">
        <v>72</v>
      </c>
      <c r="B783" t="s">
        <v>13387</v>
      </c>
      <c r="C783" t="s">
        <v>74</v>
      </c>
      <c r="D783" t="s">
        <v>74</v>
      </c>
      <c r="E783" t="s">
        <v>74</v>
      </c>
      <c r="F783" t="s">
        <v>13388</v>
      </c>
      <c r="G783" t="s">
        <v>74</v>
      </c>
      <c r="H783" t="s">
        <v>74</v>
      </c>
      <c r="I783" t="s">
        <v>13389</v>
      </c>
      <c r="J783" t="s">
        <v>7993</v>
      </c>
      <c r="K783" t="s">
        <v>74</v>
      </c>
      <c r="L783" t="s">
        <v>74</v>
      </c>
      <c r="M783" t="s">
        <v>77</v>
      </c>
      <c r="N783" t="s">
        <v>78</v>
      </c>
      <c r="O783" t="s">
        <v>74</v>
      </c>
      <c r="P783" t="s">
        <v>74</v>
      </c>
      <c r="Q783" t="s">
        <v>74</v>
      </c>
      <c r="R783" t="s">
        <v>74</v>
      </c>
      <c r="S783" t="s">
        <v>74</v>
      </c>
      <c r="T783" t="s">
        <v>13390</v>
      </c>
      <c r="U783" t="s">
        <v>13391</v>
      </c>
      <c r="V783" t="s">
        <v>13392</v>
      </c>
      <c r="W783" t="s">
        <v>13393</v>
      </c>
      <c r="X783" t="s">
        <v>13394</v>
      </c>
      <c r="Y783" t="s">
        <v>13395</v>
      </c>
      <c r="Z783" t="s">
        <v>13396</v>
      </c>
      <c r="AA783" t="s">
        <v>74</v>
      </c>
      <c r="AB783" t="s">
        <v>74</v>
      </c>
      <c r="AC783" t="s">
        <v>74</v>
      </c>
      <c r="AD783" t="s">
        <v>74</v>
      </c>
      <c r="AE783" t="s">
        <v>74</v>
      </c>
      <c r="AF783" t="s">
        <v>74</v>
      </c>
      <c r="AG783">
        <v>76</v>
      </c>
      <c r="AH783">
        <v>5</v>
      </c>
      <c r="AI783">
        <v>5</v>
      </c>
      <c r="AJ783">
        <v>6</v>
      </c>
      <c r="AK783">
        <v>39</v>
      </c>
      <c r="AL783" t="s">
        <v>8002</v>
      </c>
      <c r="AM783" t="s">
        <v>8003</v>
      </c>
      <c r="AN783" t="s">
        <v>8004</v>
      </c>
      <c r="AO783" t="s">
        <v>8005</v>
      </c>
      <c r="AP783" t="s">
        <v>8006</v>
      </c>
      <c r="AQ783" t="s">
        <v>74</v>
      </c>
      <c r="AR783" t="s">
        <v>8007</v>
      </c>
      <c r="AS783" t="s">
        <v>8008</v>
      </c>
      <c r="AT783" t="s">
        <v>375</v>
      </c>
      <c r="AU783">
        <v>2020</v>
      </c>
      <c r="AV783">
        <v>36</v>
      </c>
      <c r="AW783">
        <v>3</v>
      </c>
      <c r="AX783" t="s">
        <v>74</v>
      </c>
      <c r="AY783" t="s">
        <v>74</v>
      </c>
      <c r="AZ783" t="s">
        <v>74</v>
      </c>
      <c r="BA783" t="s">
        <v>74</v>
      </c>
      <c r="BB783">
        <v>205</v>
      </c>
      <c r="BC783">
        <v>214</v>
      </c>
      <c r="BD783" t="s">
        <v>74</v>
      </c>
      <c r="BE783" t="s">
        <v>13397</v>
      </c>
      <c r="BF783" t="str">
        <f>HYPERLINK("http://dx.doi.org/10.5093/jwop2020a20","http://dx.doi.org/10.5093/jwop2020a20")</f>
        <v>http://dx.doi.org/10.5093/jwop2020a20</v>
      </c>
      <c r="BG783" t="s">
        <v>74</v>
      </c>
      <c r="BH783" t="s">
        <v>74</v>
      </c>
      <c r="BI783">
        <v>10</v>
      </c>
      <c r="BJ783" t="s">
        <v>692</v>
      </c>
      <c r="BK783" t="s">
        <v>94</v>
      </c>
      <c r="BL783" t="s">
        <v>460</v>
      </c>
      <c r="BM783" t="s">
        <v>13398</v>
      </c>
      <c r="BN783" t="s">
        <v>74</v>
      </c>
      <c r="BO783" t="s">
        <v>4398</v>
      </c>
      <c r="BP783" t="s">
        <v>74</v>
      </c>
      <c r="BQ783" t="s">
        <v>74</v>
      </c>
      <c r="BR783" t="s">
        <v>97</v>
      </c>
      <c r="BS783" t="s">
        <v>13399</v>
      </c>
      <c r="BT783" t="str">
        <f>HYPERLINK("https%3A%2F%2Fwww.webofscience.com%2Fwos%2Fwoscc%2Ffull-record%2FWOS:000595480200003","View Full Record in Web of Science")</f>
        <v>View Full Record in Web of Science</v>
      </c>
    </row>
    <row r="784" spans="1:72" x14ac:dyDescent="0.25">
      <c r="A784" t="s">
        <v>72</v>
      </c>
      <c r="B784" t="s">
        <v>13400</v>
      </c>
      <c r="C784" t="s">
        <v>74</v>
      </c>
      <c r="D784" t="s">
        <v>74</v>
      </c>
      <c r="E784" t="s">
        <v>74</v>
      </c>
      <c r="F784" t="s">
        <v>13401</v>
      </c>
      <c r="G784" t="s">
        <v>74</v>
      </c>
      <c r="H784" t="s">
        <v>74</v>
      </c>
      <c r="I784" t="s">
        <v>13402</v>
      </c>
      <c r="J784" t="s">
        <v>6372</v>
      </c>
      <c r="K784" t="s">
        <v>74</v>
      </c>
      <c r="L784" t="s">
        <v>74</v>
      </c>
      <c r="M784" t="s">
        <v>77</v>
      </c>
      <c r="N784" t="s">
        <v>78</v>
      </c>
      <c r="O784" t="s">
        <v>74</v>
      </c>
      <c r="P784" t="s">
        <v>74</v>
      </c>
      <c r="Q784" t="s">
        <v>74</v>
      </c>
      <c r="R784" t="s">
        <v>74</v>
      </c>
      <c r="S784" t="s">
        <v>74</v>
      </c>
      <c r="T784" t="s">
        <v>13403</v>
      </c>
      <c r="U784" t="s">
        <v>13404</v>
      </c>
      <c r="V784" t="s">
        <v>13405</v>
      </c>
      <c r="W784" t="s">
        <v>13406</v>
      </c>
      <c r="X784" t="s">
        <v>13407</v>
      </c>
      <c r="Y784" t="s">
        <v>13408</v>
      </c>
      <c r="Z784" t="s">
        <v>13409</v>
      </c>
      <c r="AA784" t="s">
        <v>74</v>
      </c>
      <c r="AB784" t="s">
        <v>74</v>
      </c>
      <c r="AC784" t="s">
        <v>13410</v>
      </c>
      <c r="AD784" t="s">
        <v>13411</v>
      </c>
      <c r="AE784" t="s">
        <v>13412</v>
      </c>
      <c r="AF784" t="s">
        <v>74</v>
      </c>
      <c r="AG784">
        <v>65</v>
      </c>
      <c r="AH784">
        <v>5</v>
      </c>
      <c r="AI784">
        <v>5</v>
      </c>
      <c r="AJ784">
        <v>7</v>
      </c>
      <c r="AK784">
        <v>39</v>
      </c>
      <c r="AL784" t="s">
        <v>2473</v>
      </c>
      <c r="AM784" t="s">
        <v>2102</v>
      </c>
      <c r="AN784" t="s">
        <v>2474</v>
      </c>
      <c r="AO784" t="s">
        <v>74</v>
      </c>
      <c r="AP784" t="s">
        <v>6384</v>
      </c>
      <c r="AQ784" t="s">
        <v>74</v>
      </c>
      <c r="AR784" t="s">
        <v>6385</v>
      </c>
      <c r="AS784" t="s">
        <v>6386</v>
      </c>
      <c r="AT784" t="s">
        <v>584</v>
      </c>
      <c r="AU784">
        <v>2020</v>
      </c>
      <c r="AV784">
        <v>17</v>
      </c>
      <c r="AW784">
        <v>21</v>
      </c>
      <c r="AX784" t="s">
        <v>74</v>
      </c>
      <c r="AY784" t="s">
        <v>74</v>
      </c>
      <c r="AZ784" t="s">
        <v>74</v>
      </c>
      <c r="BA784" t="s">
        <v>74</v>
      </c>
      <c r="BB784" t="s">
        <v>74</v>
      </c>
      <c r="BC784" t="s">
        <v>74</v>
      </c>
      <c r="BD784">
        <v>7773</v>
      </c>
      <c r="BE784" t="s">
        <v>13413</v>
      </c>
      <c r="BF784" t="str">
        <f>HYPERLINK("http://dx.doi.org/10.3390/ijerph17217773","http://dx.doi.org/10.3390/ijerph17217773")</f>
        <v>http://dx.doi.org/10.3390/ijerph17217773</v>
      </c>
      <c r="BG784" t="s">
        <v>74</v>
      </c>
      <c r="BH784" t="s">
        <v>74</v>
      </c>
      <c r="BI784">
        <v>14</v>
      </c>
      <c r="BJ784" t="s">
        <v>6388</v>
      </c>
      <c r="BK784" t="s">
        <v>147</v>
      </c>
      <c r="BL784" t="s">
        <v>6389</v>
      </c>
      <c r="BM784" t="s">
        <v>13414</v>
      </c>
      <c r="BN784">
        <v>33114214</v>
      </c>
      <c r="BO784" t="s">
        <v>3205</v>
      </c>
      <c r="BP784" t="s">
        <v>74</v>
      </c>
      <c r="BQ784" t="s">
        <v>74</v>
      </c>
      <c r="BR784" t="s">
        <v>97</v>
      </c>
      <c r="BS784" t="s">
        <v>13415</v>
      </c>
      <c r="BT784" t="str">
        <f>HYPERLINK("https%3A%2F%2Fwww.webofscience.com%2Fwos%2Fwoscc%2Ffull-record%2FWOS:000589136600001","View Full Record in Web of Science")</f>
        <v>View Full Record in Web of Science</v>
      </c>
    </row>
    <row r="785" spans="1:72" x14ac:dyDescent="0.25">
      <c r="A785" t="s">
        <v>72</v>
      </c>
      <c r="B785" t="s">
        <v>13416</v>
      </c>
      <c r="C785" t="s">
        <v>74</v>
      </c>
      <c r="D785" t="s">
        <v>74</v>
      </c>
      <c r="E785" t="s">
        <v>74</v>
      </c>
      <c r="F785" t="s">
        <v>13417</v>
      </c>
      <c r="G785" t="s">
        <v>74</v>
      </c>
      <c r="H785" t="s">
        <v>74</v>
      </c>
      <c r="I785" t="s">
        <v>13418</v>
      </c>
      <c r="J785" t="s">
        <v>4134</v>
      </c>
      <c r="K785" t="s">
        <v>74</v>
      </c>
      <c r="L785" t="s">
        <v>74</v>
      </c>
      <c r="M785" t="s">
        <v>77</v>
      </c>
      <c r="N785" t="s">
        <v>78</v>
      </c>
      <c r="O785" t="s">
        <v>74</v>
      </c>
      <c r="P785" t="s">
        <v>74</v>
      </c>
      <c r="Q785" t="s">
        <v>74</v>
      </c>
      <c r="R785" t="s">
        <v>74</v>
      </c>
      <c r="S785" t="s">
        <v>74</v>
      </c>
      <c r="T785" t="s">
        <v>13419</v>
      </c>
      <c r="U785" t="s">
        <v>13420</v>
      </c>
      <c r="V785" t="s">
        <v>13421</v>
      </c>
      <c r="W785" t="s">
        <v>13422</v>
      </c>
      <c r="X785" t="s">
        <v>13423</v>
      </c>
      <c r="Y785" t="s">
        <v>13424</v>
      </c>
      <c r="Z785" t="s">
        <v>10138</v>
      </c>
      <c r="AA785" t="s">
        <v>74</v>
      </c>
      <c r="AB785" t="s">
        <v>13425</v>
      </c>
      <c r="AC785" t="s">
        <v>13426</v>
      </c>
      <c r="AD785" t="s">
        <v>10142</v>
      </c>
      <c r="AE785" t="s">
        <v>13427</v>
      </c>
      <c r="AF785" t="s">
        <v>74</v>
      </c>
      <c r="AG785">
        <v>51</v>
      </c>
      <c r="AH785">
        <v>5</v>
      </c>
      <c r="AI785">
        <v>5</v>
      </c>
      <c r="AJ785">
        <v>4</v>
      </c>
      <c r="AK785">
        <v>16</v>
      </c>
      <c r="AL785" t="s">
        <v>665</v>
      </c>
      <c r="AM785" t="s">
        <v>666</v>
      </c>
      <c r="AN785" t="s">
        <v>667</v>
      </c>
      <c r="AO785" t="s">
        <v>4144</v>
      </c>
      <c r="AP785" t="s">
        <v>4145</v>
      </c>
      <c r="AQ785" t="s">
        <v>74</v>
      </c>
      <c r="AR785" t="s">
        <v>4146</v>
      </c>
      <c r="AS785" t="s">
        <v>4147</v>
      </c>
      <c r="AT785" t="s">
        <v>6347</v>
      </c>
      <c r="AU785">
        <v>2022</v>
      </c>
      <c r="AV785">
        <v>25</v>
      </c>
      <c r="AW785">
        <v>1</v>
      </c>
      <c r="AX785" t="s">
        <v>74</v>
      </c>
      <c r="AY785" t="s">
        <v>74</v>
      </c>
      <c r="AZ785" t="s">
        <v>74</v>
      </c>
      <c r="BA785" t="s">
        <v>74</v>
      </c>
      <c r="BB785">
        <v>55</v>
      </c>
      <c r="BC785">
        <v>72</v>
      </c>
      <c r="BD785" t="s">
        <v>74</v>
      </c>
      <c r="BE785" t="s">
        <v>13428</v>
      </c>
      <c r="BF785" t="str">
        <f>HYPERLINK("http://dx.doi.org/10.1108/EJIM-08-2019-0234","http://dx.doi.org/10.1108/EJIM-08-2019-0234")</f>
        <v>http://dx.doi.org/10.1108/EJIM-08-2019-0234</v>
      </c>
      <c r="BG785" t="s">
        <v>74</v>
      </c>
      <c r="BH785" t="s">
        <v>12767</v>
      </c>
      <c r="BI785">
        <v>18</v>
      </c>
      <c r="BJ785" t="s">
        <v>93</v>
      </c>
      <c r="BK785" t="s">
        <v>94</v>
      </c>
      <c r="BL785" t="s">
        <v>95</v>
      </c>
      <c r="BM785" t="s">
        <v>6350</v>
      </c>
      <c r="BN785" t="s">
        <v>74</v>
      </c>
      <c r="BO785" t="s">
        <v>74</v>
      </c>
      <c r="BP785" t="s">
        <v>74</v>
      </c>
      <c r="BQ785" t="s">
        <v>74</v>
      </c>
      <c r="BR785" t="s">
        <v>97</v>
      </c>
      <c r="BS785" t="s">
        <v>13429</v>
      </c>
      <c r="BT785" t="str">
        <f>HYPERLINK("https%3A%2F%2Fwww.webofscience.com%2Fwos%2Fwoscc%2Ffull-record%2FWOS:000586487600001","View Full Record in Web of Science")</f>
        <v>View Full Record in Web of Science</v>
      </c>
    </row>
    <row r="786" spans="1:72" x14ac:dyDescent="0.25">
      <c r="A786" t="s">
        <v>72</v>
      </c>
      <c r="B786" t="s">
        <v>13430</v>
      </c>
      <c r="C786" t="s">
        <v>74</v>
      </c>
      <c r="D786" t="s">
        <v>74</v>
      </c>
      <c r="E786" t="s">
        <v>74</v>
      </c>
      <c r="F786" t="s">
        <v>13431</v>
      </c>
      <c r="G786" t="s">
        <v>74</v>
      </c>
      <c r="H786" t="s">
        <v>74</v>
      </c>
      <c r="I786" t="s">
        <v>13432</v>
      </c>
      <c r="J786" t="s">
        <v>2059</v>
      </c>
      <c r="K786" t="s">
        <v>74</v>
      </c>
      <c r="L786" t="s">
        <v>74</v>
      </c>
      <c r="M786" t="s">
        <v>77</v>
      </c>
      <c r="N786" t="s">
        <v>78</v>
      </c>
      <c r="O786" t="s">
        <v>74</v>
      </c>
      <c r="P786" t="s">
        <v>74</v>
      </c>
      <c r="Q786" t="s">
        <v>74</v>
      </c>
      <c r="R786" t="s">
        <v>74</v>
      </c>
      <c r="S786" t="s">
        <v>74</v>
      </c>
      <c r="T786" t="s">
        <v>13433</v>
      </c>
      <c r="U786" t="s">
        <v>13434</v>
      </c>
      <c r="V786" t="s">
        <v>13435</v>
      </c>
      <c r="W786" t="s">
        <v>13436</v>
      </c>
      <c r="X786" t="s">
        <v>13437</v>
      </c>
      <c r="Y786" t="s">
        <v>13438</v>
      </c>
      <c r="Z786" t="s">
        <v>13439</v>
      </c>
      <c r="AA786" t="s">
        <v>13440</v>
      </c>
      <c r="AB786" t="s">
        <v>13441</v>
      </c>
      <c r="AC786" t="s">
        <v>13442</v>
      </c>
      <c r="AD786" t="s">
        <v>13443</v>
      </c>
      <c r="AE786" t="s">
        <v>13444</v>
      </c>
      <c r="AF786" t="s">
        <v>74</v>
      </c>
      <c r="AG786">
        <v>31</v>
      </c>
      <c r="AH786">
        <v>5</v>
      </c>
      <c r="AI786">
        <v>5</v>
      </c>
      <c r="AJ786">
        <v>5</v>
      </c>
      <c r="AK786">
        <v>34</v>
      </c>
      <c r="AL786" t="s">
        <v>2067</v>
      </c>
      <c r="AM786" t="s">
        <v>2068</v>
      </c>
      <c r="AN786" t="s">
        <v>2069</v>
      </c>
      <c r="AO786" t="s">
        <v>2070</v>
      </c>
      <c r="AP786" t="s">
        <v>2071</v>
      </c>
      <c r="AQ786" t="s">
        <v>74</v>
      </c>
      <c r="AR786" t="s">
        <v>2072</v>
      </c>
      <c r="AS786" t="s">
        <v>2073</v>
      </c>
      <c r="AT786" t="s">
        <v>256</v>
      </c>
      <c r="AU786">
        <v>2020</v>
      </c>
      <c r="AV786">
        <v>48</v>
      </c>
      <c r="AW786">
        <v>10</v>
      </c>
      <c r="AX786" t="s">
        <v>74</v>
      </c>
      <c r="AY786" t="s">
        <v>74</v>
      </c>
      <c r="AZ786" t="s">
        <v>74</v>
      </c>
      <c r="BA786" t="s">
        <v>74</v>
      </c>
      <c r="BB786" t="s">
        <v>74</v>
      </c>
      <c r="BC786" t="s">
        <v>74</v>
      </c>
      <c r="BD786" t="s">
        <v>13445</v>
      </c>
      <c r="BE786" t="s">
        <v>13446</v>
      </c>
      <c r="BF786" t="str">
        <f>HYPERLINK("http://dx.doi.org/10.2224/sbp.9379","http://dx.doi.org/10.2224/sbp.9379")</f>
        <v>http://dx.doi.org/10.2224/sbp.9379</v>
      </c>
      <c r="BG786" t="s">
        <v>74</v>
      </c>
      <c r="BH786" t="s">
        <v>74</v>
      </c>
      <c r="BI786">
        <v>12</v>
      </c>
      <c r="BJ786" t="s">
        <v>459</v>
      </c>
      <c r="BK786" t="s">
        <v>94</v>
      </c>
      <c r="BL786" t="s">
        <v>460</v>
      </c>
      <c r="BM786" t="s">
        <v>10192</v>
      </c>
      <c r="BN786" t="s">
        <v>74</v>
      </c>
      <c r="BO786" t="s">
        <v>74</v>
      </c>
      <c r="BP786" t="s">
        <v>74</v>
      </c>
      <c r="BQ786" t="s">
        <v>74</v>
      </c>
      <c r="BR786" t="s">
        <v>97</v>
      </c>
      <c r="BS786" t="s">
        <v>13447</v>
      </c>
      <c r="BT786" t="str">
        <f>HYPERLINK("https%3A%2F%2Fwww.webofscience.com%2Fwos%2Fwoscc%2Ffull-record%2FWOS:000577084600009","View Full Record in Web of Science")</f>
        <v>View Full Record in Web of Science</v>
      </c>
    </row>
    <row r="787" spans="1:72" x14ac:dyDescent="0.25">
      <c r="A787" t="s">
        <v>72</v>
      </c>
      <c r="B787" t="s">
        <v>13448</v>
      </c>
      <c r="C787" t="s">
        <v>74</v>
      </c>
      <c r="D787" t="s">
        <v>74</v>
      </c>
      <c r="E787" t="s">
        <v>74</v>
      </c>
      <c r="F787" t="s">
        <v>13449</v>
      </c>
      <c r="G787" t="s">
        <v>74</v>
      </c>
      <c r="H787" t="s">
        <v>74</v>
      </c>
      <c r="I787" t="s">
        <v>13450</v>
      </c>
      <c r="J787" t="s">
        <v>5615</v>
      </c>
      <c r="K787" t="s">
        <v>74</v>
      </c>
      <c r="L787" t="s">
        <v>74</v>
      </c>
      <c r="M787" t="s">
        <v>77</v>
      </c>
      <c r="N787" t="s">
        <v>78</v>
      </c>
      <c r="O787" t="s">
        <v>74</v>
      </c>
      <c r="P787" t="s">
        <v>74</v>
      </c>
      <c r="Q787" t="s">
        <v>74</v>
      </c>
      <c r="R787" t="s">
        <v>74</v>
      </c>
      <c r="S787" t="s">
        <v>74</v>
      </c>
      <c r="T787" t="s">
        <v>13451</v>
      </c>
      <c r="U787" t="s">
        <v>13452</v>
      </c>
      <c r="V787" t="s">
        <v>13453</v>
      </c>
      <c r="W787" t="s">
        <v>13454</v>
      </c>
      <c r="X787" t="s">
        <v>13455</v>
      </c>
      <c r="Y787" t="s">
        <v>13456</v>
      </c>
      <c r="Z787" t="s">
        <v>13457</v>
      </c>
      <c r="AA787" t="s">
        <v>74</v>
      </c>
      <c r="AB787" t="s">
        <v>13458</v>
      </c>
      <c r="AC787" t="s">
        <v>74</v>
      </c>
      <c r="AD787" t="s">
        <v>74</v>
      </c>
      <c r="AE787" t="s">
        <v>74</v>
      </c>
      <c r="AF787" t="s">
        <v>74</v>
      </c>
      <c r="AG787">
        <v>59</v>
      </c>
      <c r="AH787">
        <v>5</v>
      </c>
      <c r="AI787">
        <v>5</v>
      </c>
      <c r="AJ787">
        <v>12</v>
      </c>
      <c r="AK787">
        <v>65</v>
      </c>
      <c r="AL787" t="s">
        <v>665</v>
      </c>
      <c r="AM787" t="s">
        <v>666</v>
      </c>
      <c r="AN787" t="s">
        <v>667</v>
      </c>
      <c r="AO787" t="s">
        <v>5625</v>
      </c>
      <c r="AP787" t="s">
        <v>5626</v>
      </c>
      <c r="AQ787" t="s">
        <v>74</v>
      </c>
      <c r="AR787" t="s">
        <v>5627</v>
      </c>
      <c r="AS787" t="s">
        <v>5628</v>
      </c>
      <c r="AT787" t="s">
        <v>9709</v>
      </c>
      <c r="AU787">
        <v>2021</v>
      </c>
      <c r="AV787">
        <v>15</v>
      </c>
      <c r="AW787">
        <v>1</v>
      </c>
      <c r="AX787" t="s">
        <v>74</v>
      </c>
      <c r="AY787" t="s">
        <v>74</v>
      </c>
      <c r="AZ787" t="s">
        <v>74</v>
      </c>
      <c r="BA787" t="s">
        <v>74</v>
      </c>
      <c r="BB787">
        <v>137</v>
      </c>
      <c r="BC787">
        <v>154</v>
      </c>
      <c r="BD787" t="s">
        <v>74</v>
      </c>
      <c r="BE787" t="s">
        <v>13459</v>
      </c>
      <c r="BF787" t="str">
        <f>HYPERLINK("http://dx.doi.org/10.1108/CMS-10-2019-0363","http://dx.doi.org/10.1108/CMS-10-2019-0363")</f>
        <v>http://dx.doi.org/10.1108/CMS-10-2019-0363</v>
      </c>
      <c r="BG787" t="s">
        <v>74</v>
      </c>
      <c r="BH787" t="s">
        <v>7030</v>
      </c>
      <c r="BI787">
        <v>18</v>
      </c>
      <c r="BJ787" t="s">
        <v>442</v>
      </c>
      <c r="BK787" t="s">
        <v>94</v>
      </c>
      <c r="BL787" t="s">
        <v>95</v>
      </c>
      <c r="BM787" t="s">
        <v>13460</v>
      </c>
      <c r="BN787" t="s">
        <v>74</v>
      </c>
      <c r="BO787" t="s">
        <v>74</v>
      </c>
      <c r="BP787" t="s">
        <v>74</v>
      </c>
      <c r="BQ787" t="s">
        <v>74</v>
      </c>
      <c r="BR787" t="s">
        <v>97</v>
      </c>
      <c r="BS787" t="s">
        <v>13461</v>
      </c>
      <c r="BT787" t="str">
        <f>HYPERLINK("https%3A%2F%2Fwww.webofscience.com%2Fwos%2Fwoscc%2Ffull-record%2FWOS:000562875400001","View Full Record in Web of Science")</f>
        <v>View Full Record in Web of Science</v>
      </c>
    </row>
    <row r="788" spans="1:72" x14ac:dyDescent="0.25">
      <c r="A788" t="s">
        <v>72</v>
      </c>
      <c r="B788" t="s">
        <v>13462</v>
      </c>
      <c r="C788" t="s">
        <v>74</v>
      </c>
      <c r="D788" t="s">
        <v>74</v>
      </c>
      <c r="E788" t="s">
        <v>74</v>
      </c>
      <c r="F788" t="s">
        <v>13463</v>
      </c>
      <c r="G788" t="s">
        <v>74</v>
      </c>
      <c r="H788" t="s">
        <v>74</v>
      </c>
      <c r="I788" t="s">
        <v>13464</v>
      </c>
      <c r="J788" t="s">
        <v>424</v>
      </c>
      <c r="K788" t="s">
        <v>74</v>
      </c>
      <c r="L788" t="s">
        <v>74</v>
      </c>
      <c r="M788" t="s">
        <v>77</v>
      </c>
      <c r="N788" t="s">
        <v>78</v>
      </c>
      <c r="O788" t="s">
        <v>74</v>
      </c>
      <c r="P788" t="s">
        <v>74</v>
      </c>
      <c r="Q788" t="s">
        <v>74</v>
      </c>
      <c r="R788" t="s">
        <v>74</v>
      </c>
      <c r="S788" t="s">
        <v>74</v>
      </c>
      <c r="T788" t="s">
        <v>13465</v>
      </c>
      <c r="U788" t="s">
        <v>13466</v>
      </c>
      <c r="V788" t="s">
        <v>13467</v>
      </c>
      <c r="W788" t="s">
        <v>13468</v>
      </c>
      <c r="X788" t="s">
        <v>13469</v>
      </c>
      <c r="Y788" t="s">
        <v>13470</v>
      </c>
      <c r="Z788" t="s">
        <v>13471</v>
      </c>
      <c r="AA788" t="s">
        <v>13472</v>
      </c>
      <c r="AB788" t="s">
        <v>13473</v>
      </c>
      <c r="AC788" t="s">
        <v>74</v>
      </c>
      <c r="AD788" t="s">
        <v>74</v>
      </c>
      <c r="AE788" t="s">
        <v>74</v>
      </c>
      <c r="AF788" t="s">
        <v>74</v>
      </c>
      <c r="AG788">
        <v>60</v>
      </c>
      <c r="AH788">
        <v>5</v>
      </c>
      <c r="AI788">
        <v>5</v>
      </c>
      <c r="AJ788">
        <v>7</v>
      </c>
      <c r="AK788">
        <v>62</v>
      </c>
      <c r="AL788" t="s">
        <v>434</v>
      </c>
      <c r="AM788" t="s">
        <v>435</v>
      </c>
      <c r="AN788" t="s">
        <v>436</v>
      </c>
      <c r="AO788" t="s">
        <v>437</v>
      </c>
      <c r="AP788" t="s">
        <v>438</v>
      </c>
      <c r="AQ788" t="s">
        <v>74</v>
      </c>
      <c r="AR788" t="s">
        <v>439</v>
      </c>
      <c r="AS788" t="s">
        <v>440</v>
      </c>
      <c r="AT788" t="s">
        <v>792</v>
      </c>
      <c r="AU788">
        <v>2020</v>
      </c>
      <c r="AV788">
        <v>49</v>
      </c>
      <c r="AW788">
        <v>6</v>
      </c>
      <c r="AX788" t="s">
        <v>74</v>
      </c>
      <c r="AY788" t="s">
        <v>74</v>
      </c>
      <c r="AZ788" t="s">
        <v>74</v>
      </c>
      <c r="BA788" t="s">
        <v>74</v>
      </c>
      <c r="BB788" t="s">
        <v>74</v>
      </c>
      <c r="BC788" t="s">
        <v>74</v>
      </c>
      <c r="BD788">
        <v>103986</v>
      </c>
      <c r="BE788" t="s">
        <v>13474</v>
      </c>
      <c r="BF788" t="str">
        <f>HYPERLINK("http://dx.doi.org/10.1016/j.respol.2020.103986","http://dx.doi.org/10.1016/j.respol.2020.103986")</f>
        <v>http://dx.doi.org/10.1016/j.respol.2020.103986</v>
      </c>
      <c r="BG788" t="s">
        <v>74</v>
      </c>
      <c r="BH788" t="s">
        <v>74</v>
      </c>
      <c r="BI788">
        <v>10</v>
      </c>
      <c r="BJ788" t="s">
        <v>442</v>
      </c>
      <c r="BK788" t="s">
        <v>94</v>
      </c>
      <c r="BL788" t="s">
        <v>95</v>
      </c>
      <c r="BM788" t="s">
        <v>13475</v>
      </c>
      <c r="BN788" t="s">
        <v>74</v>
      </c>
      <c r="BO788" t="s">
        <v>4225</v>
      </c>
      <c r="BP788" t="s">
        <v>74</v>
      </c>
      <c r="BQ788" t="s">
        <v>74</v>
      </c>
      <c r="BR788" t="s">
        <v>97</v>
      </c>
      <c r="BS788" t="s">
        <v>13476</v>
      </c>
      <c r="BT788" t="str">
        <f>HYPERLINK("https%3A%2F%2Fwww.webofscience.com%2Fwos%2Fwoscc%2Ffull-record%2FWOS:000540272800005","View Full Record in Web of Science")</f>
        <v>View Full Record in Web of Science</v>
      </c>
    </row>
    <row r="789" spans="1:72" x14ac:dyDescent="0.25">
      <c r="A789" t="s">
        <v>72</v>
      </c>
      <c r="B789" t="s">
        <v>13477</v>
      </c>
      <c r="C789" t="s">
        <v>74</v>
      </c>
      <c r="D789" t="s">
        <v>74</v>
      </c>
      <c r="E789" t="s">
        <v>74</v>
      </c>
      <c r="F789" t="s">
        <v>13478</v>
      </c>
      <c r="G789" t="s">
        <v>74</v>
      </c>
      <c r="H789" t="s">
        <v>74</v>
      </c>
      <c r="I789" t="s">
        <v>13479</v>
      </c>
      <c r="J789" t="s">
        <v>13480</v>
      </c>
      <c r="K789" t="s">
        <v>74</v>
      </c>
      <c r="L789" t="s">
        <v>74</v>
      </c>
      <c r="M789" t="s">
        <v>77</v>
      </c>
      <c r="N789" t="s">
        <v>78</v>
      </c>
      <c r="O789" t="s">
        <v>74</v>
      </c>
      <c r="P789" t="s">
        <v>74</v>
      </c>
      <c r="Q789" t="s">
        <v>74</v>
      </c>
      <c r="R789" t="s">
        <v>74</v>
      </c>
      <c r="S789" t="s">
        <v>74</v>
      </c>
      <c r="T789" t="s">
        <v>13481</v>
      </c>
      <c r="U789" t="s">
        <v>13482</v>
      </c>
      <c r="V789" t="s">
        <v>13483</v>
      </c>
      <c r="W789" t="s">
        <v>13484</v>
      </c>
      <c r="X789" t="s">
        <v>12623</v>
      </c>
      <c r="Y789" t="s">
        <v>13485</v>
      </c>
      <c r="Z789" t="s">
        <v>13486</v>
      </c>
      <c r="AA789" t="s">
        <v>74</v>
      </c>
      <c r="AB789" t="s">
        <v>74</v>
      </c>
      <c r="AC789" t="s">
        <v>13487</v>
      </c>
      <c r="AD789" t="s">
        <v>13488</v>
      </c>
      <c r="AE789" t="s">
        <v>13489</v>
      </c>
      <c r="AF789" t="s">
        <v>74</v>
      </c>
      <c r="AG789">
        <v>101</v>
      </c>
      <c r="AH789">
        <v>5</v>
      </c>
      <c r="AI789">
        <v>5</v>
      </c>
      <c r="AJ789">
        <v>12</v>
      </c>
      <c r="AK789">
        <v>62</v>
      </c>
      <c r="AL789" t="s">
        <v>13490</v>
      </c>
      <c r="AM789" t="s">
        <v>644</v>
      </c>
      <c r="AN789" t="s">
        <v>13491</v>
      </c>
      <c r="AO789" t="s">
        <v>13492</v>
      </c>
      <c r="AP789" t="s">
        <v>13493</v>
      </c>
      <c r="AQ789" t="s">
        <v>74</v>
      </c>
      <c r="AR789" t="s">
        <v>13494</v>
      </c>
      <c r="AS789" t="s">
        <v>13495</v>
      </c>
      <c r="AT789" t="s">
        <v>584</v>
      </c>
      <c r="AU789">
        <v>2021</v>
      </c>
      <c r="AV789">
        <v>20</v>
      </c>
      <c r="AW789">
        <v>5</v>
      </c>
      <c r="AX789" t="s">
        <v>74</v>
      </c>
      <c r="AY789" t="s">
        <v>74</v>
      </c>
      <c r="AZ789" t="s">
        <v>74</v>
      </c>
      <c r="BA789" t="s">
        <v>74</v>
      </c>
      <c r="BB789">
        <v>618</v>
      </c>
      <c r="BC789">
        <v>643</v>
      </c>
      <c r="BD789" t="s">
        <v>74</v>
      </c>
      <c r="BE789" t="s">
        <v>13496</v>
      </c>
      <c r="BF789" t="str">
        <f>HYPERLINK("http://dx.doi.org/10.1057/s41291-019-00097-9","http://dx.doi.org/10.1057/s41291-019-00097-9")</f>
        <v>http://dx.doi.org/10.1057/s41291-019-00097-9</v>
      </c>
      <c r="BG789" t="s">
        <v>74</v>
      </c>
      <c r="BH789" t="s">
        <v>6185</v>
      </c>
      <c r="BI789">
        <v>26</v>
      </c>
      <c r="BJ789" t="s">
        <v>93</v>
      </c>
      <c r="BK789" t="s">
        <v>94</v>
      </c>
      <c r="BL789" t="s">
        <v>95</v>
      </c>
      <c r="BM789" t="s">
        <v>13497</v>
      </c>
      <c r="BN789" t="s">
        <v>74</v>
      </c>
      <c r="BO789" t="s">
        <v>74</v>
      </c>
      <c r="BP789" t="s">
        <v>74</v>
      </c>
      <c r="BQ789" t="s">
        <v>74</v>
      </c>
      <c r="BR789" t="s">
        <v>97</v>
      </c>
      <c r="BS789" t="s">
        <v>13498</v>
      </c>
      <c r="BT789" t="str">
        <f>HYPERLINK("https%3A%2F%2Fwww.webofscience.com%2Fwos%2Fwoscc%2Ffull-record%2FWOS:000543797200001","View Full Record in Web of Science")</f>
        <v>View Full Record in Web of Science</v>
      </c>
    </row>
    <row r="790" spans="1:72" x14ac:dyDescent="0.25">
      <c r="A790" t="s">
        <v>72</v>
      </c>
      <c r="B790" t="s">
        <v>13499</v>
      </c>
      <c r="C790" t="s">
        <v>74</v>
      </c>
      <c r="D790" t="s">
        <v>74</v>
      </c>
      <c r="E790" t="s">
        <v>74</v>
      </c>
      <c r="F790" t="s">
        <v>13500</v>
      </c>
      <c r="G790" t="s">
        <v>74</v>
      </c>
      <c r="H790" t="s">
        <v>74</v>
      </c>
      <c r="I790" t="s">
        <v>13501</v>
      </c>
      <c r="J790" t="s">
        <v>13502</v>
      </c>
      <c r="K790" t="s">
        <v>74</v>
      </c>
      <c r="L790" t="s">
        <v>74</v>
      </c>
      <c r="M790" t="s">
        <v>77</v>
      </c>
      <c r="N790" t="s">
        <v>78</v>
      </c>
      <c r="O790" t="s">
        <v>74</v>
      </c>
      <c r="P790" t="s">
        <v>74</v>
      </c>
      <c r="Q790" t="s">
        <v>74</v>
      </c>
      <c r="R790" t="s">
        <v>74</v>
      </c>
      <c r="S790" t="s">
        <v>74</v>
      </c>
      <c r="T790" t="s">
        <v>13503</v>
      </c>
      <c r="U790" t="s">
        <v>3244</v>
      </c>
      <c r="V790" t="s">
        <v>13504</v>
      </c>
      <c r="W790" t="s">
        <v>13505</v>
      </c>
      <c r="X790" t="s">
        <v>13506</v>
      </c>
      <c r="Y790" t="s">
        <v>13507</v>
      </c>
      <c r="Z790" t="s">
        <v>13508</v>
      </c>
      <c r="AA790" t="s">
        <v>74</v>
      </c>
      <c r="AB790" t="s">
        <v>74</v>
      </c>
      <c r="AC790" t="s">
        <v>13509</v>
      </c>
      <c r="AD790" t="s">
        <v>13510</v>
      </c>
      <c r="AE790" t="s">
        <v>13511</v>
      </c>
      <c r="AF790" t="s">
        <v>74</v>
      </c>
      <c r="AG790">
        <v>15</v>
      </c>
      <c r="AH790">
        <v>5</v>
      </c>
      <c r="AI790">
        <v>5</v>
      </c>
      <c r="AJ790">
        <v>11</v>
      </c>
      <c r="AK790">
        <v>35</v>
      </c>
      <c r="AL790" t="s">
        <v>13512</v>
      </c>
      <c r="AM790" t="s">
        <v>13513</v>
      </c>
      <c r="AN790" t="s">
        <v>13514</v>
      </c>
      <c r="AO790" t="s">
        <v>13515</v>
      </c>
      <c r="AP790" t="s">
        <v>13516</v>
      </c>
      <c r="AQ790" t="s">
        <v>74</v>
      </c>
      <c r="AR790" t="s">
        <v>13517</v>
      </c>
      <c r="AS790" t="s">
        <v>13518</v>
      </c>
      <c r="AT790" t="s">
        <v>375</v>
      </c>
      <c r="AU790">
        <v>2019</v>
      </c>
      <c r="AV790" t="s">
        <v>74</v>
      </c>
      <c r="AW790" t="s">
        <v>74</v>
      </c>
      <c r="AX790" t="s">
        <v>74</v>
      </c>
      <c r="AY790" t="s">
        <v>74</v>
      </c>
      <c r="AZ790">
        <v>98</v>
      </c>
      <c r="BA790" t="s">
        <v>74</v>
      </c>
      <c r="BB790">
        <v>339</v>
      </c>
      <c r="BC790">
        <v>343</v>
      </c>
      <c r="BD790" t="s">
        <v>74</v>
      </c>
      <c r="BE790" t="s">
        <v>13519</v>
      </c>
      <c r="BF790" t="str">
        <f>HYPERLINK("http://dx.doi.org/10.2112/SI98-080.1","http://dx.doi.org/10.2112/SI98-080.1")</f>
        <v>http://dx.doi.org/10.2112/SI98-080.1</v>
      </c>
      <c r="BG790" t="s">
        <v>74</v>
      </c>
      <c r="BH790" t="s">
        <v>74</v>
      </c>
      <c r="BI790">
        <v>5</v>
      </c>
      <c r="BJ790" t="s">
        <v>13520</v>
      </c>
      <c r="BK790" t="s">
        <v>147</v>
      </c>
      <c r="BL790" t="s">
        <v>3369</v>
      </c>
      <c r="BM790" t="s">
        <v>13521</v>
      </c>
      <c r="BN790" t="s">
        <v>74</v>
      </c>
      <c r="BO790" t="s">
        <v>74</v>
      </c>
      <c r="BP790" t="s">
        <v>74</v>
      </c>
      <c r="BQ790" t="s">
        <v>74</v>
      </c>
      <c r="BR790" t="s">
        <v>97</v>
      </c>
      <c r="BS790" t="s">
        <v>13522</v>
      </c>
      <c r="BT790" t="str">
        <f>HYPERLINK("https%3A%2F%2Fwww.webofscience.com%2Fwos%2Fwoscc%2Ffull-record%2FWOS:000505953800080","View Full Record in Web of Science")</f>
        <v>View Full Record in Web of Science</v>
      </c>
    </row>
    <row r="791" spans="1:72" x14ac:dyDescent="0.25">
      <c r="A791" t="s">
        <v>72</v>
      </c>
      <c r="B791" t="s">
        <v>4790</v>
      </c>
      <c r="C791" t="s">
        <v>74</v>
      </c>
      <c r="D791" t="s">
        <v>74</v>
      </c>
      <c r="E791" t="s">
        <v>74</v>
      </c>
      <c r="F791" t="s">
        <v>4791</v>
      </c>
      <c r="G791" t="s">
        <v>74</v>
      </c>
      <c r="H791" t="s">
        <v>74</v>
      </c>
      <c r="I791" t="s">
        <v>13523</v>
      </c>
      <c r="J791" t="s">
        <v>466</v>
      </c>
      <c r="K791" t="s">
        <v>74</v>
      </c>
      <c r="L791" t="s">
        <v>74</v>
      </c>
      <c r="M791" t="s">
        <v>77</v>
      </c>
      <c r="N791" t="s">
        <v>78</v>
      </c>
      <c r="O791" t="s">
        <v>74</v>
      </c>
      <c r="P791" t="s">
        <v>74</v>
      </c>
      <c r="Q791" t="s">
        <v>74</v>
      </c>
      <c r="R791" t="s">
        <v>74</v>
      </c>
      <c r="S791" t="s">
        <v>74</v>
      </c>
      <c r="T791" t="s">
        <v>13524</v>
      </c>
      <c r="U791" t="s">
        <v>13525</v>
      </c>
      <c r="V791" t="s">
        <v>13526</v>
      </c>
      <c r="W791" t="s">
        <v>13527</v>
      </c>
      <c r="X791" t="s">
        <v>4797</v>
      </c>
      <c r="Y791" t="s">
        <v>13528</v>
      </c>
      <c r="Z791" t="s">
        <v>13529</v>
      </c>
      <c r="AA791" t="s">
        <v>5188</v>
      </c>
      <c r="AB791" t="s">
        <v>5189</v>
      </c>
      <c r="AC791" t="s">
        <v>13530</v>
      </c>
      <c r="AD791" t="s">
        <v>13531</v>
      </c>
      <c r="AE791" t="s">
        <v>13532</v>
      </c>
      <c r="AF791" t="s">
        <v>74</v>
      </c>
      <c r="AG791">
        <v>32</v>
      </c>
      <c r="AH791">
        <v>5</v>
      </c>
      <c r="AI791">
        <v>5</v>
      </c>
      <c r="AJ791">
        <v>0</v>
      </c>
      <c r="AK791">
        <v>13</v>
      </c>
      <c r="AL791" t="s">
        <v>218</v>
      </c>
      <c r="AM791" t="s">
        <v>219</v>
      </c>
      <c r="AN791" t="s">
        <v>220</v>
      </c>
      <c r="AO791" t="s">
        <v>476</v>
      </c>
      <c r="AP791" t="s">
        <v>477</v>
      </c>
      <c r="AQ791" t="s">
        <v>74</v>
      </c>
      <c r="AR791" t="s">
        <v>478</v>
      </c>
      <c r="AS791" t="s">
        <v>479</v>
      </c>
      <c r="AT791" t="s">
        <v>496</v>
      </c>
      <c r="AU791">
        <v>2019</v>
      </c>
      <c r="AV791">
        <v>53</v>
      </c>
      <c r="AW791">
        <v>3</v>
      </c>
      <c r="AX791" t="s">
        <v>74</v>
      </c>
      <c r="AY791" t="s">
        <v>74</v>
      </c>
      <c r="AZ791" t="s">
        <v>74</v>
      </c>
      <c r="BA791" t="s">
        <v>74</v>
      </c>
      <c r="BB791">
        <v>404</v>
      </c>
      <c r="BC791">
        <v>410</v>
      </c>
      <c r="BD791" t="s">
        <v>74</v>
      </c>
      <c r="BE791" t="s">
        <v>13533</v>
      </c>
      <c r="BF791" t="str">
        <f>HYPERLINK("http://dx.doi.org/10.1002/jocb.215","http://dx.doi.org/10.1002/jocb.215")</f>
        <v>http://dx.doi.org/10.1002/jocb.215</v>
      </c>
      <c r="BG791" t="s">
        <v>74</v>
      </c>
      <c r="BH791" t="s">
        <v>74</v>
      </c>
      <c r="BI791">
        <v>7</v>
      </c>
      <c r="BJ791" t="s">
        <v>481</v>
      </c>
      <c r="BK791" t="s">
        <v>94</v>
      </c>
      <c r="BL791" t="s">
        <v>460</v>
      </c>
      <c r="BM791" t="s">
        <v>13534</v>
      </c>
      <c r="BN791" t="s">
        <v>74</v>
      </c>
      <c r="BO791" t="s">
        <v>74</v>
      </c>
      <c r="BP791" t="s">
        <v>74</v>
      </c>
      <c r="BQ791" t="s">
        <v>74</v>
      </c>
      <c r="BR791" t="s">
        <v>97</v>
      </c>
      <c r="BS791" t="s">
        <v>13535</v>
      </c>
      <c r="BT791" t="str">
        <f>HYPERLINK("https%3A%2F%2Fwww.webofscience.com%2Fwos%2Fwoscc%2Ffull-record%2FWOS:000486229700013","View Full Record in Web of Science")</f>
        <v>View Full Record in Web of Science</v>
      </c>
    </row>
    <row r="792" spans="1:72" x14ac:dyDescent="0.25">
      <c r="A792" t="s">
        <v>72</v>
      </c>
      <c r="B792" t="s">
        <v>13536</v>
      </c>
      <c r="C792" t="s">
        <v>74</v>
      </c>
      <c r="D792" t="s">
        <v>74</v>
      </c>
      <c r="E792" t="s">
        <v>74</v>
      </c>
      <c r="F792" t="s">
        <v>13537</v>
      </c>
      <c r="G792" t="s">
        <v>74</v>
      </c>
      <c r="H792" t="s">
        <v>74</v>
      </c>
      <c r="I792" t="s">
        <v>13538</v>
      </c>
      <c r="J792" t="s">
        <v>13539</v>
      </c>
      <c r="K792" t="s">
        <v>74</v>
      </c>
      <c r="L792" t="s">
        <v>74</v>
      </c>
      <c r="M792" t="s">
        <v>77</v>
      </c>
      <c r="N792" t="s">
        <v>78</v>
      </c>
      <c r="O792" t="s">
        <v>74</v>
      </c>
      <c r="P792" t="s">
        <v>74</v>
      </c>
      <c r="Q792" t="s">
        <v>74</v>
      </c>
      <c r="R792" t="s">
        <v>74</v>
      </c>
      <c r="S792" t="s">
        <v>74</v>
      </c>
      <c r="T792" t="s">
        <v>13540</v>
      </c>
      <c r="U792" t="s">
        <v>13541</v>
      </c>
      <c r="V792" t="s">
        <v>13542</v>
      </c>
      <c r="W792" t="s">
        <v>13543</v>
      </c>
      <c r="X792" t="s">
        <v>74</v>
      </c>
      <c r="Y792" t="s">
        <v>13544</v>
      </c>
      <c r="Z792" t="s">
        <v>13545</v>
      </c>
      <c r="AA792" t="s">
        <v>13546</v>
      </c>
      <c r="AB792" t="s">
        <v>13547</v>
      </c>
      <c r="AC792" t="s">
        <v>74</v>
      </c>
      <c r="AD792" t="s">
        <v>74</v>
      </c>
      <c r="AE792" t="s">
        <v>74</v>
      </c>
      <c r="AF792" t="s">
        <v>74</v>
      </c>
      <c r="AG792">
        <v>66</v>
      </c>
      <c r="AH792">
        <v>5</v>
      </c>
      <c r="AI792">
        <v>7</v>
      </c>
      <c r="AJ792">
        <v>2</v>
      </c>
      <c r="AK792">
        <v>16</v>
      </c>
      <c r="AL792" t="s">
        <v>766</v>
      </c>
      <c r="AM792" t="s">
        <v>330</v>
      </c>
      <c r="AN792" t="s">
        <v>1452</v>
      </c>
      <c r="AO792" t="s">
        <v>13548</v>
      </c>
      <c r="AP792" t="s">
        <v>13549</v>
      </c>
      <c r="AQ792" t="s">
        <v>74</v>
      </c>
      <c r="AR792" t="s">
        <v>13550</v>
      </c>
      <c r="AS792" t="s">
        <v>13551</v>
      </c>
      <c r="AT792" t="s">
        <v>200</v>
      </c>
      <c r="AU792">
        <v>2019</v>
      </c>
      <c r="AV792">
        <v>10</v>
      </c>
      <c r="AW792">
        <v>1</v>
      </c>
      <c r="AX792" t="s">
        <v>74</v>
      </c>
      <c r="AY792" t="s">
        <v>74</v>
      </c>
      <c r="AZ792" t="s">
        <v>74</v>
      </c>
      <c r="BA792" t="s">
        <v>74</v>
      </c>
      <c r="BB792">
        <v>298</v>
      </c>
      <c r="BC792">
        <v>317</v>
      </c>
      <c r="BD792" t="s">
        <v>74</v>
      </c>
      <c r="BE792" t="s">
        <v>13552</v>
      </c>
      <c r="BF792" t="str">
        <f>HYPERLINK("http://dx.doi.org/10.1007/s13132-017-0458-0","http://dx.doi.org/10.1007/s13132-017-0458-0")</f>
        <v>http://dx.doi.org/10.1007/s13132-017-0458-0</v>
      </c>
      <c r="BG792" t="s">
        <v>74</v>
      </c>
      <c r="BH792" t="s">
        <v>74</v>
      </c>
      <c r="BI792">
        <v>20</v>
      </c>
      <c r="BJ792" t="s">
        <v>2599</v>
      </c>
      <c r="BK792" t="s">
        <v>94</v>
      </c>
      <c r="BL792" t="s">
        <v>95</v>
      </c>
      <c r="BM792" t="s">
        <v>13553</v>
      </c>
      <c r="BN792" t="s">
        <v>74</v>
      </c>
      <c r="BO792" t="s">
        <v>74</v>
      </c>
      <c r="BP792" t="s">
        <v>74</v>
      </c>
      <c r="BQ792" t="s">
        <v>74</v>
      </c>
      <c r="BR792" t="s">
        <v>97</v>
      </c>
      <c r="BS792" t="s">
        <v>13554</v>
      </c>
      <c r="BT792" t="str">
        <f>HYPERLINK("https%3A%2F%2Fwww.webofscience.com%2Fwos%2Fwoscc%2Ffull-record%2FWOS:000463092700016","View Full Record in Web of Science")</f>
        <v>View Full Record in Web of Science</v>
      </c>
    </row>
    <row r="793" spans="1:72" x14ac:dyDescent="0.25">
      <c r="A793" t="s">
        <v>72</v>
      </c>
      <c r="B793" t="s">
        <v>13555</v>
      </c>
      <c r="C793" t="s">
        <v>74</v>
      </c>
      <c r="D793" t="s">
        <v>74</v>
      </c>
      <c r="E793" t="s">
        <v>74</v>
      </c>
      <c r="F793" t="s">
        <v>13556</v>
      </c>
      <c r="G793" t="s">
        <v>74</v>
      </c>
      <c r="H793" t="s">
        <v>74</v>
      </c>
      <c r="I793" t="s">
        <v>13557</v>
      </c>
      <c r="J793" t="s">
        <v>6796</v>
      </c>
      <c r="K793" t="s">
        <v>74</v>
      </c>
      <c r="L793" t="s">
        <v>74</v>
      </c>
      <c r="M793" t="s">
        <v>77</v>
      </c>
      <c r="N793" t="s">
        <v>78</v>
      </c>
      <c r="O793" t="s">
        <v>74</v>
      </c>
      <c r="P793" t="s">
        <v>74</v>
      </c>
      <c r="Q793" t="s">
        <v>74</v>
      </c>
      <c r="R793" t="s">
        <v>74</v>
      </c>
      <c r="S793" t="s">
        <v>74</v>
      </c>
      <c r="T793" t="s">
        <v>13558</v>
      </c>
      <c r="U793" t="s">
        <v>13559</v>
      </c>
      <c r="V793" t="s">
        <v>13560</v>
      </c>
      <c r="W793" t="s">
        <v>13561</v>
      </c>
      <c r="X793" t="s">
        <v>13562</v>
      </c>
      <c r="Y793" t="s">
        <v>13563</v>
      </c>
      <c r="Z793" t="s">
        <v>13564</v>
      </c>
      <c r="AA793" t="s">
        <v>74</v>
      </c>
      <c r="AB793" t="s">
        <v>74</v>
      </c>
      <c r="AC793" t="s">
        <v>74</v>
      </c>
      <c r="AD793" t="s">
        <v>74</v>
      </c>
      <c r="AE793" t="s">
        <v>74</v>
      </c>
      <c r="AF793" t="s">
        <v>74</v>
      </c>
      <c r="AG793">
        <v>138</v>
      </c>
      <c r="AH793">
        <v>5</v>
      </c>
      <c r="AI793">
        <v>5</v>
      </c>
      <c r="AJ793">
        <v>0</v>
      </c>
      <c r="AK793">
        <v>39</v>
      </c>
      <c r="AL793" t="s">
        <v>766</v>
      </c>
      <c r="AM793" t="s">
        <v>1193</v>
      </c>
      <c r="AN793" t="s">
        <v>1498</v>
      </c>
      <c r="AO793" t="s">
        <v>6806</v>
      </c>
      <c r="AP793" t="s">
        <v>6807</v>
      </c>
      <c r="AQ793" t="s">
        <v>74</v>
      </c>
      <c r="AR793" t="s">
        <v>6808</v>
      </c>
      <c r="AS793" t="s">
        <v>6809</v>
      </c>
      <c r="AT793" t="s">
        <v>256</v>
      </c>
      <c r="AU793">
        <v>2018</v>
      </c>
      <c r="AV793">
        <v>11</v>
      </c>
      <c r="AW793">
        <v>3</v>
      </c>
      <c r="AX793" t="s">
        <v>74</v>
      </c>
      <c r="AY793" t="s">
        <v>74</v>
      </c>
      <c r="AZ793" t="s">
        <v>74</v>
      </c>
      <c r="BA793" t="s">
        <v>74</v>
      </c>
      <c r="BB793">
        <v>399</v>
      </c>
      <c r="BC793">
        <v>423</v>
      </c>
      <c r="BD793" t="s">
        <v>74</v>
      </c>
      <c r="BE793" t="s">
        <v>13565</v>
      </c>
      <c r="BF793" t="str">
        <f>HYPERLINK("http://dx.doi.org/10.1007/s12186-017-9194-7","http://dx.doi.org/10.1007/s12186-017-9194-7")</f>
        <v>http://dx.doi.org/10.1007/s12186-017-9194-7</v>
      </c>
      <c r="BG793" t="s">
        <v>74</v>
      </c>
      <c r="BH793" t="s">
        <v>74</v>
      </c>
      <c r="BI793">
        <v>25</v>
      </c>
      <c r="BJ793" t="s">
        <v>815</v>
      </c>
      <c r="BK793" t="s">
        <v>94</v>
      </c>
      <c r="BL793" t="s">
        <v>815</v>
      </c>
      <c r="BM793" t="s">
        <v>13566</v>
      </c>
      <c r="BN793" t="s">
        <v>74</v>
      </c>
      <c r="BO793" t="s">
        <v>74</v>
      </c>
      <c r="BP793" t="s">
        <v>74</v>
      </c>
      <c r="BQ793" t="s">
        <v>74</v>
      </c>
      <c r="BR793" t="s">
        <v>97</v>
      </c>
      <c r="BS793" t="s">
        <v>13567</v>
      </c>
      <c r="BT793" t="str">
        <f>HYPERLINK("https%3A%2F%2Fwww.webofscience.com%2Fwos%2Fwoscc%2Ffull-record%2FWOS:000446204200002","View Full Record in Web of Science")</f>
        <v>View Full Record in Web of Science</v>
      </c>
    </row>
    <row r="794" spans="1:72" x14ac:dyDescent="0.25">
      <c r="A794" t="s">
        <v>72</v>
      </c>
      <c r="B794" t="s">
        <v>13568</v>
      </c>
      <c r="C794" t="s">
        <v>74</v>
      </c>
      <c r="D794" t="s">
        <v>74</v>
      </c>
      <c r="E794" t="s">
        <v>74</v>
      </c>
      <c r="F794" t="s">
        <v>13569</v>
      </c>
      <c r="G794" t="s">
        <v>74</v>
      </c>
      <c r="H794" t="s">
        <v>74</v>
      </c>
      <c r="I794" t="s">
        <v>13570</v>
      </c>
      <c r="J794" t="s">
        <v>6058</v>
      </c>
      <c r="K794" t="s">
        <v>74</v>
      </c>
      <c r="L794" t="s">
        <v>74</v>
      </c>
      <c r="M794" t="s">
        <v>77</v>
      </c>
      <c r="N794" t="s">
        <v>78</v>
      </c>
      <c r="O794" t="s">
        <v>74</v>
      </c>
      <c r="P794" t="s">
        <v>74</v>
      </c>
      <c r="Q794" t="s">
        <v>74</v>
      </c>
      <c r="R794" t="s">
        <v>74</v>
      </c>
      <c r="S794" t="s">
        <v>74</v>
      </c>
      <c r="T794" t="s">
        <v>13571</v>
      </c>
      <c r="U794" t="s">
        <v>13572</v>
      </c>
      <c r="V794" t="s">
        <v>13573</v>
      </c>
      <c r="W794" t="s">
        <v>13574</v>
      </c>
      <c r="X794" t="s">
        <v>13575</v>
      </c>
      <c r="Y794" t="s">
        <v>13576</v>
      </c>
      <c r="Z794" t="s">
        <v>13577</v>
      </c>
      <c r="AA794" t="s">
        <v>74</v>
      </c>
      <c r="AB794" t="s">
        <v>13578</v>
      </c>
      <c r="AC794" t="s">
        <v>74</v>
      </c>
      <c r="AD794" t="s">
        <v>74</v>
      </c>
      <c r="AE794" t="s">
        <v>74</v>
      </c>
      <c r="AF794" t="s">
        <v>74</v>
      </c>
      <c r="AG794">
        <v>40</v>
      </c>
      <c r="AH794">
        <v>5</v>
      </c>
      <c r="AI794">
        <v>5</v>
      </c>
      <c r="AJ794">
        <v>2</v>
      </c>
      <c r="AK794">
        <v>16</v>
      </c>
      <c r="AL794" t="s">
        <v>6068</v>
      </c>
      <c r="AM794" t="s">
        <v>6069</v>
      </c>
      <c r="AN794" t="s">
        <v>6070</v>
      </c>
      <c r="AO794" t="s">
        <v>6071</v>
      </c>
      <c r="AP794" t="s">
        <v>74</v>
      </c>
      <c r="AQ794" t="s">
        <v>74</v>
      </c>
      <c r="AR794" t="s">
        <v>6072</v>
      </c>
      <c r="AS794" t="s">
        <v>6073</v>
      </c>
      <c r="AT794" t="s">
        <v>74</v>
      </c>
      <c r="AU794">
        <v>2018</v>
      </c>
      <c r="AV794">
        <v>34</v>
      </c>
      <c r="AW794">
        <v>3</v>
      </c>
      <c r="AX794" t="s">
        <v>74</v>
      </c>
      <c r="AY794" t="s">
        <v>74</v>
      </c>
      <c r="AZ794" t="s">
        <v>860</v>
      </c>
      <c r="BA794" t="s">
        <v>74</v>
      </c>
      <c r="BB794">
        <v>1049</v>
      </c>
      <c r="BC794">
        <v>1059</v>
      </c>
      <c r="BD794" t="s">
        <v>74</v>
      </c>
      <c r="BE794" t="s">
        <v>74</v>
      </c>
      <c r="BF794" t="s">
        <v>74</v>
      </c>
      <c r="BG794" t="s">
        <v>74</v>
      </c>
      <c r="BH794" t="s">
        <v>74</v>
      </c>
      <c r="BI794">
        <v>11</v>
      </c>
      <c r="BJ794" t="s">
        <v>6074</v>
      </c>
      <c r="BK794" t="s">
        <v>147</v>
      </c>
      <c r="BL794" t="s">
        <v>6075</v>
      </c>
      <c r="BM794" t="s">
        <v>13579</v>
      </c>
      <c r="BN794" t="s">
        <v>74</v>
      </c>
      <c r="BO794" t="s">
        <v>74</v>
      </c>
      <c r="BP794" t="s">
        <v>74</v>
      </c>
      <c r="BQ794" t="s">
        <v>74</v>
      </c>
      <c r="BR794" t="s">
        <v>97</v>
      </c>
      <c r="BS794" t="s">
        <v>13580</v>
      </c>
      <c r="BT794" t="str">
        <f>HYPERLINK("https%3A%2F%2Fwww.webofscience.com%2Fwos%2Fwoscc%2Ffull-record%2FWOS:000443168300019","View Full Record in Web of Science")</f>
        <v>View Full Record in Web of Science</v>
      </c>
    </row>
    <row r="795" spans="1:72" x14ac:dyDescent="0.25">
      <c r="A795" t="s">
        <v>72</v>
      </c>
      <c r="B795" t="s">
        <v>13581</v>
      </c>
      <c r="C795" t="s">
        <v>74</v>
      </c>
      <c r="D795" t="s">
        <v>74</v>
      </c>
      <c r="E795" t="s">
        <v>74</v>
      </c>
      <c r="F795" t="s">
        <v>13582</v>
      </c>
      <c r="G795" t="s">
        <v>74</v>
      </c>
      <c r="H795" t="s">
        <v>74</v>
      </c>
      <c r="I795" t="s">
        <v>13583</v>
      </c>
      <c r="J795" t="s">
        <v>13584</v>
      </c>
      <c r="K795" t="s">
        <v>74</v>
      </c>
      <c r="L795" t="s">
        <v>74</v>
      </c>
      <c r="M795" t="s">
        <v>77</v>
      </c>
      <c r="N795" t="s">
        <v>78</v>
      </c>
      <c r="O795" t="s">
        <v>74</v>
      </c>
      <c r="P795" t="s">
        <v>74</v>
      </c>
      <c r="Q795" t="s">
        <v>74</v>
      </c>
      <c r="R795" t="s">
        <v>74</v>
      </c>
      <c r="S795" t="s">
        <v>74</v>
      </c>
      <c r="T795" t="s">
        <v>13585</v>
      </c>
      <c r="U795" t="s">
        <v>13586</v>
      </c>
      <c r="V795" t="s">
        <v>13587</v>
      </c>
      <c r="W795" t="s">
        <v>13588</v>
      </c>
      <c r="X795" t="s">
        <v>13589</v>
      </c>
      <c r="Y795" t="s">
        <v>13590</v>
      </c>
      <c r="Z795" t="s">
        <v>13591</v>
      </c>
      <c r="AA795" t="s">
        <v>13592</v>
      </c>
      <c r="AB795" t="s">
        <v>13593</v>
      </c>
      <c r="AC795" t="s">
        <v>74</v>
      </c>
      <c r="AD795" t="s">
        <v>74</v>
      </c>
      <c r="AE795" t="s">
        <v>74</v>
      </c>
      <c r="AF795" t="s">
        <v>74</v>
      </c>
      <c r="AG795">
        <v>42</v>
      </c>
      <c r="AH795">
        <v>5</v>
      </c>
      <c r="AI795">
        <v>5</v>
      </c>
      <c r="AJ795">
        <v>0</v>
      </c>
      <c r="AK795">
        <v>8</v>
      </c>
      <c r="AL795" t="s">
        <v>13594</v>
      </c>
      <c r="AM795" t="s">
        <v>13595</v>
      </c>
      <c r="AN795" t="s">
        <v>13596</v>
      </c>
      <c r="AO795" t="s">
        <v>13597</v>
      </c>
      <c r="AP795" t="s">
        <v>74</v>
      </c>
      <c r="AQ795" t="s">
        <v>74</v>
      </c>
      <c r="AR795" t="s">
        <v>13598</v>
      </c>
      <c r="AS795" t="s">
        <v>13599</v>
      </c>
      <c r="AT795" t="s">
        <v>74</v>
      </c>
      <c r="AU795">
        <v>2018</v>
      </c>
      <c r="AV795">
        <v>21</v>
      </c>
      <c r="AW795">
        <v>3</v>
      </c>
      <c r="AX795" t="s">
        <v>74</v>
      </c>
      <c r="AY795" t="s">
        <v>74</v>
      </c>
      <c r="AZ795" t="s">
        <v>74</v>
      </c>
      <c r="BA795" t="s">
        <v>74</v>
      </c>
      <c r="BB795">
        <v>188</v>
      </c>
      <c r="BC795">
        <v>204</v>
      </c>
      <c r="BD795" t="s">
        <v>74</v>
      </c>
      <c r="BE795" t="s">
        <v>13600</v>
      </c>
      <c r="BF795" t="str">
        <f>HYPERLINK("http://dx.doi.org/10.15240/tul/001/2018-3-012","http://dx.doi.org/10.15240/tul/001/2018-3-012")</f>
        <v>http://dx.doi.org/10.15240/tul/001/2018-3-012</v>
      </c>
      <c r="BG795" t="s">
        <v>74</v>
      </c>
      <c r="BH795" t="s">
        <v>74</v>
      </c>
      <c r="BI795">
        <v>17</v>
      </c>
      <c r="BJ795" t="s">
        <v>7947</v>
      </c>
      <c r="BK795" t="s">
        <v>94</v>
      </c>
      <c r="BL795" t="s">
        <v>95</v>
      </c>
      <c r="BM795" t="s">
        <v>13601</v>
      </c>
      <c r="BN795" t="s">
        <v>74</v>
      </c>
      <c r="BO795" t="s">
        <v>7522</v>
      </c>
      <c r="BP795" t="s">
        <v>74</v>
      </c>
      <c r="BQ795" t="s">
        <v>74</v>
      </c>
      <c r="BR795" t="s">
        <v>97</v>
      </c>
      <c r="BS795" t="s">
        <v>13602</v>
      </c>
      <c r="BT795" t="str">
        <f>HYPERLINK("https%3A%2F%2Fwww.webofscience.com%2Fwos%2Fwoscc%2Ffull-record%2FWOS:000444450000012","View Full Record in Web of Science")</f>
        <v>View Full Record in Web of Science</v>
      </c>
    </row>
    <row r="796" spans="1:72" x14ac:dyDescent="0.25">
      <c r="A796" t="s">
        <v>72</v>
      </c>
      <c r="B796" t="s">
        <v>13603</v>
      </c>
      <c r="C796" t="s">
        <v>74</v>
      </c>
      <c r="D796" t="s">
        <v>74</v>
      </c>
      <c r="E796" t="s">
        <v>74</v>
      </c>
      <c r="F796" t="s">
        <v>13604</v>
      </c>
      <c r="G796" t="s">
        <v>74</v>
      </c>
      <c r="H796" t="s">
        <v>74</v>
      </c>
      <c r="I796" t="s">
        <v>13605</v>
      </c>
      <c r="J796" t="s">
        <v>3561</v>
      </c>
      <c r="K796" t="s">
        <v>74</v>
      </c>
      <c r="L796" t="s">
        <v>74</v>
      </c>
      <c r="M796" t="s">
        <v>77</v>
      </c>
      <c r="N796" t="s">
        <v>78</v>
      </c>
      <c r="O796" t="s">
        <v>74</v>
      </c>
      <c r="P796" t="s">
        <v>74</v>
      </c>
      <c r="Q796" t="s">
        <v>74</v>
      </c>
      <c r="R796" t="s">
        <v>74</v>
      </c>
      <c r="S796" t="s">
        <v>74</v>
      </c>
      <c r="T796" t="s">
        <v>13606</v>
      </c>
      <c r="U796" t="s">
        <v>13607</v>
      </c>
      <c r="V796" t="s">
        <v>13608</v>
      </c>
      <c r="W796" t="s">
        <v>13609</v>
      </c>
      <c r="X796" t="s">
        <v>13610</v>
      </c>
      <c r="Y796" t="s">
        <v>13611</v>
      </c>
      <c r="Z796" t="s">
        <v>13612</v>
      </c>
      <c r="AA796" t="s">
        <v>13613</v>
      </c>
      <c r="AB796" t="s">
        <v>13614</v>
      </c>
      <c r="AC796" t="s">
        <v>13615</v>
      </c>
      <c r="AD796" t="s">
        <v>13616</v>
      </c>
      <c r="AE796" t="s">
        <v>13617</v>
      </c>
      <c r="AF796" t="s">
        <v>74</v>
      </c>
      <c r="AG796">
        <v>79</v>
      </c>
      <c r="AH796">
        <v>5</v>
      </c>
      <c r="AI796">
        <v>5</v>
      </c>
      <c r="AJ796">
        <v>0</v>
      </c>
      <c r="AK796">
        <v>41</v>
      </c>
      <c r="AL796" t="s">
        <v>665</v>
      </c>
      <c r="AM796" t="s">
        <v>666</v>
      </c>
      <c r="AN796" t="s">
        <v>667</v>
      </c>
      <c r="AO796" t="s">
        <v>3574</v>
      </c>
      <c r="AP796" t="s">
        <v>3575</v>
      </c>
      <c r="AQ796" t="s">
        <v>74</v>
      </c>
      <c r="AR796" t="s">
        <v>3576</v>
      </c>
      <c r="AS796" t="s">
        <v>3577</v>
      </c>
      <c r="AT796" t="s">
        <v>74</v>
      </c>
      <c r="AU796">
        <v>2018</v>
      </c>
      <c r="AV796">
        <v>13</v>
      </c>
      <c r="AW796">
        <v>4</v>
      </c>
      <c r="AX796" t="s">
        <v>74</v>
      </c>
      <c r="AY796" t="s">
        <v>74</v>
      </c>
      <c r="AZ796" t="s">
        <v>74</v>
      </c>
      <c r="BA796" t="s">
        <v>74</v>
      </c>
      <c r="BB796">
        <v>564</v>
      </c>
      <c r="BC796">
        <v>581</v>
      </c>
      <c r="BD796" t="s">
        <v>74</v>
      </c>
      <c r="BE796" t="s">
        <v>13618</v>
      </c>
      <c r="BF796" t="str">
        <f>HYPERLINK("http://dx.doi.org/10.1108/BJM-09-2017-0279","http://dx.doi.org/10.1108/BJM-09-2017-0279")</f>
        <v>http://dx.doi.org/10.1108/BJM-09-2017-0279</v>
      </c>
      <c r="BG796" t="s">
        <v>74</v>
      </c>
      <c r="BH796" t="s">
        <v>74</v>
      </c>
      <c r="BI796">
        <v>18</v>
      </c>
      <c r="BJ796" t="s">
        <v>442</v>
      </c>
      <c r="BK796" t="s">
        <v>94</v>
      </c>
      <c r="BL796" t="s">
        <v>95</v>
      </c>
      <c r="BM796" t="s">
        <v>13619</v>
      </c>
      <c r="BN796" t="s">
        <v>74</v>
      </c>
      <c r="BO796" t="s">
        <v>74</v>
      </c>
      <c r="BP796" t="s">
        <v>74</v>
      </c>
      <c r="BQ796" t="s">
        <v>74</v>
      </c>
      <c r="BR796" t="s">
        <v>97</v>
      </c>
      <c r="BS796" t="s">
        <v>13620</v>
      </c>
      <c r="BT796" t="str">
        <f>HYPERLINK("https%3A%2F%2Fwww.webofscience.com%2Fwos%2Fwoscc%2Ffull-record%2FWOS:000444476800009","View Full Record in Web of Science")</f>
        <v>View Full Record in Web of Science</v>
      </c>
    </row>
    <row r="797" spans="1:72" x14ac:dyDescent="0.25">
      <c r="A797" t="s">
        <v>72</v>
      </c>
      <c r="B797" t="s">
        <v>13621</v>
      </c>
      <c r="C797" t="s">
        <v>74</v>
      </c>
      <c r="D797" t="s">
        <v>74</v>
      </c>
      <c r="E797" t="s">
        <v>74</v>
      </c>
      <c r="F797" t="s">
        <v>13622</v>
      </c>
      <c r="G797" t="s">
        <v>74</v>
      </c>
      <c r="H797" t="s">
        <v>74</v>
      </c>
      <c r="I797" t="s">
        <v>13623</v>
      </c>
      <c r="J797" t="s">
        <v>13624</v>
      </c>
      <c r="K797" t="s">
        <v>74</v>
      </c>
      <c r="L797" t="s">
        <v>74</v>
      </c>
      <c r="M797" t="s">
        <v>77</v>
      </c>
      <c r="N797" t="s">
        <v>78</v>
      </c>
      <c r="O797" t="s">
        <v>74</v>
      </c>
      <c r="P797" t="s">
        <v>74</v>
      </c>
      <c r="Q797" t="s">
        <v>74</v>
      </c>
      <c r="R797" t="s">
        <v>74</v>
      </c>
      <c r="S797" t="s">
        <v>74</v>
      </c>
      <c r="T797" t="s">
        <v>13625</v>
      </c>
      <c r="U797" t="s">
        <v>13626</v>
      </c>
      <c r="V797" t="s">
        <v>13627</v>
      </c>
      <c r="W797" t="s">
        <v>13628</v>
      </c>
      <c r="X797" t="s">
        <v>13629</v>
      </c>
      <c r="Y797" t="s">
        <v>13630</v>
      </c>
      <c r="Z797" t="s">
        <v>13631</v>
      </c>
      <c r="AA797" t="s">
        <v>74</v>
      </c>
      <c r="AB797" t="s">
        <v>74</v>
      </c>
      <c r="AC797" t="s">
        <v>13632</v>
      </c>
      <c r="AD797" t="s">
        <v>13632</v>
      </c>
      <c r="AE797" t="s">
        <v>13633</v>
      </c>
      <c r="AF797" t="s">
        <v>74</v>
      </c>
      <c r="AG797">
        <v>60</v>
      </c>
      <c r="AH797">
        <v>5</v>
      </c>
      <c r="AI797">
        <v>5</v>
      </c>
      <c r="AJ797">
        <v>3</v>
      </c>
      <c r="AK797">
        <v>54</v>
      </c>
      <c r="AL797" t="s">
        <v>218</v>
      </c>
      <c r="AM797" t="s">
        <v>219</v>
      </c>
      <c r="AN797" t="s">
        <v>220</v>
      </c>
      <c r="AO797" t="s">
        <v>13634</v>
      </c>
      <c r="AP797" t="s">
        <v>13635</v>
      </c>
      <c r="AQ797" t="s">
        <v>74</v>
      </c>
      <c r="AR797" t="s">
        <v>13624</v>
      </c>
      <c r="AS797" t="s">
        <v>13636</v>
      </c>
      <c r="AT797" t="s">
        <v>584</v>
      </c>
      <c r="AU797">
        <v>2017</v>
      </c>
      <c r="AV797">
        <v>123</v>
      </c>
      <c r="AW797">
        <v>11</v>
      </c>
      <c r="AX797" t="s">
        <v>74</v>
      </c>
      <c r="AY797" t="s">
        <v>74</v>
      </c>
      <c r="AZ797" t="s">
        <v>74</v>
      </c>
      <c r="BA797" t="s">
        <v>74</v>
      </c>
      <c r="BB797">
        <v>854</v>
      </c>
      <c r="BC797">
        <v>860</v>
      </c>
      <c r="BD797" t="s">
        <v>74</v>
      </c>
      <c r="BE797" t="s">
        <v>13637</v>
      </c>
      <c r="BF797" t="str">
        <f>HYPERLINK("http://dx.doi.org/10.1111/eth.12658","http://dx.doi.org/10.1111/eth.12658")</f>
        <v>http://dx.doi.org/10.1111/eth.12658</v>
      </c>
      <c r="BG797" t="s">
        <v>74</v>
      </c>
      <c r="BH797" t="s">
        <v>74</v>
      </c>
      <c r="BI797">
        <v>7</v>
      </c>
      <c r="BJ797" t="s">
        <v>8161</v>
      </c>
      <c r="BK797" t="s">
        <v>147</v>
      </c>
      <c r="BL797" t="s">
        <v>8162</v>
      </c>
      <c r="BM797" t="s">
        <v>13638</v>
      </c>
      <c r="BN797" t="s">
        <v>74</v>
      </c>
      <c r="BO797" t="s">
        <v>74</v>
      </c>
      <c r="BP797" t="s">
        <v>74</v>
      </c>
      <c r="BQ797" t="s">
        <v>74</v>
      </c>
      <c r="BR797" t="s">
        <v>97</v>
      </c>
      <c r="BS797" t="s">
        <v>13639</v>
      </c>
      <c r="BT797" t="str">
        <f>HYPERLINK("https%3A%2F%2Fwww.webofscience.com%2Fwos%2Fwoscc%2Ffull-record%2FWOS:000414036700010","View Full Record in Web of Science")</f>
        <v>View Full Record in Web of Science</v>
      </c>
    </row>
    <row r="798" spans="1:72" x14ac:dyDescent="0.25">
      <c r="A798" t="s">
        <v>72</v>
      </c>
      <c r="B798" t="s">
        <v>13640</v>
      </c>
      <c r="C798" t="s">
        <v>74</v>
      </c>
      <c r="D798" t="s">
        <v>74</v>
      </c>
      <c r="E798" t="s">
        <v>74</v>
      </c>
      <c r="F798" t="s">
        <v>13641</v>
      </c>
      <c r="G798" t="s">
        <v>74</v>
      </c>
      <c r="H798" t="s">
        <v>74</v>
      </c>
      <c r="I798" t="s">
        <v>13642</v>
      </c>
      <c r="J798" t="s">
        <v>13643</v>
      </c>
      <c r="K798" t="s">
        <v>74</v>
      </c>
      <c r="L798" t="s">
        <v>74</v>
      </c>
      <c r="M798" t="s">
        <v>77</v>
      </c>
      <c r="N798" t="s">
        <v>78</v>
      </c>
      <c r="O798" t="s">
        <v>74</v>
      </c>
      <c r="P798" t="s">
        <v>74</v>
      </c>
      <c r="Q798" t="s">
        <v>74</v>
      </c>
      <c r="R798" t="s">
        <v>74</v>
      </c>
      <c r="S798" t="s">
        <v>74</v>
      </c>
      <c r="T798" t="s">
        <v>13644</v>
      </c>
      <c r="U798" t="s">
        <v>13645</v>
      </c>
      <c r="V798" t="s">
        <v>13646</v>
      </c>
      <c r="W798" t="s">
        <v>13647</v>
      </c>
      <c r="X798" t="s">
        <v>13648</v>
      </c>
      <c r="Y798" t="s">
        <v>13649</v>
      </c>
      <c r="Z798" t="s">
        <v>13650</v>
      </c>
      <c r="AA798" t="s">
        <v>13651</v>
      </c>
      <c r="AB798" t="s">
        <v>13652</v>
      </c>
      <c r="AC798" t="s">
        <v>13653</v>
      </c>
      <c r="AD798" t="s">
        <v>13653</v>
      </c>
      <c r="AE798" t="s">
        <v>13653</v>
      </c>
      <c r="AF798" t="s">
        <v>74</v>
      </c>
      <c r="AG798">
        <v>64</v>
      </c>
      <c r="AH798">
        <v>5</v>
      </c>
      <c r="AI798">
        <v>6</v>
      </c>
      <c r="AJ798">
        <v>1</v>
      </c>
      <c r="AK798">
        <v>13</v>
      </c>
      <c r="AL798" t="s">
        <v>218</v>
      </c>
      <c r="AM798" t="s">
        <v>219</v>
      </c>
      <c r="AN798" t="s">
        <v>220</v>
      </c>
      <c r="AO798" t="s">
        <v>13654</v>
      </c>
      <c r="AP798" t="s">
        <v>74</v>
      </c>
      <c r="AQ798" t="s">
        <v>74</v>
      </c>
      <c r="AR798" t="s">
        <v>13655</v>
      </c>
      <c r="AS798" t="s">
        <v>13656</v>
      </c>
      <c r="AT798" t="s">
        <v>91</v>
      </c>
      <c r="AU798">
        <v>2017</v>
      </c>
      <c r="AV798">
        <v>7</v>
      </c>
      <c r="AW798">
        <v>12</v>
      </c>
      <c r="AX798" t="s">
        <v>74</v>
      </c>
      <c r="AY798" t="s">
        <v>74</v>
      </c>
      <c r="AZ798" t="s">
        <v>74</v>
      </c>
      <c r="BA798" t="s">
        <v>74</v>
      </c>
      <c r="BB798">
        <v>4241</v>
      </c>
      <c r="BC798">
        <v>4253</v>
      </c>
      <c r="BD798" t="s">
        <v>74</v>
      </c>
      <c r="BE798" t="s">
        <v>13657</v>
      </c>
      <c r="BF798" t="str">
        <f>HYPERLINK("http://dx.doi.org/10.1002/ece3.3007","http://dx.doi.org/10.1002/ece3.3007")</f>
        <v>http://dx.doi.org/10.1002/ece3.3007</v>
      </c>
      <c r="BG798" t="s">
        <v>74</v>
      </c>
      <c r="BH798" t="s">
        <v>74</v>
      </c>
      <c r="BI798">
        <v>13</v>
      </c>
      <c r="BJ798" t="s">
        <v>2841</v>
      </c>
      <c r="BK798" t="s">
        <v>283</v>
      </c>
      <c r="BL798" t="s">
        <v>2842</v>
      </c>
      <c r="BM798" t="s">
        <v>13658</v>
      </c>
      <c r="BN798">
        <v>28649337</v>
      </c>
      <c r="BO798" t="s">
        <v>3205</v>
      </c>
      <c r="BP798" t="s">
        <v>74</v>
      </c>
      <c r="BQ798" t="s">
        <v>74</v>
      </c>
      <c r="BR798" t="s">
        <v>97</v>
      </c>
      <c r="BS798" t="s">
        <v>13659</v>
      </c>
      <c r="BT798" t="str">
        <f>HYPERLINK("https%3A%2F%2Fwww.webofscience.com%2Fwos%2Fwoscc%2Ffull-record%2FWOS:000403884700017","View Full Record in Web of Science")</f>
        <v>View Full Record in Web of Science</v>
      </c>
    </row>
    <row r="799" spans="1:72" x14ac:dyDescent="0.25">
      <c r="A799" t="s">
        <v>72</v>
      </c>
      <c r="B799" t="s">
        <v>13660</v>
      </c>
      <c r="C799" t="s">
        <v>74</v>
      </c>
      <c r="D799" t="s">
        <v>74</v>
      </c>
      <c r="E799" t="s">
        <v>74</v>
      </c>
      <c r="F799" t="s">
        <v>13661</v>
      </c>
      <c r="G799" t="s">
        <v>74</v>
      </c>
      <c r="H799" t="s">
        <v>74</v>
      </c>
      <c r="I799" t="s">
        <v>13662</v>
      </c>
      <c r="J799" t="s">
        <v>2059</v>
      </c>
      <c r="K799" t="s">
        <v>74</v>
      </c>
      <c r="L799" t="s">
        <v>74</v>
      </c>
      <c r="M799" t="s">
        <v>77</v>
      </c>
      <c r="N799" t="s">
        <v>78</v>
      </c>
      <c r="O799" t="s">
        <v>74</v>
      </c>
      <c r="P799" t="s">
        <v>74</v>
      </c>
      <c r="Q799" t="s">
        <v>74</v>
      </c>
      <c r="R799" t="s">
        <v>74</v>
      </c>
      <c r="S799" t="s">
        <v>74</v>
      </c>
      <c r="T799" t="s">
        <v>13663</v>
      </c>
      <c r="U799" t="s">
        <v>13664</v>
      </c>
      <c r="V799" t="s">
        <v>13665</v>
      </c>
      <c r="W799" t="s">
        <v>13666</v>
      </c>
      <c r="X799" t="s">
        <v>6851</v>
      </c>
      <c r="Y799" t="s">
        <v>13667</v>
      </c>
      <c r="Z799" t="s">
        <v>6853</v>
      </c>
      <c r="AA799" t="s">
        <v>74</v>
      </c>
      <c r="AB799" t="s">
        <v>74</v>
      </c>
      <c r="AC799" t="s">
        <v>6854</v>
      </c>
      <c r="AD799" t="s">
        <v>6855</v>
      </c>
      <c r="AE799" t="s">
        <v>13668</v>
      </c>
      <c r="AF799" t="s">
        <v>74</v>
      </c>
      <c r="AG799">
        <v>27</v>
      </c>
      <c r="AH799">
        <v>5</v>
      </c>
      <c r="AI799">
        <v>6</v>
      </c>
      <c r="AJ799">
        <v>5</v>
      </c>
      <c r="AK799">
        <v>58</v>
      </c>
      <c r="AL799" t="s">
        <v>2067</v>
      </c>
      <c r="AM799" t="s">
        <v>2068</v>
      </c>
      <c r="AN799" t="s">
        <v>2069</v>
      </c>
      <c r="AO799" t="s">
        <v>2070</v>
      </c>
      <c r="AP799" t="s">
        <v>2071</v>
      </c>
      <c r="AQ799" t="s">
        <v>74</v>
      </c>
      <c r="AR799" t="s">
        <v>2072</v>
      </c>
      <c r="AS799" t="s">
        <v>2073</v>
      </c>
      <c r="AT799" t="s">
        <v>74</v>
      </c>
      <c r="AU799">
        <v>2017</v>
      </c>
      <c r="AV799">
        <v>45</v>
      </c>
      <c r="AW799">
        <v>7</v>
      </c>
      <c r="AX799" t="s">
        <v>74</v>
      </c>
      <c r="AY799" t="s">
        <v>74</v>
      </c>
      <c r="AZ799" t="s">
        <v>74</v>
      </c>
      <c r="BA799" t="s">
        <v>74</v>
      </c>
      <c r="BB799">
        <v>1113</v>
      </c>
      <c r="BC799">
        <v>1126</v>
      </c>
      <c r="BD799" t="s">
        <v>74</v>
      </c>
      <c r="BE799" t="s">
        <v>13669</v>
      </c>
      <c r="BF799" t="str">
        <f>HYPERLINK("http://dx.doi.org/10.2224/sbp.6117","http://dx.doi.org/10.2224/sbp.6117")</f>
        <v>http://dx.doi.org/10.2224/sbp.6117</v>
      </c>
      <c r="BG799" t="s">
        <v>74</v>
      </c>
      <c r="BH799" t="s">
        <v>74</v>
      </c>
      <c r="BI799">
        <v>14</v>
      </c>
      <c r="BJ799" t="s">
        <v>459</v>
      </c>
      <c r="BK799" t="s">
        <v>94</v>
      </c>
      <c r="BL799" t="s">
        <v>460</v>
      </c>
      <c r="BM799" t="s">
        <v>13670</v>
      </c>
      <c r="BN799" t="s">
        <v>74</v>
      </c>
      <c r="BO799" t="s">
        <v>74</v>
      </c>
      <c r="BP799" t="s">
        <v>74</v>
      </c>
      <c r="BQ799" t="s">
        <v>74</v>
      </c>
      <c r="BR799" t="s">
        <v>97</v>
      </c>
      <c r="BS799" t="s">
        <v>13671</v>
      </c>
      <c r="BT799" t="str">
        <f>HYPERLINK("https%3A%2F%2Fwww.webofscience.com%2Fwos%2Fwoscc%2Ffull-record%2FWOS:000407395900005","View Full Record in Web of Science")</f>
        <v>View Full Record in Web of Science</v>
      </c>
    </row>
    <row r="800" spans="1:72" x14ac:dyDescent="0.25">
      <c r="A800" t="s">
        <v>72</v>
      </c>
      <c r="B800" t="s">
        <v>13672</v>
      </c>
      <c r="C800" t="s">
        <v>74</v>
      </c>
      <c r="D800" t="s">
        <v>74</v>
      </c>
      <c r="E800" t="s">
        <v>74</v>
      </c>
      <c r="F800" t="s">
        <v>13673</v>
      </c>
      <c r="G800" t="s">
        <v>74</v>
      </c>
      <c r="H800" t="s">
        <v>74</v>
      </c>
      <c r="I800" t="s">
        <v>13674</v>
      </c>
      <c r="J800" t="s">
        <v>5262</v>
      </c>
      <c r="K800" t="s">
        <v>74</v>
      </c>
      <c r="L800" t="s">
        <v>74</v>
      </c>
      <c r="M800" t="s">
        <v>77</v>
      </c>
      <c r="N800" t="s">
        <v>78</v>
      </c>
      <c r="O800" t="s">
        <v>74</v>
      </c>
      <c r="P800" t="s">
        <v>74</v>
      </c>
      <c r="Q800" t="s">
        <v>74</v>
      </c>
      <c r="R800" t="s">
        <v>74</v>
      </c>
      <c r="S800" t="s">
        <v>74</v>
      </c>
      <c r="T800" t="s">
        <v>13675</v>
      </c>
      <c r="U800" t="s">
        <v>13676</v>
      </c>
      <c r="V800" t="s">
        <v>13677</v>
      </c>
      <c r="W800" t="s">
        <v>13678</v>
      </c>
      <c r="X800" t="s">
        <v>13679</v>
      </c>
      <c r="Y800" t="s">
        <v>13680</v>
      </c>
      <c r="Z800" t="s">
        <v>13681</v>
      </c>
      <c r="AA800" t="s">
        <v>74</v>
      </c>
      <c r="AB800" t="s">
        <v>13682</v>
      </c>
      <c r="AC800" t="s">
        <v>74</v>
      </c>
      <c r="AD800" t="s">
        <v>74</v>
      </c>
      <c r="AE800" t="s">
        <v>74</v>
      </c>
      <c r="AF800" t="s">
        <v>74</v>
      </c>
      <c r="AG800">
        <v>37</v>
      </c>
      <c r="AH800">
        <v>5</v>
      </c>
      <c r="AI800">
        <v>5</v>
      </c>
      <c r="AJ800">
        <v>4</v>
      </c>
      <c r="AK800">
        <v>33</v>
      </c>
      <c r="AL800" t="s">
        <v>665</v>
      </c>
      <c r="AM800" t="s">
        <v>666</v>
      </c>
      <c r="AN800" t="s">
        <v>667</v>
      </c>
      <c r="AO800" t="s">
        <v>5274</v>
      </c>
      <c r="AP800" t="s">
        <v>5275</v>
      </c>
      <c r="AQ800" t="s">
        <v>74</v>
      </c>
      <c r="AR800" t="s">
        <v>5276</v>
      </c>
      <c r="AS800" t="s">
        <v>5277</v>
      </c>
      <c r="AT800" t="s">
        <v>74</v>
      </c>
      <c r="AU800">
        <v>2017</v>
      </c>
      <c r="AV800">
        <v>30</v>
      </c>
      <c r="AW800">
        <v>3</v>
      </c>
      <c r="AX800" t="s">
        <v>74</v>
      </c>
      <c r="AY800" t="s">
        <v>74</v>
      </c>
      <c r="AZ800" t="s">
        <v>860</v>
      </c>
      <c r="BA800" t="s">
        <v>74</v>
      </c>
      <c r="BB800">
        <v>440</v>
      </c>
      <c r="BC800">
        <v>452</v>
      </c>
      <c r="BD800" t="s">
        <v>74</v>
      </c>
      <c r="BE800" t="s">
        <v>13683</v>
      </c>
      <c r="BF800" t="str">
        <f>HYPERLINK("http://dx.doi.org/10.1108/JOCM-06-2016-0112","http://dx.doi.org/10.1108/JOCM-06-2016-0112")</f>
        <v>http://dx.doi.org/10.1108/JOCM-06-2016-0112</v>
      </c>
      <c r="BG800" t="s">
        <v>74</v>
      </c>
      <c r="BH800" t="s">
        <v>74</v>
      </c>
      <c r="BI800">
        <v>13</v>
      </c>
      <c r="BJ800" t="s">
        <v>442</v>
      </c>
      <c r="BK800" t="s">
        <v>94</v>
      </c>
      <c r="BL800" t="s">
        <v>95</v>
      </c>
      <c r="BM800" t="s">
        <v>13684</v>
      </c>
      <c r="BN800" t="s">
        <v>74</v>
      </c>
      <c r="BO800" t="s">
        <v>378</v>
      </c>
      <c r="BP800" t="s">
        <v>74</v>
      </c>
      <c r="BQ800" t="s">
        <v>74</v>
      </c>
      <c r="BR800" t="s">
        <v>97</v>
      </c>
      <c r="BS800" t="s">
        <v>13685</v>
      </c>
      <c r="BT800" t="str">
        <f>HYPERLINK("https%3A%2F%2Fwww.webofscience.com%2Fwos%2Fwoscc%2Ffull-record%2FWOS:000402936800013","View Full Record in Web of Science")</f>
        <v>View Full Record in Web of Science</v>
      </c>
    </row>
    <row r="801" spans="1:72" x14ac:dyDescent="0.25">
      <c r="A801" t="s">
        <v>72</v>
      </c>
      <c r="B801" t="s">
        <v>13686</v>
      </c>
      <c r="C801" t="s">
        <v>74</v>
      </c>
      <c r="D801" t="s">
        <v>74</v>
      </c>
      <c r="E801" t="s">
        <v>74</v>
      </c>
      <c r="F801" t="s">
        <v>13687</v>
      </c>
      <c r="G801" t="s">
        <v>74</v>
      </c>
      <c r="H801" t="s">
        <v>74</v>
      </c>
      <c r="I801" t="s">
        <v>13688</v>
      </c>
      <c r="J801" t="s">
        <v>2550</v>
      </c>
      <c r="K801" t="s">
        <v>74</v>
      </c>
      <c r="L801" t="s">
        <v>74</v>
      </c>
      <c r="M801" t="s">
        <v>77</v>
      </c>
      <c r="N801" t="s">
        <v>78</v>
      </c>
      <c r="O801" t="s">
        <v>74</v>
      </c>
      <c r="P801" t="s">
        <v>74</v>
      </c>
      <c r="Q801" t="s">
        <v>74</v>
      </c>
      <c r="R801" t="s">
        <v>74</v>
      </c>
      <c r="S801" t="s">
        <v>74</v>
      </c>
      <c r="T801" t="s">
        <v>13689</v>
      </c>
      <c r="U801" t="s">
        <v>13690</v>
      </c>
      <c r="V801" t="s">
        <v>13691</v>
      </c>
      <c r="W801" t="s">
        <v>13692</v>
      </c>
      <c r="X801" t="s">
        <v>13693</v>
      </c>
      <c r="Y801" t="s">
        <v>13694</v>
      </c>
      <c r="Z801" t="s">
        <v>13695</v>
      </c>
      <c r="AA801" t="s">
        <v>74</v>
      </c>
      <c r="AB801" t="s">
        <v>74</v>
      </c>
      <c r="AC801" t="s">
        <v>74</v>
      </c>
      <c r="AD801" t="s">
        <v>74</v>
      </c>
      <c r="AE801" t="s">
        <v>74</v>
      </c>
      <c r="AF801" t="s">
        <v>74</v>
      </c>
      <c r="AG801">
        <v>54</v>
      </c>
      <c r="AH801">
        <v>5</v>
      </c>
      <c r="AI801">
        <v>5</v>
      </c>
      <c r="AJ801">
        <v>1</v>
      </c>
      <c r="AK801">
        <v>32</v>
      </c>
      <c r="AL801" t="s">
        <v>2557</v>
      </c>
      <c r="AM801" t="s">
        <v>10469</v>
      </c>
      <c r="AN801" t="s">
        <v>10470</v>
      </c>
      <c r="AO801" t="s">
        <v>2559</v>
      </c>
      <c r="AP801" t="s">
        <v>10471</v>
      </c>
      <c r="AQ801" t="s">
        <v>74</v>
      </c>
      <c r="AR801" t="s">
        <v>2560</v>
      </c>
      <c r="AS801" t="s">
        <v>2561</v>
      </c>
      <c r="AT801" t="s">
        <v>584</v>
      </c>
      <c r="AU801">
        <v>2015</v>
      </c>
      <c r="AV801">
        <v>62</v>
      </c>
      <c r="AW801">
        <v>4</v>
      </c>
      <c r="AX801" t="s">
        <v>74</v>
      </c>
      <c r="AY801" t="s">
        <v>74</v>
      </c>
      <c r="AZ801" t="s">
        <v>74</v>
      </c>
      <c r="BA801" t="s">
        <v>74</v>
      </c>
      <c r="BB801">
        <v>517</v>
      </c>
      <c r="BC801">
        <v>528</v>
      </c>
      <c r="BD801" t="s">
        <v>74</v>
      </c>
      <c r="BE801" t="s">
        <v>13696</v>
      </c>
      <c r="BF801" t="str">
        <f>HYPERLINK("http://dx.doi.org/10.1109/TEM.2015.2455056","http://dx.doi.org/10.1109/TEM.2015.2455056")</f>
        <v>http://dx.doi.org/10.1109/TEM.2015.2455056</v>
      </c>
      <c r="BG801" t="s">
        <v>74</v>
      </c>
      <c r="BH801" t="s">
        <v>74</v>
      </c>
      <c r="BI801">
        <v>12</v>
      </c>
      <c r="BJ801" t="s">
        <v>794</v>
      </c>
      <c r="BK801" t="s">
        <v>147</v>
      </c>
      <c r="BL801" t="s">
        <v>795</v>
      </c>
      <c r="BM801" t="s">
        <v>13697</v>
      </c>
      <c r="BN801" t="s">
        <v>74</v>
      </c>
      <c r="BO801" t="s">
        <v>74</v>
      </c>
      <c r="BP801" t="s">
        <v>74</v>
      </c>
      <c r="BQ801" t="s">
        <v>74</v>
      </c>
      <c r="BR801" t="s">
        <v>97</v>
      </c>
      <c r="BS801" t="s">
        <v>13698</v>
      </c>
      <c r="BT801" t="str">
        <f>HYPERLINK("https%3A%2F%2Fwww.webofscience.com%2Fwos%2Fwoscc%2Ffull-record%2FWOS:000363255500009","View Full Record in Web of Science")</f>
        <v>View Full Record in Web of Science</v>
      </c>
    </row>
    <row r="802" spans="1:72" x14ac:dyDescent="0.25">
      <c r="A802" t="s">
        <v>72</v>
      </c>
      <c r="B802" t="s">
        <v>13699</v>
      </c>
      <c r="C802" t="s">
        <v>74</v>
      </c>
      <c r="D802" t="s">
        <v>74</v>
      </c>
      <c r="E802" t="s">
        <v>74</v>
      </c>
      <c r="F802" t="s">
        <v>13700</v>
      </c>
      <c r="G802" t="s">
        <v>74</v>
      </c>
      <c r="H802" t="s">
        <v>74</v>
      </c>
      <c r="I802" t="s">
        <v>13701</v>
      </c>
      <c r="J802" t="s">
        <v>2678</v>
      </c>
      <c r="K802" t="s">
        <v>74</v>
      </c>
      <c r="L802" t="s">
        <v>74</v>
      </c>
      <c r="M802" t="s">
        <v>77</v>
      </c>
      <c r="N802" t="s">
        <v>78</v>
      </c>
      <c r="O802" t="s">
        <v>74</v>
      </c>
      <c r="P802" t="s">
        <v>74</v>
      </c>
      <c r="Q802" t="s">
        <v>74</v>
      </c>
      <c r="R802" t="s">
        <v>74</v>
      </c>
      <c r="S802" t="s">
        <v>74</v>
      </c>
      <c r="T802" t="s">
        <v>74</v>
      </c>
      <c r="U802" t="s">
        <v>13702</v>
      </c>
      <c r="V802" t="s">
        <v>13703</v>
      </c>
      <c r="W802" t="s">
        <v>13704</v>
      </c>
      <c r="X802" t="s">
        <v>2446</v>
      </c>
      <c r="Y802" t="s">
        <v>13705</v>
      </c>
      <c r="Z802" t="s">
        <v>13706</v>
      </c>
      <c r="AA802" t="s">
        <v>13707</v>
      </c>
      <c r="AB802" t="s">
        <v>13708</v>
      </c>
      <c r="AC802" t="s">
        <v>13709</v>
      </c>
      <c r="AD802" t="s">
        <v>13710</v>
      </c>
      <c r="AE802" t="s">
        <v>13711</v>
      </c>
      <c r="AF802" t="s">
        <v>74</v>
      </c>
      <c r="AG802">
        <v>40</v>
      </c>
      <c r="AH802">
        <v>5</v>
      </c>
      <c r="AI802">
        <v>5</v>
      </c>
      <c r="AJ802">
        <v>0</v>
      </c>
      <c r="AK802">
        <v>12</v>
      </c>
      <c r="AL802" t="s">
        <v>1045</v>
      </c>
      <c r="AM802" t="s">
        <v>1046</v>
      </c>
      <c r="AN802" t="s">
        <v>1047</v>
      </c>
      <c r="AO802" t="s">
        <v>2688</v>
      </c>
      <c r="AP802" t="s">
        <v>74</v>
      </c>
      <c r="AQ802" t="s">
        <v>74</v>
      </c>
      <c r="AR802" t="s">
        <v>2678</v>
      </c>
      <c r="AS802" t="s">
        <v>2689</v>
      </c>
      <c r="AT802" t="s">
        <v>7141</v>
      </c>
      <c r="AU802">
        <v>2015</v>
      </c>
      <c r="AV802">
        <v>10</v>
      </c>
      <c r="AW802">
        <v>10</v>
      </c>
      <c r="AX802" t="s">
        <v>74</v>
      </c>
      <c r="AY802" t="s">
        <v>74</v>
      </c>
      <c r="AZ802" t="s">
        <v>74</v>
      </c>
      <c r="BA802" t="s">
        <v>74</v>
      </c>
      <c r="BB802" t="s">
        <v>74</v>
      </c>
      <c r="BC802" t="s">
        <v>74</v>
      </c>
      <c r="BD802" t="s">
        <v>13712</v>
      </c>
      <c r="BE802" t="s">
        <v>13713</v>
      </c>
      <c r="BF802" t="str">
        <f>HYPERLINK("http://dx.doi.org/10.1371/journal.pone.0139050","http://dx.doi.org/10.1371/journal.pone.0139050")</f>
        <v>http://dx.doi.org/10.1371/journal.pone.0139050</v>
      </c>
      <c r="BG802" t="s">
        <v>74</v>
      </c>
      <c r="BH802" t="s">
        <v>74</v>
      </c>
      <c r="BI802">
        <v>12</v>
      </c>
      <c r="BJ802" t="s">
        <v>282</v>
      </c>
      <c r="BK802" t="s">
        <v>283</v>
      </c>
      <c r="BL802" t="s">
        <v>284</v>
      </c>
      <c r="BM802" t="s">
        <v>13714</v>
      </c>
      <c r="BN802">
        <v>26488728</v>
      </c>
      <c r="BO802" t="s">
        <v>13715</v>
      </c>
      <c r="BP802" t="s">
        <v>74</v>
      </c>
      <c r="BQ802" t="s">
        <v>74</v>
      </c>
      <c r="BR802" t="s">
        <v>97</v>
      </c>
      <c r="BS802" t="s">
        <v>13716</v>
      </c>
      <c r="BT802" t="str">
        <f>HYPERLINK("https%3A%2F%2Fwww.webofscience.com%2Fwos%2Fwoscc%2Ffull-record%2FWOS:000363248400019","View Full Record in Web of Science")</f>
        <v>View Full Record in Web of Science</v>
      </c>
    </row>
    <row r="803" spans="1:72" x14ac:dyDescent="0.25">
      <c r="A803" t="s">
        <v>72</v>
      </c>
      <c r="B803" t="s">
        <v>13717</v>
      </c>
      <c r="C803" t="s">
        <v>74</v>
      </c>
      <c r="D803" t="s">
        <v>74</v>
      </c>
      <c r="E803" t="s">
        <v>74</v>
      </c>
      <c r="F803" t="s">
        <v>13718</v>
      </c>
      <c r="G803" t="s">
        <v>74</v>
      </c>
      <c r="H803" t="s">
        <v>74</v>
      </c>
      <c r="I803" t="s">
        <v>13719</v>
      </c>
      <c r="J803" t="s">
        <v>12907</v>
      </c>
      <c r="K803" t="s">
        <v>74</v>
      </c>
      <c r="L803" t="s">
        <v>74</v>
      </c>
      <c r="M803" t="s">
        <v>77</v>
      </c>
      <c r="N803" t="s">
        <v>78</v>
      </c>
      <c r="O803" t="s">
        <v>74</v>
      </c>
      <c r="P803" t="s">
        <v>74</v>
      </c>
      <c r="Q803" t="s">
        <v>74</v>
      </c>
      <c r="R803" t="s">
        <v>74</v>
      </c>
      <c r="S803" t="s">
        <v>74</v>
      </c>
      <c r="T803" t="s">
        <v>13720</v>
      </c>
      <c r="U803" t="s">
        <v>13721</v>
      </c>
      <c r="V803" t="s">
        <v>13722</v>
      </c>
      <c r="W803" t="s">
        <v>13723</v>
      </c>
      <c r="X803" t="s">
        <v>13724</v>
      </c>
      <c r="Y803" t="s">
        <v>13725</v>
      </c>
      <c r="Z803" t="s">
        <v>13726</v>
      </c>
      <c r="AA803" t="s">
        <v>74</v>
      </c>
      <c r="AB803" t="s">
        <v>74</v>
      </c>
      <c r="AC803" t="s">
        <v>74</v>
      </c>
      <c r="AD803" t="s">
        <v>74</v>
      </c>
      <c r="AE803" t="s">
        <v>74</v>
      </c>
      <c r="AF803" t="s">
        <v>74</v>
      </c>
      <c r="AG803">
        <v>45</v>
      </c>
      <c r="AH803">
        <v>5</v>
      </c>
      <c r="AI803">
        <v>5</v>
      </c>
      <c r="AJ803">
        <v>0</v>
      </c>
      <c r="AK803">
        <v>19</v>
      </c>
      <c r="AL803" t="s">
        <v>12917</v>
      </c>
      <c r="AM803" t="s">
        <v>12918</v>
      </c>
      <c r="AN803" t="s">
        <v>12919</v>
      </c>
      <c r="AO803" t="s">
        <v>12920</v>
      </c>
      <c r="AP803" t="s">
        <v>12921</v>
      </c>
      <c r="AQ803" t="s">
        <v>74</v>
      </c>
      <c r="AR803" t="s">
        <v>12922</v>
      </c>
      <c r="AS803" t="s">
        <v>12923</v>
      </c>
      <c r="AT803" t="s">
        <v>91</v>
      </c>
      <c r="AU803">
        <v>2015</v>
      </c>
      <c r="AV803">
        <v>49</v>
      </c>
      <c r="AW803" t="s">
        <v>74</v>
      </c>
      <c r="AX803" t="s">
        <v>74</v>
      </c>
      <c r="AY803" t="s">
        <v>74</v>
      </c>
      <c r="AZ803" t="s">
        <v>74</v>
      </c>
      <c r="BA803" t="s">
        <v>74</v>
      </c>
      <c r="BB803">
        <v>113</v>
      </c>
      <c r="BC803">
        <v>126</v>
      </c>
      <c r="BD803" t="s">
        <v>74</v>
      </c>
      <c r="BE803" t="s">
        <v>74</v>
      </c>
      <c r="BF803" t="s">
        <v>74</v>
      </c>
      <c r="BG803" t="s">
        <v>74</v>
      </c>
      <c r="BH803" t="s">
        <v>74</v>
      </c>
      <c r="BI803">
        <v>14</v>
      </c>
      <c r="BJ803" t="s">
        <v>8867</v>
      </c>
      <c r="BK803" t="s">
        <v>94</v>
      </c>
      <c r="BL803" t="s">
        <v>631</v>
      </c>
      <c r="BM803" t="s">
        <v>13727</v>
      </c>
      <c r="BN803" t="s">
        <v>74</v>
      </c>
      <c r="BO803" t="s">
        <v>74</v>
      </c>
      <c r="BP803" t="s">
        <v>74</v>
      </c>
      <c r="BQ803" t="s">
        <v>74</v>
      </c>
      <c r="BR803" t="s">
        <v>97</v>
      </c>
      <c r="BS803" t="s">
        <v>13728</v>
      </c>
      <c r="BT803" t="str">
        <f>HYPERLINK("https%3A%2F%2Fwww.webofscience.com%2Fwos%2Fwoscc%2Ffull-record%2FWOS:000356398700008","View Full Record in Web of Science")</f>
        <v>View Full Record in Web of Science</v>
      </c>
    </row>
    <row r="804" spans="1:72" x14ac:dyDescent="0.25">
      <c r="A804" t="s">
        <v>72</v>
      </c>
      <c r="B804" t="s">
        <v>13729</v>
      </c>
      <c r="C804" t="s">
        <v>74</v>
      </c>
      <c r="D804" t="s">
        <v>74</v>
      </c>
      <c r="E804" t="s">
        <v>74</v>
      </c>
      <c r="F804" t="s">
        <v>13730</v>
      </c>
      <c r="G804" t="s">
        <v>74</v>
      </c>
      <c r="H804" t="s">
        <v>74</v>
      </c>
      <c r="I804" t="s">
        <v>13731</v>
      </c>
      <c r="J804" t="s">
        <v>13732</v>
      </c>
      <c r="K804" t="s">
        <v>74</v>
      </c>
      <c r="L804" t="s">
        <v>74</v>
      </c>
      <c r="M804" t="s">
        <v>13733</v>
      </c>
      <c r="N804" t="s">
        <v>78</v>
      </c>
      <c r="O804" t="s">
        <v>74</v>
      </c>
      <c r="P804" t="s">
        <v>74</v>
      </c>
      <c r="Q804" t="s">
        <v>74</v>
      </c>
      <c r="R804" t="s">
        <v>74</v>
      </c>
      <c r="S804" t="s">
        <v>74</v>
      </c>
      <c r="T804" t="s">
        <v>13734</v>
      </c>
      <c r="U804" t="s">
        <v>13735</v>
      </c>
      <c r="V804" t="s">
        <v>13736</v>
      </c>
      <c r="W804" t="s">
        <v>13737</v>
      </c>
      <c r="X804" t="s">
        <v>74</v>
      </c>
      <c r="Y804" t="s">
        <v>13738</v>
      </c>
      <c r="Z804" t="s">
        <v>13739</v>
      </c>
      <c r="AA804" t="s">
        <v>74</v>
      </c>
      <c r="AB804" t="s">
        <v>74</v>
      </c>
      <c r="AC804" t="s">
        <v>74</v>
      </c>
      <c r="AD804" t="s">
        <v>74</v>
      </c>
      <c r="AE804" t="s">
        <v>74</v>
      </c>
      <c r="AF804" t="s">
        <v>74</v>
      </c>
      <c r="AG804">
        <v>68</v>
      </c>
      <c r="AH804">
        <v>5</v>
      </c>
      <c r="AI804">
        <v>5</v>
      </c>
      <c r="AJ804">
        <v>0</v>
      </c>
      <c r="AK804">
        <v>16</v>
      </c>
      <c r="AL804" t="s">
        <v>13740</v>
      </c>
      <c r="AM804" t="s">
        <v>13741</v>
      </c>
      <c r="AN804" t="s">
        <v>13742</v>
      </c>
      <c r="AO804" t="s">
        <v>13743</v>
      </c>
      <c r="AP804" t="s">
        <v>74</v>
      </c>
      <c r="AQ804" t="s">
        <v>74</v>
      </c>
      <c r="AR804" t="s">
        <v>13744</v>
      </c>
      <c r="AS804" t="s">
        <v>13745</v>
      </c>
      <c r="AT804" t="s">
        <v>74</v>
      </c>
      <c r="AU804">
        <v>2015</v>
      </c>
      <c r="AV804">
        <v>63</v>
      </c>
      <c r="AW804">
        <v>2</v>
      </c>
      <c r="AX804" t="s">
        <v>74</v>
      </c>
      <c r="AY804" t="s">
        <v>74</v>
      </c>
      <c r="AZ804" t="s">
        <v>74</v>
      </c>
      <c r="BA804" t="s">
        <v>74</v>
      </c>
      <c r="BB804">
        <v>223</v>
      </c>
      <c r="BC804">
        <v>243</v>
      </c>
      <c r="BD804" t="s">
        <v>74</v>
      </c>
      <c r="BE804" t="s">
        <v>13746</v>
      </c>
      <c r="BF804" t="str">
        <f>HYPERLINK("http://dx.doi.org/10.18267/j.polek.998","http://dx.doi.org/10.18267/j.polek.998")</f>
        <v>http://dx.doi.org/10.18267/j.polek.998</v>
      </c>
      <c r="BG804" t="s">
        <v>74</v>
      </c>
      <c r="BH804" t="s">
        <v>74</v>
      </c>
      <c r="BI804">
        <v>21</v>
      </c>
      <c r="BJ804" t="s">
        <v>13747</v>
      </c>
      <c r="BK804" t="s">
        <v>94</v>
      </c>
      <c r="BL804" t="s">
        <v>13748</v>
      </c>
      <c r="BM804" t="s">
        <v>13749</v>
      </c>
      <c r="BN804" t="s">
        <v>74</v>
      </c>
      <c r="BO804" t="s">
        <v>408</v>
      </c>
      <c r="BP804" t="s">
        <v>74</v>
      </c>
      <c r="BQ804" t="s">
        <v>74</v>
      </c>
      <c r="BR804" t="s">
        <v>97</v>
      </c>
      <c r="BS804" t="s">
        <v>13750</v>
      </c>
      <c r="BT804" t="str">
        <f>HYPERLINK("https%3A%2F%2Fwww.webofscience.com%2Fwos%2Fwoscc%2Ffull-record%2FWOS:000355238500005","View Full Record in Web of Science")</f>
        <v>View Full Record in Web of Science</v>
      </c>
    </row>
    <row r="805" spans="1:72" x14ac:dyDescent="0.25">
      <c r="A805" t="s">
        <v>72</v>
      </c>
      <c r="B805" t="s">
        <v>13751</v>
      </c>
      <c r="C805" t="s">
        <v>74</v>
      </c>
      <c r="D805" t="s">
        <v>74</v>
      </c>
      <c r="E805" t="s">
        <v>74</v>
      </c>
      <c r="F805" t="s">
        <v>13752</v>
      </c>
      <c r="G805" t="s">
        <v>74</v>
      </c>
      <c r="H805" t="s">
        <v>74</v>
      </c>
      <c r="I805" t="s">
        <v>13753</v>
      </c>
      <c r="J805" t="s">
        <v>6081</v>
      </c>
      <c r="K805" t="s">
        <v>74</v>
      </c>
      <c r="L805" t="s">
        <v>74</v>
      </c>
      <c r="M805" t="s">
        <v>77</v>
      </c>
      <c r="N805" t="s">
        <v>78</v>
      </c>
      <c r="O805" t="s">
        <v>74</v>
      </c>
      <c r="P805" t="s">
        <v>74</v>
      </c>
      <c r="Q805" t="s">
        <v>74</v>
      </c>
      <c r="R805" t="s">
        <v>74</v>
      </c>
      <c r="S805" t="s">
        <v>74</v>
      </c>
      <c r="T805" t="s">
        <v>13754</v>
      </c>
      <c r="U805" t="s">
        <v>13755</v>
      </c>
      <c r="V805" t="s">
        <v>13756</v>
      </c>
      <c r="W805" t="s">
        <v>13757</v>
      </c>
      <c r="X805" t="s">
        <v>13758</v>
      </c>
      <c r="Y805" t="s">
        <v>13759</v>
      </c>
      <c r="Z805" t="s">
        <v>13760</v>
      </c>
      <c r="AA805" t="s">
        <v>13761</v>
      </c>
      <c r="AB805" t="s">
        <v>13762</v>
      </c>
      <c r="AC805" t="s">
        <v>13763</v>
      </c>
      <c r="AD805" t="s">
        <v>13763</v>
      </c>
      <c r="AE805" t="s">
        <v>13764</v>
      </c>
      <c r="AF805" t="s">
        <v>74</v>
      </c>
      <c r="AG805">
        <v>27</v>
      </c>
      <c r="AH805">
        <v>5</v>
      </c>
      <c r="AI805">
        <v>5</v>
      </c>
      <c r="AJ805">
        <v>0</v>
      </c>
      <c r="AK805">
        <v>42</v>
      </c>
      <c r="AL805" t="s">
        <v>1533</v>
      </c>
      <c r="AM805" t="s">
        <v>1534</v>
      </c>
      <c r="AN805" t="s">
        <v>1535</v>
      </c>
      <c r="AO805" t="s">
        <v>6094</v>
      </c>
      <c r="AP805" t="s">
        <v>6095</v>
      </c>
      <c r="AQ805" t="s">
        <v>74</v>
      </c>
      <c r="AR805" t="s">
        <v>6096</v>
      </c>
      <c r="AS805" t="s">
        <v>6097</v>
      </c>
      <c r="AT805" t="s">
        <v>200</v>
      </c>
      <c r="AU805">
        <v>2014</v>
      </c>
      <c r="AV805">
        <v>17</v>
      </c>
      <c r="AW805">
        <v>1</v>
      </c>
      <c r="AX805" t="s">
        <v>74</v>
      </c>
      <c r="AY805" t="s">
        <v>74</v>
      </c>
      <c r="AZ805" t="s">
        <v>74</v>
      </c>
      <c r="BA805" t="s">
        <v>74</v>
      </c>
      <c r="BB805">
        <v>63</v>
      </c>
      <c r="BC805">
        <v>66</v>
      </c>
      <c r="BD805" t="s">
        <v>74</v>
      </c>
      <c r="BE805" t="s">
        <v>13765</v>
      </c>
      <c r="BF805" t="str">
        <f>HYPERLINK("http://dx.doi.org/10.1007/s10211-013-0157-1","http://dx.doi.org/10.1007/s10211-013-0157-1")</f>
        <v>http://dx.doi.org/10.1007/s10211-013-0157-1</v>
      </c>
      <c r="BG805" t="s">
        <v>74</v>
      </c>
      <c r="BH805" t="s">
        <v>74</v>
      </c>
      <c r="BI805">
        <v>4</v>
      </c>
      <c r="BJ805" t="s">
        <v>6099</v>
      </c>
      <c r="BK805" t="s">
        <v>283</v>
      </c>
      <c r="BL805" t="s">
        <v>6099</v>
      </c>
      <c r="BM805" t="s">
        <v>13766</v>
      </c>
      <c r="BN805" t="s">
        <v>74</v>
      </c>
      <c r="BO805" t="s">
        <v>111</v>
      </c>
      <c r="BP805" t="s">
        <v>74</v>
      </c>
      <c r="BQ805" t="s">
        <v>74</v>
      </c>
      <c r="BR805" t="s">
        <v>97</v>
      </c>
      <c r="BS805" t="s">
        <v>13767</v>
      </c>
      <c r="BT805" t="str">
        <f>HYPERLINK("https%3A%2F%2Fwww.webofscience.com%2Fwos%2Fwoscc%2Ffull-record%2FWOS:000331631900009","View Full Record in Web of Science")</f>
        <v>View Full Record in Web of Science</v>
      </c>
    </row>
    <row r="806" spans="1:72" x14ac:dyDescent="0.25">
      <c r="A806" t="s">
        <v>72</v>
      </c>
      <c r="B806" t="s">
        <v>13768</v>
      </c>
      <c r="C806" t="s">
        <v>74</v>
      </c>
      <c r="D806" t="s">
        <v>74</v>
      </c>
      <c r="E806" t="s">
        <v>74</v>
      </c>
      <c r="F806" t="s">
        <v>13769</v>
      </c>
      <c r="G806" t="s">
        <v>74</v>
      </c>
      <c r="H806" t="s">
        <v>74</v>
      </c>
      <c r="I806" t="s">
        <v>13770</v>
      </c>
      <c r="J806" t="s">
        <v>13771</v>
      </c>
      <c r="K806" t="s">
        <v>74</v>
      </c>
      <c r="L806" t="s">
        <v>74</v>
      </c>
      <c r="M806" t="s">
        <v>77</v>
      </c>
      <c r="N806" t="s">
        <v>78</v>
      </c>
      <c r="O806" t="s">
        <v>74</v>
      </c>
      <c r="P806" t="s">
        <v>74</v>
      </c>
      <c r="Q806" t="s">
        <v>74</v>
      </c>
      <c r="R806" t="s">
        <v>74</v>
      </c>
      <c r="S806" t="s">
        <v>74</v>
      </c>
      <c r="T806" t="s">
        <v>13772</v>
      </c>
      <c r="U806" t="s">
        <v>13773</v>
      </c>
      <c r="V806" t="s">
        <v>13774</v>
      </c>
      <c r="W806" t="s">
        <v>13775</v>
      </c>
      <c r="X806" t="s">
        <v>13776</v>
      </c>
      <c r="Y806" t="s">
        <v>13777</v>
      </c>
      <c r="Z806" t="s">
        <v>13778</v>
      </c>
      <c r="AA806" t="s">
        <v>13779</v>
      </c>
      <c r="AB806" t="s">
        <v>13780</v>
      </c>
      <c r="AC806" t="s">
        <v>13781</v>
      </c>
      <c r="AD806" t="s">
        <v>13782</v>
      </c>
      <c r="AE806" t="s">
        <v>74</v>
      </c>
      <c r="AF806" t="s">
        <v>74</v>
      </c>
      <c r="AG806">
        <v>26</v>
      </c>
      <c r="AH806">
        <v>5</v>
      </c>
      <c r="AI806">
        <v>5</v>
      </c>
      <c r="AJ806">
        <v>3</v>
      </c>
      <c r="AK806">
        <v>18</v>
      </c>
      <c r="AL806" t="s">
        <v>4018</v>
      </c>
      <c r="AM806" t="s">
        <v>4019</v>
      </c>
      <c r="AN806" t="s">
        <v>4020</v>
      </c>
      <c r="AO806" t="s">
        <v>13783</v>
      </c>
      <c r="AP806" t="s">
        <v>74</v>
      </c>
      <c r="AQ806" t="s">
        <v>74</v>
      </c>
      <c r="AR806" t="s">
        <v>13784</v>
      </c>
      <c r="AS806" t="s">
        <v>13785</v>
      </c>
      <c r="AT806" t="s">
        <v>13786</v>
      </c>
      <c r="AU806">
        <v>2012</v>
      </c>
      <c r="AV806">
        <v>518</v>
      </c>
      <c r="AW806">
        <v>2</v>
      </c>
      <c r="AX806" t="s">
        <v>74</v>
      </c>
      <c r="AY806" t="s">
        <v>74</v>
      </c>
      <c r="AZ806" t="s">
        <v>74</v>
      </c>
      <c r="BA806" t="s">
        <v>74</v>
      </c>
      <c r="BB806">
        <v>172</v>
      </c>
      <c r="BC806">
        <v>175</v>
      </c>
      <c r="BD806" t="s">
        <v>74</v>
      </c>
      <c r="BE806" t="s">
        <v>13787</v>
      </c>
      <c r="BF806" t="str">
        <f>HYPERLINK("http://dx.doi.org/10.1016/j.neulet.2012.05.004","http://dx.doi.org/10.1016/j.neulet.2012.05.004")</f>
        <v>http://dx.doi.org/10.1016/j.neulet.2012.05.004</v>
      </c>
      <c r="BG806" t="s">
        <v>74</v>
      </c>
      <c r="BH806" t="s">
        <v>74</v>
      </c>
      <c r="BI806">
        <v>4</v>
      </c>
      <c r="BJ806" t="s">
        <v>13788</v>
      </c>
      <c r="BK806" t="s">
        <v>283</v>
      </c>
      <c r="BL806" t="s">
        <v>13789</v>
      </c>
      <c r="BM806" t="s">
        <v>13790</v>
      </c>
      <c r="BN806">
        <v>22579821</v>
      </c>
      <c r="BO806" t="s">
        <v>74</v>
      </c>
      <c r="BP806" t="s">
        <v>74</v>
      </c>
      <c r="BQ806" t="s">
        <v>74</v>
      </c>
      <c r="BR806" t="s">
        <v>97</v>
      </c>
      <c r="BS806" t="s">
        <v>13791</v>
      </c>
      <c r="BT806" t="str">
        <f>HYPERLINK("https%3A%2F%2Fwww.webofscience.com%2Fwos%2Fwoscc%2Ffull-record%2FWOS:000305713200020","View Full Record in Web of Science")</f>
        <v>View Full Record in Web of Science</v>
      </c>
    </row>
    <row r="807" spans="1:72" x14ac:dyDescent="0.25">
      <c r="A807" t="s">
        <v>72</v>
      </c>
      <c r="B807" t="s">
        <v>13792</v>
      </c>
      <c r="C807" t="s">
        <v>74</v>
      </c>
      <c r="D807" t="s">
        <v>74</v>
      </c>
      <c r="E807" t="s">
        <v>74</v>
      </c>
      <c r="F807" t="s">
        <v>13793</v>
      </c>
      <c r="G807" t="s">
        <v>74</v>
      </c>
      <c r="H807" t="s">
        <v>74</v>
      </c>
      <c r="I807" t="s">
        <v>13794</v>
      </c>
      <c r="J807" t="s">
        <v>13795</v>
      </c>
      <c r="K807" t="s">
        <v>74</v>
      </c>
      <c r="L807" t="s">
        <v>74</v>
      </c>
      <c r="M807" t="s">
        <v>77</v>
      </c>
      <c r="N807" t="s">
        <v>78</v>
      </c>
      <c r="O807" t="s">
        <v>74</v>
      </c>
      <c r="P807" t="s">
        <v>74</v>
      </c>
      <c r="Q807" t="s">
        <v>74</v>
      </c>
      <c r="R807" t="s">
        <v>74</v>
      </c>
      <c r="S807" t="s">
        <v>74</v>
      </c>
      <c r="T807" t="s">
        <v>13796</v>
      </c>
      <c r="U807" t="s">
        <v>13797</v>
      </c>
      <c r="V807" t="s">
        <v>13798</v>
      </c>
      <c r="W807" t="s">
        <v>13799</v>
      </c>
      <c r="X807" t="s">
        <v>13800</v>
      </c>
      <c r="Y807" t="s">
        <v>13801</v>
      </c>
      <c r="Z807" t="s">
        <v>13802</v>
      </c>
      <c r="AA807" t="s">
        <v>13803</v>
      </c>
      <c r="AB807" t="s">
        <v>13804</v>
      </c>
      <c r="AC807" t="s">
        <v>13805</v>
      </c>
      <c r="AD807" t="s">
        <v>13806</v>
      </c>
      <c r="AE807" t="s">
        <v>13807</v>
      </c>
      <c r="AF807" t="s">
        <v>74</v>
      </c>
      <c r="AG807">
        <v>106</v>
      </c>
      <c r="AH807">
        <v>5</v>
      </c>
      <c r="AI807">
        <v>5</v>
      </c>
      <c r="AJ807">
        <v>0</v>
      </c>
      <c r="AK807">
        <v>14</v>
      </c>
      <c r="AL807" t="s">
        <v>138</v>
      </c>
      <c r="AM807" t="s">
        <v>139</v>
      </c>
      <c r="AN807" t="s">
        <v>140</v>
      </c>
      <c r="AO807" t="s">
        <v>13808</v>
      </c>
      <c r="AP807" t="s">
        <v>13809</v>
      </c>
      <c r="AQ807" t="s">
        <v>74</v>
      </c>
      <c r="AR807" t="s">
        <v>13810</v>
      </c>
      <c r="AS807" t="s">
        <v>13811</v>
      </c>
      <c r="AT807" t="s">
        <v>200</v>
      </c>
      <c r="AU807">
        <v>2011</v>
      </c>
      <c r="AV807">
        <v>6</v>
      </c>
      <c r="AW807">
        <v>2</v>
      </c>
      <c r="AX807" t="s">
        <v>74</v>
      </c>
      <c r="AY807" t="s">
        <v>74</v>
      </c>
      <c r="AZ807" t="s">
        <v>74</v>
      </c>
      <c r="BA807" t="s">
        <v>74</v>
      </c>
      <c r="BB807">
        <v>94</v>
      </c>
      <c r="BC807">
        <v>101</v>
      </c>
      <c r="BD807" t="s">
        <v>74</v>
      </c>
      <c r="BE807" t="s">
        <v>13812</v>
      </c>
      <c r="BF807" t="str">
        <f>HYPERLINK("http://dx.doi.org/10.1097/COH.0b013e328343ad93","http://dx.doi.org/10.1097/COH.0b013e328343ad93")</f>
        <v>http://dx.doi.org/10.1097/COH.0b013e328343ad93</v>
      </c>
      <c r="BG807" t="s">
        <v>74</v>
      </c>
      <c r="BH807" t="s">
        <v>74</v>
      </c>
      <c r="BI807">
        <v>8</v>
      </c>
      <c r="BJ807" t="s">
        <v>3474</v>
      </c>
      <c r="BK807" t="s">
        <v>147</v>
      </c>
      <c r="BL807" t="s">
        <v>3474</v>
      </c>
      <c r="BM807" t="s">
        <v>13813</v>
      </c>
      <c r="BN807">
        <v>21505382</v>
      </c>
      <c r="BO807" t="s">
        <v>74</v>
      </c>
      <c r="BP807" t="s">
        <v>74</v>
      </c>
      <c r="BQ807" t="s">
        <v>74</v>
      </c>
      <c r="BR807" t="s">
        <v>97</v>
      </c>
      <c r="BS807" t="s">
        <v>13814</v>
      </c>
      <c r="BT807" t="str">
        <f>HYPERLINK("https%3A%2F%2Fwww.webofscience.com%2Fwos%2Fwoscc%2Ffull-record%2FWOS:000295511900002","View Full Record in Web of Science")</f>
        <v>View Full Record in Web of Science</v>
      </c>
    </row>
    <row r="808" spans="1:72" x14ac:dyDescent="0.25">
      <c r="A808" t="s">
        <v>72</v>
      </c>
      <c r="B808" t="s">
        <v>13815</v>
      </c>
      <c r="C808" t="s">
        <v>74</v>
      </c>
      <c r="D808" t="s">
        <v>74</v>
      </c>
      <c r="E808" t="s">
        <v>74</v>
      </c>
      <c r="F808" t="s">
        <v>13816</v>
      </c>
      <c r="G808" t="s">
        <v>74</v>
      </c>
      <c r="H808" t="s">
        <v>74</v>
      </c>
      <c r="I808" t="s">
        <v>13817</v>
      </c>
      <c r="J808" t="s">
        <v>13818</v>
      </c>
      <c r="K808" t="s">
        <v>74</v>
      </c>
      <c r="L808" t="s">
        <v>74</v>
      </c>
      <c r="M808" t="s">
        <v>12449</v>
      </c>
      <c r="N808" t="s">
        <v>78</v>
      </c>
      <c r="O808" t="s">
        <v>74</v>
      </c>
      <c r="P808" t="s">
        <v>74</v>
      </c>
      <c r="Q808" t="s">
        <v>74</v>
      </c>
      <c r="R808" t="s">
        <v>74</v>
      </c>
      <c r="S808" t="s">
        <v>74</v>
      </c>
      <c r="T808" t="s">
        <v>13819</v>
      </c>
      <c r="U808" t="s">
        <v>74</v>
      </c>
      <c r="V808" t="s">
        <v>13820</v>
      </c>
      <c r="W808" t="s">
        <v>13821</v>
      </c>
      <c r="X808" t="s">
        <v>2084</v>
      </c>
      <c r="Y808" t="s">
        <v>13822</v>
      </c>
      <c r="Z808" t="s">
        <v>74</v>
      </c>
      <c r="AA808" t="s">
        <v>13823</v>
      </c>
      <c r="AB808" t="s">
        <v>13824</v>
      </c>
      <c r="AC808" t="s">
        <v>74</v>
      </c>
      <c r="AD808" t="s">
        <v>74</v>
      </c>
      <c r="AE808" t="s">
        <v>74</v>
      </c>
      <c r="AF808" t="s">
        <v>74</v>
      </c>
      <c r="AG808">
        <v>40</v>
      </c>
      <c r="AH808">
        <v>5</v>
      </c>
      <c r="AI808">
        <v>5</v>
      </c>
      <c r="AJ808">
        <v>0</v>
      </c>
      <c r="AK808">
        <v>5</v>
      </c>
      <c r="AL808" t="s">
        <v>13825</v>
      </c>
      <c r="AM808" t="s">
        <v>8003</v>
      </c>
      <c r="AN808" t="s">
        <v>13826</v>
      </c>
      <c r="AO808" t="s">
        <v>13827</v>
      </c>
      <c r="AP808" t="s">
        <v>13828</v>
      </c>
      <c r="AQ808" t="s">
        <v>74</v>
      </c>
      <c r="AR808" t="s">
        <v>13829</v>
      </c>
      <c r="AS808" t="s">
        <v>13830</v>
      </c>
      <c r="AT808" t="s">
        <v>74</v>
      </c>
      <c r="AU808">
        <v>2009</v>
      </c>
      <c r="AV808" t="s">
        <v>74</v>
      </c>
      <c r="AW808">
        <v>50</v>
      </c>
      <c r="AX808" t="s">
        <v>74</v>
      </c>
      <c r="AY808" t="s">
        <v>74</v>
      </c>
      <c r="AZ808" t="s">
        <v>74</v>
      </c>
      <c r="BA808" t="s">
        <v>74</v>
      </c>
      <c r="BB808">
        <v>315</v>
      </c>
      <c r="BC808">
        <v>348</v>
      </c>
      <c r="BD808" t="s">
        <v>74</v>
      </c>
      <c r="BE808" t="s">
        <v>74</v>
      </c>
      <c r="BF808" t="s">
        <v>74</v>
      </c>
      <c r="BG808" t="s">
        <v>74</v>
      </c>
      <c r="BH808" t="s">
        <v>74</v>
      </c>
      <c r="BI808">
        <v>34</v>
      </c>
      <c r="BJ808" t="s">
        <v>13831</v>
      </c>
      <c r="BK808" t="s">
        <v>94</v>
      </c>
      <c r="BL808" t="s">
        <v>13831</v>
      </c>
      <c r="BM808" t="s">
        <v>13832</v>
      </c>
      <c r="BN808" t="s">
        <v>74</v>
      </c>
      <c r="BO808" t="s">
        <v>74</v>
      </c>
      <c r="BP808" t="s">
        <v>74</v>
      </c>
      <c r="BQ808" t="s">
        <v>74</v>
      </c>
      <c r="BR808" t="s">
        <v>97</v>
      </c>
      <c r="BS808" t="s">
        <v>13833</v>
      </c>
      <c r="BT808" t="str">
        <f>HYPERLINK("https%3A%2F%2Fwww.webofscience.com%2Fwos%2Fwoscc%2Ffull-record%2FWOS:000272402200014","View Full Record in Web of Science")</f>
        <v>View Full Record in Web of Science</v>
      </c>
    </row>
    <row r="809" spans="1:72" x14ac:dyDescent="0.25">
      <c r="A809" t="s">
        <v>72</v>
      </c>
      <c r="B809" t="s">
        <v>3389</v>
      </c>
      <c r="C809" t="s">
        <v>74</v>
      </c>
      <c r="D809" t="s">
        <v>74</v>
      </c>
      <c r="E809" t="s">
        <v>74</v>
      </c>
      <c r="F809" t="s">
        <v>3390</v>
      </c>
      <c r="G809" t="s">
        <v>74</v>
      </c>
      <c r="H809" t="s">
        <v>74</v>
      </c>
      <c r="I809" t="s">
        <v>13834</v>
      </c>
      <c r="J809" t="s">
        <v>13835</v>
      </c>
      <c r="K809" t="s">
        <v>74</v>
      </c>
      <c r="L809" t="s">
        <v>74</v>
      </c>
      <c r="M809" t="s">
        <v>11465</v>
      </c>
      <c r="N809" t="s">
        <v>78</v>
      </c>
      <c r="O809" t="s">
        <v>74</v>
      </c>
      <c r="P809" t="s">
        <v>74</v>
      </c>
      <c r="Q809" t="s">
        <v>74</v>
      </c>
      <c r="R809" t="s">
        <v>74</v>
      </c>
      <c r="S809" t="s">
        <v>74</v>
      </c>
      <c r="T809" t="s">
        <v>13836</v>
      </c>
      <c r="U809" t="s">
        <v>13837</v>
      </c>
      <c r="V809" t="s">
        <v>13838</v>
      </c>
      <c r="W809" t="s">
        <v>13839</v>
      </c>
      <c r="X809" t="s">
        <v>3395</v>
      </c>
      <c r="Y809" t="s">
        <v>13840</v>
      </c>
      <c r="Z809" t="s">
        <v>13841</v>
      </c>
      <c r="AA809" t="s">
        <v>74</v>
      </c>
      <c r="AB809" t="s">
        <v>74</v>
      </c>
      <c r="AC809" t="s">
        <v>74</v>
      </c>
      <c r="AD809" t="s">
        <v>74</v>
      </c>
      <c r="AE809" t="s">
        <v>74</v>
      </c>
      <c r="AF809" t="s">
        <v>74</v>
      </c>
      <c r="AG809">
        <v>69</v>
      </c>
      <c r="AH809">
        <v>5</v>
      </c>
      <c r="AI809">
        <v>5</v>
      </c>
      <c r="AJ809">
        <v>1</v>
      </c>
      <c r="AK809">
        <v>38</v>
      </c>
      <c r="AL809" t="s">
        <v>2652</v>
      </c>
      <c r="AM809" t="s">
        <v>2653</v>
      </c>
      <c r="AN809" t="s">
        <v>2654</v>
      </c>
      <c r="AO809" t="s">
        <v>13842</v>
      </c>
      <c r="AP809" t="s">
        <v>74</v>
      </c>
      <c r="AQ809" t="s">
        <v>74</v>
      </c>
      <c r="AR809" t="s">
        <v>13843</v>
      </c>
      <c r="AS809" t="s">
        <v>13844</v>
      </c>
      <c r="AT809" t="s">
        <v>74</v>
      </c>
      <c r="AU809">
        <v>2009</v>
      </c>
      <c r="AV809">
        <v>8</v>
      </c>
      <c r="AW809">
        <v>2</v>
      </c>
      <c r="AX809" t="s">
        <v>74</v>
      </c>
      <c r="AY809" t="s">
        <v>74</v>
      </c>
      <c r="AZ809" t="s">
        <v>74</v>
      </c>
      <c r="BA809" t="s">
        <v>74</v>
      </c>
      <c r="BB809">
        <v>47</v>
      </c>
      <c r="BC809">
        <v>58</v>
      </c>
      <c r="BD809" t="s">
        <v>74</v>
      </c>
      <c r="BE809" t="s">
        <v>13845</v>
      </c>
      <c r="BF809" t="str">
        <f>HYPERLINK("http://dx.doi.org/10.1026/1617-6391.8.2.47","http://dx.doi.org/10.1026/1617-6391.8.2.47")</f>
        <v>http://dx.doi.org/10.1026/1617-6391.8.2.47</v>
      </c>
      <c r="BG809" t="s">
        <v>74</v>
      </c>
      <c r="BH809" t="s">
        <v>74</v>
      </c>
      <c r="BI809">
        <v>12</v>
      </c>
      <c r="BJ809" t="s">
        <v>692</v>
      </c>
      <c r="BK809" t="s">
        <v>94</v>
      </c>
      <c r="BL809" t="s">
        <v>460</v>
      </c>
      <c r="BM809" t="s">
        <v>13846</v>
      </c>
      <c r="BN809" t="s">
        <v>74</v>
      </c>
      <c r="BO809" t="s">
        <v>74</v>
      </c>
      <c r="BP809" t="s">
        <v>74</v>
      </c>
      <c r="BQ809" t="s">
        <v>74</v>
      </c>
      <c r="BR809" t="s">
        <v>97</v>
      </c>
      <c r="BS809" t="s">
        <v>13847</v>
      </c>
      <c r="BT809" t="str">
        <f>HYPERLINK("https%3A%2F%2Fwww.webofscience.com%2Fwos%2Fwoscc%2Ffull-record%2FWOS:000265125300002","View Full Record in Web of Science")</f>
        <v>View Full Record in Web of Science</v>
      </c>
    </row>
    <row r="810" spans="1:72" x14ac:dyDescent="0.25">
      <c r="A810" t="s">
        <v>72</v>
      </c>
      <c r="B810" t="s">
        <v>13848</v>
      </c>
      <c r="C810" t="s">
        <v>74</v>
      </c>
      <c r="D810" t="s">
        <v>74</v>
      </c>
      <c r="E810" t="s">
        <v>74</v>
      </c>
      <c r="F810" t="s">
        <v>13848</v>
      </c>
      <c r="G810" t="s">
        <v>74</v>
      </c>
      <c r="H810" t="s">
        <v>74</v>
      </c>
      <c r="I810" t="s">
        <v>13849</v>
      </c>
      <c r="J810" t="s">
        <v>9190</v>
      </c>
      <c r="K810" t="s">
        <v>74</v>
      </c>
      <c r="L810" t="s">
        <v>74</v>
      </c>
      <c r="M810" t="s">
        <v>77</v>
      </c>
      <c r="N810" t="s">
        <v>78</v>
      </c>
      <c r="O810" t="s">
        <v>74</v>
      </c>
      <c r="P810" t="s">
        <v>74</v>
      </c>
      <c r="Q810" t="s">
        <v>74</v>
      </c>
      <c r="R810" t="s">
        <v>74</v>
      </c>
      <c r="S810" t="s">
        <v>74</v>
      </c>
      <c r="T810" t="s">
        <v>74</v>
      </c>
      <c r="U810" t="s">
        <v>13850</v>
      </c>
      <c r="V810" t="s">
        <v>13851</v>
      </c>
      <c r="W810" t="s">
        <v>13852</v>
      </c>
      <c r="X810" t="s">
        <v>13853</v>
      </c>
      <c r="Y810" t="s">
        <v>13854</v>
      </c>
      <c r="Z810" t="s">
        <v>74</v>
      </c>
      <c r="AA810" t="s">
        <v>74</v>
      </c>
      <c r="AB810" t="s">
        <v>74</v>
      </c>
      <c r="AC810" t="s">
        <v>74</v>
      </c>
      <c r="AD810" t="s">
        <v>74</v>
      </c>
      <c r="AE810" t="s">
        <v>74</v>
      </c>
      <c r="AF810" t="s">
        <v>74</v>
      </c>
      <c r="AG810">
        <v>35</v>
      </c>
      <c r="AH810">
        <v>5</v>
      </c>
      <c r="AI810">
        <v>6</v>
      </c>
      <c r="AJ810">
        <v>0</v>
      </c>
      <c r="AK810">
        <v>30</v>
      </c>
      <c r="AL810" t="s">
        <v>511</v>
      </c>
      <c r="AM810" t="s">
        <v>435</v>
      </c>
      <c r="AN810" t="s">
        <v>512</v>
      </c>
      <c r="AO810" t="s">
        <v>9197</v>
      </c>
      <c r="AP810" t="s">
        <v>74</v>
      </c>
      <c r="AQ810" t="s">
        <v>74</v>
      </c>
      <c r="AR810" t="s">
        <v>9190</v>
      </c>
      <c r="AS810" t="s">
        <v>9198</v>
      </c>
      <c r="AT810" t="s">
        <v>91</v>
      </c>
      <c r="AU810">
        <v>1998</v>
      </c>
      <c r="AV810">
        <v>42</v>
      </c>
      <c r="AW810">
        <v>2</v>
      </c>
      <c r="AX810" t="s">
        <v>74</v>
      </c>
      <c r="AY810" t="s">
        <v>74</v>
      </c>
      <c r="AZ810" t="s">
        <v>74</v>
      </c>
      <c r="BA810" t="s">
        <v>74</v>
      </c>
      <c r="BB810">
        <v>129</v>
      </c>
      <c r="BC810">
        <v>169</v>
      </c>
      <c r="BD810" t="s">
        <v>74</v>
      </c>
      <c r="BE810" t="s">
        <v>74</v>
      </c>
      <c r="BF810" t="s">
        <v>74</v>
      </c>
      <c r="BG810" t="s">
        <v>74</v>
      </c>
      <c r="BH810" t="s">
        <v>74</v>
      </c>
      <c r="BI810">
        <v>41</v>
      </c>
      <c r="BJ810" t="s">
        <v>9200</v>
      </c>
      <c r="BK810" t="s">
        <v>147</v>
      </c>
      <c r="BL810" t="s">
        <v>9201</v>
      </c>
      <c r="BM810" t="s">
        <v>13855</v>
      </c>
      <c r="BN810" t="s">
        <v>74</v>
      </c>
      <c r="BO810" t="s">
        <v>74</v>
      </c>
      <c r="BP810" t="s">
        <v>74</v>
      </c>
      <c r="BQ810" t="s">
        <v>74</v>
      </c>
      <c r="BR810" t="s">
        <v>97</v>
      </c>
      <c r="BS810" t="s">
        <v>13856</v>
      </c>
      <c r="BT810" t="str">
        <f>HYPERLINK("https%3A%2F%2Fwww.webofscience.com%2Fwos%2Fwoscc%2Ffull-record%2FWOS:000074470600003","View Full Record in Web of Science")</f>
        <v>View Full Record in Web of Science</v>
      </c>
    </row>
    <row r="811" spans="1:72" x14ac:dyDescent="0.25">
      <c r="A811" t="s">
        <v>72</v>
      </c>
      <c r="B811" t="s">
        <v>13857</v>
      </c>
      <c r="C811" t="s">
        <v>74</v>
      </c>
      <c r="D811" t="s">
        <v>74</v>
      </c>
      <c r="E811" t="s">
        <v>74</v>
      </c>
      <c r="F811" t="s">
        <v>13857</v>
      </c>
      <c r="G811" t="s">
        <v>74</v>
      </c>
      <c r="H811" t="s">
        <v>74</v>
      </c>
      <c r="I811" t="s">
        <v>13858</v>
      </c>
      <c r="J811" t="s">
        <v>2532</v>
      </c>
      <c r="K811" t="s">
        <v>74</v>
      </c>
      <c r="L811" t="s">
        <v>74</v>
      </c>
      <c r="M811" t="s">
        <v>77</v>
      </c>
      <c r="N811" t="s">
        <v>78</v>
      </c>
      <c r="O811" t="s">
        <v>74</v>
      </c>
      <c r="P811" t="s">
        <v>74</v>
      </c>
      <c r="Q811" t="s">
        <v>74</v>
      </c>
      <c r="R811" t="s">
        <v>74</v>
      </c>
      <c r="S811" t="s">
        <v>74</v>
      </c>
      <c r="T811" t="s">
        <v>13859</v>
      </c>
      <c r="U811" t="s">
        <v>13860</v>
      </c>
      <c r="V811" t="s">
        <v>13861</v>
      </c>
      <c r="W811" t="s">
        <v>13862</v>
      </c>
      <c r="X811" t="s">
        <v>13863</v>
      </c>
      <c r="Y811" t="s">
        <v>13864</v>
      </c>
      <c r="Z811" t="s">
        <v>74</v>
      </c>
      <c r="AA811" t="s">
        <v>74</v>
      </c>
      <c r="AB811" t="s">
        <v>74</v>
      </c>
      <c r="AC811" t="s">
        <v>74</v>
      </c>
      <c r="AD811" t="s">
        <v>74</v>
      </c>
      <c r="AE811" t="s">
        <v>74</v>
      </c>
      <c r="AF811" t="s">
        <v>74</v>
      </c>
      <c r="AG811">
        <v>52</v>
      </c>
      <c r="AH811">
        <v>5</v>
      </c>
      <c r="AI811">
        <v>5</v>
      </c>
      <c r="AJ811">
        <v>1</v>
      </c>
      <c r="AK811">
        <v>7</v>
      </c>
      <c r="AL811" t="s">
        <v>7631</v>
      </c>
      <c r="AM811" t="s">
        <v>305</v>
      </c>
      <c r="AN811" t="s">
        <v>7632</v>
      </c>
      <c r="AO811" t="s">
        <v>2540</v>
      </c>
      <c r="AP811" t="s">
        <v>74</v>
      </c>
      <c r="AQ811" t="s">
        <v>74</v>
      </c>
      <c r="AR811" t="s">
        <v>2541</v>
      </c>
      <c r="AS811" t="s">
        <v>2542</v>
      </c>
      <c r="AT811" t="s">
        <v>165</v>
      </c>
      <c r="AU811">
        <v>1998</v>
      </c>
      <c r="AV811">
        <v>32</v>
      </c>
      <c r="AW811">
        <v>3</v>
      </c>
      <c r="AX811" t="s">
        <v>74</v>
      </c>
      <c r="AY811" t="s">
        <v>74</v>
      </c>
      <c r="AZ811" t="s">
        <v>74</v>
      </c>
      <c r="BA811" t="s">
        <v>74</v>
      </c>
      <c r="BB811">
        <v>209</v>
      </c>
      <c r="BC811">
        <v>222</v>
      </c>
      <c r="BD811" t="s">
        <v>74</v>
      </c>
      <c r="BE811" t="s">
        <v>13865</v>
      </c>
      <c r="BF811" t="str">
        <f>HYPERLINK("http://dx.doi.org/10.1080/00343409850119715","http://dx.doi.org/10.1080/00343409850119715")</f>
        <v>http://dx.doi.org/10.1080/00343409850119715</v>
      </c>
      <c r="BG811" t="s">
        <v>74</v>
      </c>
      <c r="BH811" t="s">
        <v>74</v>
      </c>
      <c r="BI811">
        <v>14</v>
      </c>
      <c r="BJ811" t="s">
        <v>2544</v>
      </c>
      <c r="BK811" t="s">
        <v>94</v>
      </c>
      <c r="BL811" t="s">
        <v>2545</v>
      </c>
      <c r="BM811" t="s">
        <v>13866</v>
      </c>
      <c r="BN811" t="s">
        <v>74</v>
      </c>
      <c r="BO811" t="s">
        <v>74</v>
      </c>
      <c r="BP811" t="s">
        <v>74</v>
      </c>
      <c r="BQ811" t="s">
        <v>74</v>
      </c>
      <c r="BR811" t="s">
        <v>97</v>
      </c>
      <c r="BS811" t="s">
        <v>13867</v>
      </c>
      <c r="BT811" t="str">
        <f>HYPERLINK("https%3A%2F%2Fwww.webofscience.com%2Fwos%2Fwoscc%2Ffull-record%2FWOS:000073862700001","View Full Record in Web of Science")</f>
        <v>View Full Record in Web of Science</v>
      </c>
    </row>
    <row r="812" spans="1:72" x14ac:dyDescent="0.25">
      <c r="A812" t="s">
        <v>72</v>
      </c>
      <c r="B812" t="s">
        <v>13868</v>
      </c>
      <c r="C812" t="s">
        <v>74</v>
      </c>
      <c r="D812" t="s">
        <v>74</v>
      </c>
      <c r="E812" t="s">
        <v>74</v>
      </c>
      <c r="F812" t="s">
        <v>13868</v>
      </c>
      <c r="G812" t="s">
        <v>74</v>
      </c>
      <c r="H812" t="s">
        <v>74</v>
      </c>
      <c r="I812" t="s">
        <v>13869</v>
      </c>
      <c r="J812" t="s">
        <v>13870</v>
      </c>
      <c r="K812" t="s">
        <v>74</v>
      </c>
      <c r="L812" t="s">
        <v>74</v>
      </c>
      <c r="M812" t="s">
        <v>77</v>
      </c>
      <c r="N812" t="s">
        <v>78</v>
      </c>
      <c r="O812" t="s">
        <v>74</v>
      </c>
      <c r="P812" t="s">
        <v>74</v>
      </c>
      <c r="Q812" t="s">
        <v>74</v>
      </c>
      <c r="R812" t="s">
        <v>74</v>
      </c>
      <c r="S812" t="s">
        <v>74</v>
      </c>
      <c r="T812" t="s">
        <v>13871</v>
      </c>
      <c r="U812" t="s">
        <v>74</v>
      </c>
      <c r="V812" t="s">
        <v>13872</v>
      </c>
      <c r="W812" t="s">
        <v>13873</v>
      </c>
      <c r="X812" t="s">
        <v>2027</v>
      </c>
      <c r="Y812" t="s">
        <v>13874</v>
      </c>
      <c r="Z812" t="s">
        <v>74</v>
      </c>
      <c r="AA812" t="s">
        <v>74</v>
      </c>
      <c r="AB812" t="s">
        <v>13875</v>
      </c>
      <c r="AC812" t="s">
        <v>74</v>
      </c>
      <c r="AD812" t="s">
        <v>74</v>
      </c>
      <c r="AE812" t="s">
        <v>74</v>
      </c>
      <c r="AF812" t="s">
        <v>74</v>
      </c>
      <c r="AG812">
        <v>41</v>
      </c>
      <c r="AH812">
        <v>5</v>
      </c>
      <c r="AI812">
        <v>5</v>
      </c>
      <c r="AJ812">
        <v>0</v>
      </c>
      <c r="AK812">
        <v>12</v>
      </c>
      <c r="AL812" t="s">
        <v>1006</v>
      </c>
      <c r="AM812" t="s">
        <v>160</v>
      </c>
      <c r="AN812" t="s">
        <v>1007</v>
      </c>
      <c r="AO812" t="s">
        <v>13876</v>
      </c>
      <c r="AP812" t="s">
        <v>13877</v>
      </c>
      <c r="AQ812" t="s">
        <v>74</v>
      </c>
      <c r="AR812" t="s">
        <v>13878</v>
      </c>
      <c r="AS812" t="s">
        <v>13879</v>
      </c>
      <c r="AT812" t="s">
        <v>74</v>
      </c>
      <c r="AU812">
        <v>1998</v>
      </c>
      <c r="AV812">
        <v>25</v>
      </c>
      <c r="AW812">
        <v>2</v>
      </c>
      <c r="AX812" t="s">
        <v>74</v>
      </c>
      <c r="AY812" t="s">
        <v>74</v>
      </c>
      <c r="AZ812" t="s">
        <v>74</v>
      </c>
      <c r="BA812" t="s">
        <v>74</v>
      </c>
      <c r="BB812">
        <v>210</v>
      </c>
      <c r="BC812">
        <v>227</v>
      </c>
      <c r="BD812" t="s">
        <v>74</v>
      </c>
      <c r="BE812" t="s">
        <v>13880</v>
      </c>
      <c r="BF812" t="str">
        <f>HYPERLINK("http://dx.doi.org/10.1093/erae/25.2.210","http://dx.doi.org/10.1093/erae/25.2.210")</f>
        <v>http://dx.doi.org/10.1093/erae/25.2.210</v>
      </c>
      <c r="BG812" t="s">
        <v>74</v>
      </c>
      <c r="BH812" t="s">
        <v>74</v>
      </c>
      <c r="BI812">
        <v>18</v>
      </c>
      <c r="BJ812" t="s">
        <v>13881</v>
      </c>
      <c r="BK812" t="s">
        <v>147</v>
      </c>
      <c r="BL812" t="s">
        <v>13882</v>
      </c>
      <c r="BM812" t="s">
        <v>13883</v>
      </c>
      <c r="BN812" t="s">
        <v>74</v>
      </c>
      <c r="BO812" t="s">
        <v>74</v>
      </c>
      <c r="BP812" t="s">
        <v>74</v>
      </c>
      <c r="BQ812" t="s">
        <v>74</v>
      </c>
      <c r="BR812" t="s">
        <v>97</v>
      </c>
      <c r="BS812" t="s">
        <v>13884</v>
      </c>
      <c r="BT812" t="str">
        <f>HYPERLINK("https%3A%2F%2Fwww.webofscience.com%2Fwos%2Fwoscc%2Ffull-record%2FWOS:000075103700004","View Full Record in Web of Science")</f>
        <v>View Full Record in Web of Science</v>
      </c>
    </row>
    <row r="813" spans="1:72" x14ac:dyDescent="0.25">
      <c r="A813" t="s">
        <v>72</v>
      </c>
      <c r="B813" t="s">
        <v>13885</v>
      </c>
      <c r="C813" t="s">
        <v>74</v>
      </c>
      <c r="D813" t="s">
        <v>74</v>
      </c>
      <c r="E813" t="s">
        <v>74</v>
      </c>
      <c r="F813" t="s">
        <v>13886</v>
      </c>
      <c r="G813" t="s">
        <v>74</v>
      </c>
      <c r="H813" t="s">
        <v>74</v>
      </c>
      <c r="I813" t="s">
        <v>13887</v>
      </c>
      <c r="J813" t="s">
        <v>4325</v>
      </c>
      <c r="K813" t="s">
        <v>74</v>
      </c>
      <c r="L813" t="s">
        <v>74</v>
      </c>
      <c r="M813" t="s">
        <v>77</v>
      </c>
      <c r="N813" t="s">
        <v>78</v>
      </c>
      <c r="O813" t="s">
        <v>74</v>
      </c>
      <c r="P813" t="s">
        <v>74</v>
      </c>
      <c r="Q813" t="s">
        <v>74</v>
      </c>
      <c r="R813" t="s">
        <v>74</v>
      </c>
      <c r="S813" t="s">
        <v>74</v>
      </c>
      <c r="T813" t="s">
        <v>13888</v>
      </c>
      <c r="U813" t="s">
        <v>13889</v>
      </c>
      <c r="V813" t="s">
        <v>13890</v>
      </c>
      <c r="W813" t="s">
        <v>13891</v>
      </c>
      <c r="X813" t="s">
        <v>13892</v>
      </c>
      <c r="Y813" t="s">
        <v>13893</v>
      </c>
      <c r="Z813" t="s">
        <v>13894</v>
      </c>
      <c r="AA813" t="s">
        <v>74</v>
      </c>
      <c r="AB813" t="s">
        <v>13895</v>
      </c>
      <c r="AC813" t="s">
        <v>74</v>
      </c>
      <c r="AD813" t="s">
        <v>74</v>
      </c>
      <c r="AE813" t="s">
        <v>74</v>
      </c>
      <c r="AF813" t="s">
        <v>74</v>
      </c>
      <c r="AG813">
        <v>95</v>
      </c>
      <c r="AH813">
        <v>4</v>
      </c>
      <c r="AI813">
        <v>4</v>
      </c>
      <c r="AJ813">
        <v>5</v>
      </c>
      <c r="AK813">
        <v>13</v>
      </c>
      <c r="AL813" t="s">
        <v>218</v>
      </c>
      <c r="AM813" t="s">
        <v>219</v>
      </c>
      <c r="AN813" t="s">
        <v>220</v>
      </c>
      <c r="AO813" t="s">
        <v>4332</v>
      </c>
      <c r="AP813" t="s">
        <v>4333</v>
      </c>
      <c r="AQ813" t="s">
        <v>74</v>
      </c>
      <c r="AR813" t="s">
        <v>4334</v>
      </c>
      <c r="AS813" t="s">
        <v>4335</v>
      </c>
      <c r="AT813" t="s">
        <v>496</v>
      </c>
      <c r="AU813">
        <v>2022</v>
      </c>
      <c r="AV813">
        <v>31</v>
      </c>
      <c r="AW813">
        <v>3</v>
      </c>
      <c r="AX813" t="s">
        <v>74</v>
      </c>
      <c r="AY813" t="s">
        <v>74</v>
      </c>
      <c r="AZ813" t="s">
        <v>74</v>
      </c>
      <c r="BA813" t="s">
        <v>74</v>
      </c>
      <c r="BB813">
        <v>410</v>
      </c>
      <c r="BC813">
        <v>429</v>
      </c>
      <c r="BD813" t="s">
        <v>74</v>
      </c>
      <c r="BE813" t="s">
        <v>13896</v>
      </c>
      <c r="BF813" t="str">
        <f>HYPERLINK("http://dx.doi.org/10.1111/caim.12510","http://dx.doi.org/10.1111/caim.12510")</f>
        <v>http://dx.doi.org/10.1111/caim.12510</v>
      </c>
      <c r="BG813" t="s">
        <v>74</v>
      </c>
      <c r="BH813" t="s">
        <v>11976</v>
      </c>
      <c r="BI813">
        <v>20</v>
      </c>
      <c r="BJ813" t="s">
        <v>442</v>
      </c>
      <c r="BK813" t="s">
        <v>94</v>
      </c>
      <c r="BL813" t="s">
        <v>95</v>
      </c>
      <c r="BM813" t="s">
        <v>13897</v>
      </c>
      <c r="BN813" t="s">
        <v>74</v>
      </c>
      <c r="BO813" t="s">
        <v>74</v>
      </c>
      <c r="BP813" t="s">
        <v>74</v>
      </c>
      <c r="BQ813" t="s">
        <v>74</v>
      </c>
      <c r="BR813" t="s">
        <v>97</v>
      </c>
      <c r="BS813" t="s">
        <v>13898</v>
      </c>
      <c r="BT813" t="str">
        <f>HYPERLINK("https%3A%2F%2Fwww.webofscience.com%2Fwos%2Fwoscc%2Ffull-record%2FWOS:000810764800001","View Full Record in Web of Science")</f>
        <v>View Full Record in Web of Science</v>
      </c>
    </row>
    <row r="814" spans="1:72" x14ac:dyDescent="0.25">
      <c r="A814" t="s">
        <v>72</v>
      </c>
      <c r="B814" t="s">
        <v>13899</v>
      </c>
      <c r="C814" t="s">
        <v>74</v>
      </c>
      <c r="D814" t="s">
        <v>74</v>
      </c>
      <c r="E814" t="s">
        <v>74</v>
      </c>
      <c r="F814" t="s">
        <v>13900</v>
      </c>
      <c r="G814" t="s">
        <v>74</v>
      </c>
      <c r="H814" t="s">
        <v>74</v>
      </c>
      <c r="I814" t="s">
        <v>13901</v>
      </c>
      <c r="J814" t="s">
        <v>592</v>
      </c>
      <c r="K814" t="s">
        <v>74</v>
      </c>
      <c r="L814" t="s">
        <v>74</v>
      </c>
      <c r="M814" t="s">
        <v>77</v>
      </c>
      <c r="N814" t="s">
        <v>78</v>
      </c>
      <c r="O814" t="s">
        <v>74</v>
      </c>
      <c r="P814" t="s">
        <v>74</v>
      </c>
      <c r="Q814" t="s">
        <v>74</v>
      </c>
      <c r="R814" t="s">
        <v>74</v>
      </c>
      <c r="S814" t="s">
        <v>74</v>
      </c>
      <c r="T814" t="s">
        <v>13902</v>
      </c>
      <c r="U814" t="s">
        <v>13903</v>
      </c>
      <c r="V814" t="s">
        <v>13904</v>
      </c>
      <c r="W814" t="s">
        <v>13905</v>
      </c>
      <c r="X814" t="s">
        <v>13906</v>
      </c>
      <c r="Y814" t="s">
        <v>13907</v>
      </c>
      <c r="Z814" t="s">
        <v>13908</v>
      </c>
      <c r="AA814" t="s">
        <v>13909</v>
      </c>
      <c r="AB814" t="s">
        <v>13910</v>
      </c>
      <c r="AC814" t="s">
        <v>74</v>
      </c>
      <c r="AD814" t="s">
        <v>74</v>
      </c>
      <c r="AE814" t="s">
        <v>74</v>
      </c>
      <c r="AF814" t="s">
        <v>74</v>
      </c>
      <c r="AG814">
        <v>109</v>
      </c>
      <c r="AH814">
        <v>4</v>
      </c>
      <c r="AI814">
        <v>4</v>
      </c>
      <c r="AJ814">
        <v>90</v>
      </c>
      <c r="AK814">
        <v>202</v>
      </c>
      <c r="AL814" t="s">
        <v>602</v>
      </c>
      <c r="AM814" t="s">
        <v>160</v>
      </c>
      <c r="AN814" t="s">
        <v>603</v>
      </c>
      <c r="AO814" t="s">
        <v>604</v>
      </c>
      <c r="AP814" t="s">
        <v>605</v>
      </c>
      <c r="AQ814" t="s">
        <v>74</v>
      </c>
      <c r="AR814" t="s">
        <v>606</v>
      </c>
      <c r="AS814" t="s">
        <v>607</v>
      </c>
      <c r="AT814" t="s">
        <v>256</v>
      </c>
      <c r="AU814">
        <v>2022</v>
      </c>
      <c r="AV814">
        <v>92</v>
      </c>
      <c r="AW814" t="s">
        <v>74</v>
      </c>
      <c r="AX814" t="s">
        <v>74</v>
      </c>
      <c r="AY814" t="s">
        <v>74</v>
      </c>
      <c r="AZ814" t="s">
        <v>74</v>
      </c>
      <c r="BA814" t="s">
        <v>74</v>
      </c>
      <c r="BB814" t="s">
        <v>74</v>
      </c>
      <c r="BC814" t="s">
        <v>74</v>
      </c>
      <c r="BD814">
        <v>104564</v>
      </c>
      <c r="BE814" t="s">
        <v>13911</v>
      </c>
      <c r="BF814" t="str">
        <f>HYPERLINK("http://dx.doi.org/10.1016/j.tourman.2022.104564","http://dx.doi.org/10.1016/j.tourman.2022.104564")</f>
        <v>http://dx.doi.org/10.1016/j.tourman.2022.104564</v>
      </c>
      <c r="BG814" t="s">
        <v>74</v>
      </c>
      <c r="BH814" t="s">
        <v>12534</v>
      </c>
      <c r="BI814">
        <v>14</v>
      </c>
      <c r="BJ814" t="s">
        <v>609</v>
      </c>
      <c r="BK814" t="s">
        <v>94</v>
      </c>
      <c r="BL814" t="s">
        <v>610</v>
      </c>
      <c r="BM814" t="s">
        <v>13912</v>
      </c>
      <c r="BN814" t="s">
        <v>74</v>
      </c>
      <c r="BO814" t="s">
        <v>74</v>
      </c>
      <c r="BP814" t="s">
        <v>74</v>
      </c>
      <c r="BQ814" t="s">
        <v>74</v>
      </c>
      <c r="BR814" t="s">
        <v>97</v>
      </c>
      <c r="BS814" t="s">
        <v>13913</v>
      </c>
      <c r="BT814" t="str">
        <f>HYPERLINK("https%3A%2F%2Fwww.webofscience.com%2Fwos%2Fwoscc%2Ffull-record%2FWOS:000805121500001","View Full Record in Web of Science")</f>
        <v>View Full Record in Web of Science</v>
      </c>
    </row>
    <row r="815" spans="1:72" x14ac:dyDescent="0.25">
      <c r="A815" t="s">
        <v>72</v>
      </c>
      <c r="B815" t="s">
        <v>13914</v>
      </c>
      <c r="C815" t="s">
        <v>74</v>
      </c>
      <c r="D815" t="s">
        <v>74</v>
      </c>
      <c r="E815" t="s">
        <v>74</v>
      </c>
      <c r="F815" t="s">
        <v>13915</v>
      </c>
      <c r="G815" t="s">
        <v>74</v>
      </c>
      <c r="H815" t="s">
        <v>74</v>
      </c>
      <c r="I815" t="s">
        <v>13916</v>
      </c>
      <c r="J815" t="s">
        <v>2463</v>
      </c>
      <c r="K815" t="s">
        <v>74</v>
      </c>
      <c r="L815" t="s">
        <v>74</v>
      </c>
      <c r="M815" t="s">
        <v>77</v>
      </c>
      <c r="N815" t="s">
        <v>78</v>
      </c>
      <c r="O815" t="s">
        <v>74</v>
      </c>
      <c r="P815" t="s">
        <v>74</v>
      </c>
      <c r="Q815" t="s">
        <v>74</v>
      </c>
      <c r="R815" t="s">
        <v>74</v>
      </c>
      <c r="S815" t="s">
        <v>74</v>
      </c>
      <c r="T815" t="s">
        <v>13917</v>
      </c>
      <c r="U815" t="s">
        <v>13918</v>
      </c>
      <c r="V815" t="s">
        <v>13919</v>
      </c>
      <c r="W815" t="s">
        <v>13920</v>
      </c>
      <c r="X815" t="s">
        <v>13921</v>
      </c>
      <c r="Y815" t="s">
        <v>13922</v>
      </c>
      <c r="Z815" t="s">
        <v>13923</v>
      </c>
      <c r="AA815" t="s">
        <v>74</v>
      </c>
      <c r="AB815" t="s">
        <v>13924</v>
      </c>
      <c r="AC815" t="s">
        <v>74</v>
      </c>
      <c r="AD815" t="s">
        <v>74</v>
      </c>
      <c r="AE815" t="s">
        <v>74</v>
      </c>
      <c r="AF815" t="s">
        <v>74</v>
      </c>
      <c r="AG815">
        <v>111</v>
      </c>
      <c r="AH815">
        <v>4</v>
      </c>
      <c r="AI815">
        <v>4</v>
      </c>
      <c r="AJ815">
        <v>36</v>
      </c>
      <c r="AK815">
        <v>60</v>
      </c>
      <c r="AL815" t="s">
        <v>2473</v>
      </c>
      <c r="AM815" t="s">
        <v>2102</v>
      </c>
      <c r="AN815" t="s">
        <v>2474</v>
      </c>
      <c r="AO815" t="s">
        <v>74</v>
      </c>
      <c r="AP815" t="s">
        <v>2475</v>
      </c>
      <c r="AQ815" t="s">
        <v>74</v>
      </c>
      <c r="AR815" t="s">
        <v>2476</v>
      </c>
      <c r="AS815" t="s">
        <v>2477</v>
      </c>
      <c r="AT815" t="s">
        <v>165</v>
      </c>
      <c r="AU815">
        <v>2022</v>
      </c>
      <c r="AV815">
        <v>14</v>
      </c>
      <c r="AW815">
        <v>9</v>
      </c>
      <c r="AX815" t="s">
        <v>74</v>
      </c>
      <c r="AY815" t="s">
        <v>74</v>
      </c>
      <c r="AZ815" t="s">
        <v>74</v>
      </c>
      <c r="BA815" t="s">
        <v>74</v>
      </c>
      <c r="BB815" t="s">
        <v>74</v>
      </c>
      <c r="BC815" t="s">
        <v>74</v>
      </c>
      <c r="BD815">
        <v>5125</v>
      </c>
      <c r="BE815" t="s">
        <v>13925</v>
      </c>
      <c r="BF815" t="str">
        <f>HYPERLINK("http://dx.doi.org/10.3390/su14095125","http://dx.doi.org/10.3390/su14095125")</f>
        <v>http://dx.doi.org/10.3390/su14095125</v>
      </c>
      <c r="BG815" t="s">
        <v>74</v>
      </c>
      <c r="BH815" t="s">
        <v>74</v>
      </c>
      <c r="BI815">
        <v>24</v>
      </c>
      <c r="BJ815" t="s">
        <v>2479</v>
      </c>
      <c r="BK815" t="s">
        <v>147</v>
      </c>
      <c r="BL815" t="s">
        <v>2480</v>
      </c>
      <c r="BM815" t="s">
        <v>13926</v>
      </c>
      <c r="BN815" t="s">
        <v>74</v>
      </c>
      <c r="BO815" t="s">
        <v>2482</v>
      </c>
      <c r="BP815" t="s">
        <v>74</v>
      </c>
      <c r="BQ815" t="s">
        <v>74</v>
      </c>
      <c r="BR815" t="s">
        <v>97</v>
      </c>
      <c r="BS815" t="s">
        <v>13927</v>
      </c>
      <c r="BT815" t="str">
        <f>HYPERLINK("https%3A%2F%2Fwww.webofscience.com%2Fwos%2Fwoscc%2Ffull-record%2FWOS:000795327300001","View Full Record in Web of Science")</f>
        <v>View Full Record in Web of Science</v>
      </c>
    </row>
    <row r="816" spans="1:72" x14ac:dyDescent="0.25">
      <c r="A816" t="s">
        <v>72</v>
      </c>
      <c r="B816" t="s">
        <v>13928</v>
      </c>
      <c r="C816" t="s">
        <v>74</v>
      </c>
      <c r="D816" t="s">
        <v>74</v>
      </c>
      <c r="E816" t="s">
        <v>74</v>
      </c>
      <c r="F816" t="s">
        <v>13929</v>
      </c>
      <c r="G816" t="s">
        <v>74</v>
      </c>
      <c r="H816" t="s">
        <v>74</v>
      </c>
      <c r="I816" t="s">
        <v>13930</v>
      </c>
      <c r="J816" t="s">
        <v>10561</v>
      </c>
      <c r="K816" t="s">
        <v>74</v>
      </c>
      <c r="L816" t="s">
        <v>74</v>
      </c>
      <c r="M816" t="s">
        <v>77</v>
      </c>
      <c r="N816" t="s">
        <v>78</v>
      </c>
      <c r="O816" t="s">
        <v>74</v>
      </c>
      <c r="P816" t="s">
        <v>74</v>
      </c>
      <c r="Q816" t="s">
        <v>74</v>
      </c>
      <c r="R816" t="s">
        <v>74</v>
      </c>
      <c r="S816" t="s">
        <v>74</v>
      </c>
      <c r="T816" t="s">
        <v>13931</v>
      </c>
      <c r="U816" t="s">
        <v>13932</v>
      </c>
      <c r="V816" t="s">
        <v>13933</v>
      </c>
      <c r="W816" t="s">
        <v>13934</v>
      </c>
      <c r="X816" t="s">
        <v>5733</v>
      </c>
      <c r="Y816" t="s">
        <v>13935</v>
      </c>
      <c r="Z816" t="s">
        <v>13936</v>
      </c>
      <c r="AA816" t="s">
        <v>1784</v>
      </c>
      <c r="AB816" t="s">
        <v>1785</v>
      </c>
      <c r="AC816" t="s">
        <v>13937</v>
      </c>
      <c r="AD816" t="s">
        <v>13377</v>
      </c>
      <c r="AE816" t="s">
        <v>13938</v>
      </c>
      <c r="AF816" t="s">
        <v>74</v>
      </c>
      <c r="AG816">
        <v>86</v>
      </c>
      <c r="AH816">
        <v>4</v>
      </c>
      <c r="AI816">
        <v>4</v>
      </c>
      <c r="AJ816">
        <v>31</v>
      </c>
      <c r="AK816">
        <v>47</v>
      </c>
      <c r="AL816" t="s">
        <v>2473</v>
      </c>
      <c r="AM816" t="s">
        <v>2102</v>
      </c>
      <c r="AN816" t="s">
        <v>2474</v>
      </c>
      <c r="AO816" t="s">
        <v>74</v>
      </c>
      <c r="AP816" t="s">
        <v>10570</v>
      </c>
      <c r="AQ816" t="s">
        <v>74</v>
      </c>
      <c r="AR816" t="s">
        <v>10571</v>
      </c>
      <c r="AS816" t="s">
        <v>10572</v>
      </c>
      <c r="AT816" t="s">
        <v>165</v>
      </c>
      <c r="AU816">
        <v>2022</v>
      </c>
      <c r="AV816">
        <v>12</v>
      </c>
      <c r="AW816">
        <v>5</v>
      </c>
      <c r="AX816" t="s">
        <v>74</v>
      </c>
      <c r="AY816" t="s">
        <v>74</v>
      </c>
      <c r="AZ816" t="s">
        <v>74</v>
      </c>
      <c r="BA816" t="s">
        <v>74</v>
      </c>
      <c r="BB816" t="s">
        <v>74</v>
      </c>
      <c r="BC816" t="s">
        <v>74</v>
      </c>
      <c r="BD816">
        <v>156</v>
      </c>
      <c r="BE816" t="s">
        <v>13939</v>
      </c>
      <c r="BF816" t="str">
        <f>HYPERLINK("http://dx.doi.org/10.3390/bs12050156","http://dx.doi.org/10.3390/bs12050156")</f>
        <v>http://dx.doi.org/10.3390/bs12050156</v>
      </c>
      <c r="BG816" t="s">
        <v>74</v>
      </c>
      <c r="BH816" t="s">
        <v>74</v>
      </c>
      <c r="BI816">
        <v>14</v>
      </c>
      <c r="BJ816" t="s">
        <v>3203</v>
      </c>
      <c r="BK816" t="s">
        <v>94</v>
      </c>
      <c r="BL816" t="s">
        <v>460</v>
      </c>
      <c r="BM816" t="s">
        <v>13940</v>
      </c>
      <c r="BN816">
        <v>35621453</v>
      </c>
      <c r="BO816" t="s">
        <v>4398</v>
      </c>
      <c r="BP816" t="s">
        <v>74</v>
      </c>
      <c r="BQ816" t="s">
        <v>74</v>
      </c>
      <c r="BR816" t="s">
        <v>97</v>
      </c>
      <c r="BS816" t="s">
        <v>13941</v>
      </c>
      <c r="BT816" t="str">
        <f>HYPERLINK("https%3A%2F%2Fwww.webofscience.com%2Fwos%2Fwoscc%2Ffull-record%2FWOS:000804282300001","View Full Record in Web of Science")</f>
        <v>View Full Record in Web of Science</v>
      </c>
    </row>
    <row r="817" spans="1:72" x14ac:dyDescent="0.25">
      <c r="A817" t="s">
        <v>72</v>
      </c>
      <c r="B817" t="s">
        <v>13942</v>
      </c>
      <c r="C817" t="s">
        <v>74</v>
      </c>
      <c r="D817" t="s">
        <v>74</v>
      </c>
      <c r="E817" t="s">
        <v>74</v>
      </c>
      <c r="F817" t="s">
        <v>13943</v>
      </c>
      <c r="G817" t="s">
        <v>74</v>
      </c>
      <c r="H817" t="s">
        <v>74</v>
      </c>
      <c r="I817" t="s">
        <v>13944</v>
      </c>
      <c r="J817" t="s">
        <v>2463</v>
      </c>
      <c r="K817" t="s">
        <v>74</v>
      </c>
      <c r="L817" t="s">
        <v>74</v>
      </c>
      <c r="M817" t="s">
        <v>77</v>
      </c>
      <c r="N817" t="s">
        <v>78</v>
      </c>
      <c r="O817" t="s">
        <v>74</v>
      </c>
      <c r="P817" t="s">
        <v>74</v>
      </c>
      <c r="Q817" t="s">
        <v>74</v>
      </c>
      <c r="R817" t="s">
        <v>74</v>
      </c>
      <c r="S817" t="s">
        <v>74</v>
      </c>
      <c r="T817" t="s">
        <v>13945</v>
      </c>
      <c r="U817" t="s">
        <v>13946</v>
      </c>
      <c r="V817" t="s">
        <v>13947</v>
      </c>
      <c r="W817" t="s">
        <v>13948</v>
      </c>
      <c r="X817" t="s">
        <v>13949</v>
      </c>
      <c r="Y817" t="s">
        <v>13950</v>
      </c>
      <c r="Z817" t="s">
        <v>13951</v>
      </c>
      <c r="AA817" t="s">
        <v>13952</v>
      </c>
      <c r="AB817" t="s">
        <v>13953</v>
      </c>
      <c r="AC817" t="s">
        <v>74</v>
      </c>
      <c r="AD817" t="s">
        <v>74</v>
      </c>
      <c r="AE817" t="s">
        <v>74</v>
      </c>
      <c r="AF817" t="s">
        <v>74</v>
      </c>
      <c r="AG817">
        <v>152</v>
      </c>
      <c r="AH817">
        <v>4</v>
      </c>
      <c r="AI817">
        <v>4</v>
      </c>
      <c r="AJ817">
        <v>13</v>
      </c>
      <c r="AK817">
        <v>23</v>
      </c>
      <c r="AL817" t="s">
        <v>2473</v>
      </c>
      <c r="AM817" t="s">
        <v>2102</v>
      </c>
      <c r="AN817" t="s">
        <v>2474</v>
      </c>
      <c r="AO817" t="s">
        <v>74</v>
      </c>
      <c r="AP817" t="s">
        <v>2475</v>
      </c>
      <c r="AQ817" t="s">
        <v>74</v>
      </c>
      <c r="AR817" t="s">
        <v>2476</v>
      </c>
      <c r="AS817" t="s">
        <v>2477</v>
      </c>
      <c r="AT817" t="s">
        <v>122</v>
      </c>
      <c r="AU817">
        <v>2022</v>
      </c>
      <c r="AV817">
        <v>14</v>
      </c>
      <c r="AW817">
        <v>8</v>
      </c>
      <c r="AX817" t="s">
        <v>74</v>
      </c>
      <c r="AY817" t="s">
        <v>74</v>
      </c>
      <c r="AZ817" t="s">
        <v>74</v>
      </c>
      <c r="BA817" t="s">
        <v>74</v>
      </c>
      <c r="BB817" t="s">
        <v>74</v>
      </c>
      <c r="BC817" t="s">
        <v>74</v>
      </c>
      <c r="BD817">
        <v>4643</v>
      </c>
      <c r="BE817" t="s">
        <v>13954</v>
      </c>
      <c r="BF817" t="str">
        <f>HYPERLINK("http://dx.doi.org/10.3390/su14084643","http://dx.doi.org/10.3390/su14084643")</f>
        <v>http://dx.doi.org/10.3390/su14084643</v>
      </c>
      <c r="BG817" t="s">
        <v>74</v>
      </c>
      <c r="BH817" t="s">
        <v>74</v>
      </c>
      <c r="BI817">
        <v>19</v>
      </c>
      <c r="BJ817" t="s">
        <v>2479</v>
      </c>
      <c r="BK817" t="s">
        <v>147</v>
      </c>
      <c r="BL817" t="s">
        <v>2480</v>
      </c>
      <c r="BM817" t="s">
        <v>13955</v>
      </c>
      <c r="BN817" t="s">
        <v>74</v>
      </c>
      <c r="BO817" t="s">
        <v>2482</v>
      </c>
      <c r="BP817" t="s">
        <v>74</v>
      </c>
      <c r="BQ817" t="s">
        <v>74</v>
      </c>
      <c r="BR817" t="s">
        <v>97</v>
      </c>
      <c r="BS817" t="s">
        <v>13956</v>
      </c>
      <c r="BT817" t="str">
        <f>HYPERLINK("https%3A%2F%2Fwww.webofscience.com%2Fwos%2Fwoscc%2Ffull-record%2FWOS:000787430700001","View Full Record in Web of Science")</f>
        <v>View Full Record in Web of Science</v>
      </c>
    </row>
    <row r="818" spans="1:72" x14ac:dyDescent="0.25">
      <c r="A818" t="s">
        <v>72</v>
      </c>
      <c r="B818" t="s">
        <v>13957</v>
      </c>
      <c r="C818" t="s">
        <v>74</v>
      </c>
      <c r="D818" t="s">
        <v>74</v>
      </c>
      <c r="E818" t="s">
        <v>74</v>
      </c>
      <c r="F818" t="s">
        <v>13958</v>
      </c>
      <c r="G818" t="s">
        <v>74</v>
      </c>
      <c r="H818" t="s">
        <v>74</v>
      </c>
      <c r="I818" t="s">
        <v>13959</v>
      </c>
      <c r="J818" t="s">
        <v>13157</v>
      </c>
      <c r="K818" t="s">
        <v>74</v>
      </c>
      <c r="L818" t="s">
        <v>74</v>
      </c>
      <c r="M818" t="s">
        <v>77</v>
      </c>
      <c r="N818" t="s">
        <v>78</v>
      </c>
      <c r="O818" t="s">
        <v>74</v>
      </c>
      <c r="P818" t="s">
        <v>74</v>
      </c>
      <c r="Q818" t="s">
        <v>74</v>
      </c>
      <c r="R818" t="s">
        <v>74</v>
      </c>
      <c r="S818" t="s">
        <v>74</v>
      </c>
      <c r="T818" t="s">
        <v>13960</v>
      </c>
      <c r="U818" t="s">
        <v>13961</v>
      </c>
      <c r="V818" t="s">
        <v>13962</v>
      </c>
      <c r="W818" t="s">
        <v>13963</v>
      </c>
      <c r="X818" t="s">
        <v>13964</v>
      </c>
      <c r="Y818" t="s">
        <v>13965</v>
      </c>
      <c r="Z818" t="s">
        <v>13966</v>
      </c>
      <c r="AA818" t="s">
        <v>74</v>
      </c>
      <c r="AB818" t="s">
        <v>13967</v>
      </c>
      <c r="AC818" t="s">
        <v>13968</v>
      </c>
      <c r="AD818" t="s">
        <v>575</v>
      </c>
      <c r="AE818" t="s">
        <v>13969</v>
      </c>
      <c r="AF818" t="s">
        <v>74</v>
      </c>
      <c r="AG818">
        <v>73</v>
      </c>
      <c r="AH818">
        <v>4</v>
      </c>
      <c r="AI818">
        <v>4</v>
      </c>
      <c r="AJ818">
        <v>12</v>
      </c>
      <c r="AK818">
        <v>24</v>
      </c>
      <c r="AL818" t="s">
        <v>434</v>
      </c>
      <c r="AM818" t="s">
        <v>435</v>
      </c>
      <c r="AN818" t="s">
        <v>436</v>
      </c>
      <c r="AO818" t="s">
        <v>13162</v>
      </c>
      <c r="AP818" t="s">
        <v>13163</v>
      </c>
      <c r="AQ818" t="s">
        <v>74</v>
      </c>
      <c r="AR818" t="s">
        <v>13164</v>
      </c>
      <c r="AS818" t="s">
        <v>13165</v>
      </c>
      <c r="AT818" t="s">
        <v>200</v>
      </c>
      <c r="AU818">
        <v>2022</v>
      </c>
      <c r="AV818">
        <v>50</v>
      </c>
      <c r="AW818" t="s">
        <v>74</v>
      </c>
      <c r="AX818" t="s">
        <v>74</v>
      </c>
      <c r="AY818" t="s">
        <v>74</v>
      </c>
      <c r="AZ818" t="s">
        <v>74</v>
      </c>
      <c r="BA818" t="s">
        <v>74</v>
      </c>
      <c r="BB818">
        <v>366</v>
      </c>
      <c r="BC818">
        <v>374</v>
      </c>
      <c r="BD818" t="s">
        <v>74</v>
      </c>
      <c r="BE818" t="s">
        <v>13970</v>
      </c>
      <c r="BF818" t="str">
        <f>HYPERLINK("http://dx.doi.org/10.1016/j.jhtm.2022.02.015","http://dx.doi.org/10.1016/j.jhtm.2022.02.015")</f>
        <v>http://dx.doi.org/10.1016/j.jhtm.2022.02.015</v>
      </c>
      <c r="BG818" t="s">
        <v>74</v>
      </c>
      <c r="BH818" t="s">
        <v>7969</v>
      </c>
      <c r="BI818">
        <v>9</v>
      </c>
      <c r="BJ818" t="s">
        <v>1305</v>
      </c>
      <c r="BK818" t="s">
        <v>94</v>
      </c>
      <c r="BL818" t="s">
        <v>1306</v>
      </c>
      <c r="BM818" t="s">
        <v>13971</v>
      </c>
      <c r="BN818" t="s">
        <v>74</v>
      </c>
      <c r="BO818" t="s">
        <v>74</v>
      </c>
      <c r="BP818" t="s">
        <v>74</v>
      </c>
      <c r="BQ818" t="s">
        <v>74</v>
      </c>
      <c r="BR818" t="s">
        <v>97</v>
      </c>
      <c r="BS818" t="s">
        <v>13972</v>
      </c>
      <c r="BT818" t="str">
        <f>HYPERLINK("https%3A%2F%2Fwww.webofscience.com%2Fwos%2Fwoscc%2Ffull-record%2FWOS:000819851200015","View Full Record in Web of Science")</f>
        <v>View Full Record in Web of Science</v>
      </c>
    </row>
    <row r="819" spans="1:72" x14ac:dyDescent="0.25">
      <c r="A819" t="s">
        <v>72</v>
      </c>
      <c r="B819" t="s">
        <v>13973</v>
      </c>
      <c r="C819" t="s">
        <v>74</v>
      </c>
      <c r="D819" t="s">
        <v>74</v>
      </c>
      <c r="E819" t="s">
        <v>74</v>
      </c>
      <c r="F819" t="s">
        <v>13974</v>
      </c>
      <c r="G819" t="s">
        <v>74</v>
      </c>
      <c r="H819" t="s">
        <v>74</v>
      </c>
      <c r="I819" t="s">
        <v>13975</v>
      </c>
      <c r="J819" t="s">
        <v>4325</v>
      </c>
      <c r="K819" t="s">
        <v>74</v>
      </c>
      <c r="L819" t="s">
        <v>74</v>
      </c>
      <c r="M819" t="s">
        <v>77</v>
      </c>
      <c r="N819" t="s">
        <v>78</v>
      </c>
      <c r="O819" t="s">
        <v>74</v>
      </c>
      <c r="P819" t="s">
        <v>74</v>
      </c>
      <c r="Q819" t="s">
        <v>74</v>
      </c>
      <c r="R819" t="s">
        <v>74</v>
      </c>
      <c r="S819" t="s">
        <v>74</v>
      </c>
      <c r="T819" t="s">
        <v>13976</v>
      </c>
      <c r="U819" t="s">
        <v>13977</v>
      </c>
      <c r="V819" t="s">
        <v>13978</v>
      </c>
      <c r="W819" t="s">
        <v>13979</v>
      </c>
      <c r="X819" t="s">
        <v>13980</v>
      </c>
      <c r="Y819" t="s">
        <v>13981</v>
      </c>
      <c r="Z819" t="s">
        <v>13982</v>
      </c>
      <c r="AA819" t="s">
        <v>74</v>
      </c>
      <c r="AB819" t="s">
        <v>13983</v>
      </c>
      <c r="AC819" t="s">
        <v>74</v>
      </c>
      <c r="AD819" t="s">
        <v>74</v>
      </c>
      <c r="AE819" t="s">
        <v>74</v>
      </c>
      <c r="AF819" t="s">
        <v>74</v>
      </c>
      <c r="AG819">
        <v>109</v>
      </c>
      <c r="AH819">
        <v>4</v>
      </c>
      <c r="AI819">
        <v>4</v>
      </c>
      <c r="AJ819">
        <v>12</v>
      </c>
      <c r="AK819">
        <v>34</v>
      </c>
      <c r="AL819" t="s">
        <v>218</v>
      </c>
      <c r="AM819" t="s">
        <v>219</v>
      </c>
      <c r="AN819" t="s">
        <v>220</v>
      </c>
      <c r="AO819" t="s">
        <v>4332</v>
      </c>
      <c r="AP819" t="s">
        <v>4333</v>
      </c>
      <c r="AQ819" t="s">
        <v>74</v>
      </c>
      <c r="AR819" t="s">
        <v>4334</v>
      </c>
      <c r="AS819" t="s">
        <v>4335</v>
      </c>
      <c r="AT819" t="s">
        <v>91</v>
      </c>
      <c r="AU819">
        <v>2022</v>
      </c>
      <c r="AV819">
        <v>31</v>
      </c>
      <c r="AW819">
        <v>2</v>
      </c>
      <c r="AX819" t="s">
        <v>74</v>
      </c>
      <c r="AY819" t="s">
        <v>74</v>
      </c>
      <c r="AZ819" t="s">
        <v>74</v>
      </c>
      <c r="BA819" t="s">
        <v>74</v>
      </c>
      <c r="BB819">
        <v>274</v>
      </c>
      <c r="BC819">
        <v>293</v>
      </c>
      <c r="BD819" t="s">
        <v>74</v>
      </c>
      <c r="BE819" t="s">
        <v>13984</v>
      </c>
      <c r="BF819" t="str">
        <f>HYPERLINK("http://dx.doi.org/10.1111/caim.12486","http://dx.doi.org/10.1111/caim.12486")</f>
        <v>http://dx.doi.org/10.1111/caim.12486</v>
      </c>
      <c r="BG819" t="s">
        <v>74</v>
      </c>
      <c r="BH819" t="s">
        <v>10089</v>
      </c>
      <c r="BI819">
        <v>20</v>
      </c>
      <c r="BJ819" t="s">
        <v>442</v>
      </c>
      <c r="BK819" t="s">
        <v>94</v>
      </c>
      <c r="BL819" t="s">
        <v>95</v>
      </c>
      <c r="BM819" t="s">
        <v>13985</v>
      </c>
      <c r="BN819" t="s">
        <v>74</v>
      </c>
      <c r="BO819" t="s">
        <v>13986</v>
      </c>
      <c r="BP819" t="s">
        <v>74</v>
      </c>
      <c r="BQ819" t="s">
        <v>74</v>
      </c>
      <c r="BR819" t="s">
        <v>97</v>
      </c>
      <c r="BS819" t="s">
        <v>13987</v>
      </c>
      <c r="BT819" t="str">
        <f>HYPERLINK("https%3A%2F%2Fwww.webofscience.com%2Fwos%2Fwoscc%2Ffull-record%2FWOS:000755673000001","View Full Record in Web of Science")</f>
        <v>View Full Record in Web of Science</v>
      </c>
    </row>
    <row r="820" spans="1:72" x14ac:dyDescent="0.25">
      <c r="A820" t="s">
        <v>72</v>
      </c>
      <c r="B820" t="s">
        <v>13988</v>
      </c>
      <c r="C820" t="s">
        <v>74</v>
      </c>
      <c r="D820" t="s">
        <v>74</v>
      </c>
      <c r="E820" t="s">
        <v>74</v>
      </c>
      <c r="F820" t="s">
        <v>13989</v>
      </c>
      <c r="G820" t="s">
        <v>74</v>
      </c>
      <c r="H820" t="s">
        <v>74</v>
      </c>
      <c r="I820" t="s">
        <v>13990</v>
      </c>
      <c r="J820" t="s">
        <v>3184</v>
      </c>
      <c r="K820" t="s">
        <v>74</v>
      </c>
      <c r="L820" t="s">
        <v>74</v>
      </c>
      <c r="M820" t="s">
        <v>77</v>
      </c>
      <c r="N820" t="s">
        <v>78</v>
      </c>
      <c r="O820" t="s">
        <v>74</v>
      </c>
      <c r="P820" t="s">
        <v>74</v>
      </c>
      <c r="Q820" t="s">
        <v>74</v>
      </c>
      <c r="R820" t="s">
        <v>74</v>
      </c>
      <c r="S820" t="s">
        <v>74</v>
      </c>
      <c r="T820" t="s">
        <v>13991</v>
      </c>
      <c r="U820" t="s">
        <v>13992</v>
      </c>
      <c r="V820" t="s">
        <v>13993</v>
      </c>
      <c r="W820" t="s">
        <v>13994</v>
      </c>
      <c r="X820" t="s">
        <v>13995</v>
      </c>
      <c r="Y820" t="s">
        <v>13996</v>
      </c>
      <c r="Z820" t="s">
        <v>13997</v>
      </c>
      <c r="AA820" t="s">
        <v>74</v>
      </c>
      <c r="AB820" t="s">
        <v>74</v>
      </c>
      <c r="AC820" t="s">
        <v>13998</v>
      </c>
      <c r="AD820" t="s">
        <v>13999</v>
      </c>
      <c r="AE820" t="s">
        <v>14000</v>
      </c>
      <c r="AF820" t="s">
        <v>74</v>
      </c>
      <c r="AG820">
        <v>90</v>
      </c>
      <c r="AH820">
        <v>4</v>
      </c>
      <c r="AI820">
        <v>4</v>
      </c>
      <c r="AJ820">
        <v>32</v>
      </c>
      <c r="AK820">
        <v>79</v>
      </c>
      <c r="AL820" t="s">
        <v>3195</v>
      </c>
      <c r="AM820" t="s">
        <v>3196</v>
      </c>
      <c r="AN820" t="s">
        <v>3197</v>
      </c>
      <c r="AO820" t="s">
        <v>3198</v>
      </c>
      <c r="AP820" t="s">
        <v>74</v>
      </c>
      <c r="AQ820" t="s">
        <v>74</v>
      </c>
      <c r="AR820" t="s">
        <v>3199</v>
      </c>
      <c r="AS820" t="s">
        <v>3200</v>
      </c>
      <c r="AT820" t="s">
        <v>14001</v>
      </c>
      <c r="AU820">
        <v>2022</v>
      </c>
      <c r="AV820">
        <v>12</v>
      </c>
      <c r="AW820" t="s">
        <v>74</v>
      </c>
      <c r="AX820" t="s">
        <v>74</v>
      </c>
      <c r="AY820" t="s">
        <v>74</v>
      </c>
      <c r="AZ820" t="s">
        <v>74</v>
      </c>
      <c r="BA820" t="s">
        <v>74</v>
      </c>
      <c r="BB820" t="s">
        <v>74</v>
      </c>
      <c r="BC820" t="s">
        <v>74</v>
      </c>
      <c r="BD820">
        <v>796201</v>
      </c>
      <c r="BE820" t="s">
        <v>14002</v>
      </c>
      <c r="BF820" t="str">
        <f>HYPERLINK("http://dx.doi.org/10.3389/fpsyg.2021.796201","http://dx.doi.org/10.3389/fpsyg.2021.796201")</f>
        <v>http://dx.doi.org/10.3389/fpsyg.2021.796201</v>
      </c>
      <c r="BG820" t="s">
        <v>74</v>
      </c>
      <c r="BH820" t="s">
        <v>74</v>
      </c>
      <c r="BI820">
        <v>14</v>
      </c>
      <c r="BJ820" t="s">
        <v>3203</v>
      </c>
      <c r="BK820" t="s">
        <v>94</v>
      </c>
      <c r="BL820" t="s">
        <v>460</v>
      </c>
      <c r="BM820" t="s">
        <v>14003</v>
      </c>
      <c r="BN820">
        <v>35087457</v>
      </c>
      <c r="BO820" t="s">
        <v>4398</v>
      </c>
      <c r="BP820" t="s">
        <v>74</v>
      </c>
      <c r="BQ820" t="s">
        <v>74</v>
      </c>
      <c r="BR820" t="s">
        <v>97</v>
      </c>
      <c r="BS820" t="s">
        <v>14004</v>
      </c>
      <c r="BT820" t="str">
        <f>HYPERLINK("https%3A%2F%2Fwww.webofscience.com%2Fwos%2Fwoscc%2Ffull-record%2FWOS:000748025300001","View Full Record in Web of Science")</f>
        <v>View Full Record in Web of Science</v>
      </c>
    </row>
    <row r="821" spans="1:72" x14ac:dyDescent="0.25">
      <c r="A821" t="s">
        <v>72</v>
      </c>
      <c r="B821" t="s">
        <v>14005</v>
      </c>
      <c r="C821" t="s">
        <v>74</v>
      </c>
      <c r="D821" t="s">
        <v>74</v>
      </c>
      <c r="E821" t="s">
        <v>74</v>
      </c>
      <c r="F821" t="s">
        <v>14006</v>
      </c>
      <c r="G821" t="s">
        <v>74</v>
      </c>
      <c r="H821" t="s">
        <v>74</v>
      </c>
      <c r="I821" t="s">
        <v>14007</v>
      </c>
      <c r="J821" t="s">
        <v>8298</v>
      </c>
      <c r="K821" t="s">
        <v>74</v>
      </c>
      <c r="L821" t="s">
        <v>74</v>
      </c>
      <c r="M821" t="s">
        <v>77</v>
      </c>
      <c r="N821" t="s">
        <v>78</v>
      </c>
      <c r="O821" t="s">
        <v>74</v>
      </c>
      <c r="P821" t="s">
        <v>74</v>
      </c>
      <c r="Q821" t="s">
        <v>74</v>
      </c>
      <c r="R821" t="s">
        <v>74</v>
      </c>
      <c r="S821" t="s">
        <v>74</v>
      </c>
      <c r="T821" t="s">
        <v>14008</v>
      </c>
      <c r="U821" t="s">
        <v>14009</v>
      </c>
      <c r="V821" t="s">
        <v>14010</v>
      </c>
      <c r="W821" t="s">
        <v>14011</v>
      </c>
      <c r="X821" t="s">
        <v>14012</v>
      </c>
      <c r="Y821" t="s">
        <v>14013</v>
      </c>
      <c r="Z821" t="s">
        <v>14014</v>
      </c>
      <c r="AA821" t="s">
        <v>14015</v>
      </c>
      <c r="AB821" t="s">
        <v>14016</v>
      </c>
      <c r="AC821" t="s">
        <v>14017</v>
      </c>
      <c r="AD821" t="s">
        <v>14018</v>
      </c>
      <c r="AE821" t="s">
        <v>14019</v>
      </c>
      <c r="AF821" t="s">
        <v>74</v>
      </c>
      <c r="AG821">
        <v>68</v>
      </c>
      <c r="AH821">
        <v>4</v>
      </c>
      <c r="AI821">
        <v>4</v>
      </c>
      <c r="AJ821">
        <v>4</v>
      </c>
      <c r="AK821">
        <v>7</v>
      </c>
      <c r="AL821" t="s">
        <v>6878</v>
      </c>
      <c r="AM821" t="s">
        <v>541</v>
      </c>
      <c r="AN821" t="s">
        <v>6879</v>
      </c>
      <c r="AO821" t="s">
        <v>8311</v>
      </c>
      <c r="AP821" t="s">
        <v>8312</v>
      </c>
      <c r="AQ821" t="s">
        <v>74</v>
      </c>
      <c r="AR821" t="s">
        <v>8313</v>
      </c>
      <c r="AS821" t="s">
        <v>8314</v>
      </c>
      <c r="AT821" t="s">
        <v>892</v>
      </c>
      <c r="AU821">
        <v>2022</v>
      </c>
      <c r="AV821">
        <v>183</v>
      </c>
      <c r="AW821" t="s">
        <v>74</v>
      </c>
      <c r="AX821" t="s">
        <v>74</v>
      </c>
      <c r="AY821" t="s">
        <v>74</v>
      </c>
      <c r="AZ821" t="s">
        <v>74</v>
      </c>
      <c r="BA821" t="s">
        <v>74</v>
      </c>
      <c r="BB821">
        <v>151</v>
      </c>
      <c r="BC821">
        <v>157</v>
      </c>
      <c r="BD821" t="s">
        <v>74</v>
      </c>
      <c r="BE821" t="s">
        <v>14020</v>
      </c>
      <c r="BF821" t="str">
        <f>HYPERLINK("http://dx.doi.org/10.1016/j.anbehav.2021.11.008","http://dx.doi.org/10.1016/j.anbehav.2021.11.008")</f>
        <v>http://dx.doi.org/10.1016/j.anbehav.2021.11.008</v>
      </c>
      <c r="BG821" t="s">
        <v>74</v>
      </c>
      <c r="BH821" t="s">
        <v>74</v>
      </c>
      <c r="BI821">
        <v>7</v>
      </c>
      <c r="BJ821" t="s">
        <v>6099</v>
      </c>
      <c r="BK821" t="s">
        <v>283</v>
      </c>
      <c r="BL821" t="s">
        <v>6099</v>
      </c>
      <c r="BM821" t="s">
        <v>14021</v>
      </c>
      <c r="BN821" t="s">
        <v>74</v>
      </c>
      <c r="BO821" t="s">
        <v>74</v>
      </c>
      <c r="BP821" t="s">
        <v>74</v>
      </c>
      <c r="BQ821" t="s">
        <v>74</v>
      </c>
      <c r="BR821" t="s">
        <v>97</v>
      </c>
      <c r="BS821" t="s">
        <v>14022</v>
      </c>
      <c r="BT821" t="str">
        <f>HYPERLINK("https%3A%2F%2Fwww.webofscience.com%2Fwos%2Fwoscc%2Ffull-record%2FWOS:000798731100005","View Full Record in Web of Science")</f>
        <v>View Full Record in Web of Science</v>
      </c>
    </row>
    <row r="822" spans="1:72" x14ac:dyDescent="0.25">
      <c r="A822" t="s">
        <v>72</v>
      </c>
      <c r="B822" t="s">
        <v>14023</v>
      </c>
      <c r="C822" t="s">
        <v>74</v>
      </c>
      <c r="D822" t="s">
        <v>74</v>
      </c>
      <c r="E822" t="s">
        <v>74</v>
      </c>
      <c r="F822" t="s">
        <v>14024</v>
      </c>
      <c r="G822" t="s">
        <v>74</v>
      </c>
      <c r="H822" t="s">
        <v>74</v>
      </c>
      <c r="I822" t="s">
        <v>14025</v>
      </c>
      <c r="J822" t="s">
        <v>14026</v>
      </c>
      <c r="K822" t="s">
        <v>74</v>
      </c>
      <c r="L822" t="s">
        <v>74</v>
      </c>
      <c r="M822" t="s">
        <v>77</v>
      </c>
      <c r="N822" t="s">
        <v>78</v>
      </c>
      <c r="O822" t="s">
        <v>74</v>
      </c>
      <c r="P822" t="s">
        <v>74</v>
      </c>
      <c r="Q822" t="s">
        <v>74</v>
      </c>
      <c r="R822" t="s">
        <v>74</v>
      </c>
      <c r="S822" t="s">
        <v>74</v>
      </c>
      <c r="T822" t="s">
        <v>14027</v>
      </c>
      <c r="U822" t="s">
        <v>14028</v>
      </c>
      <c r="V822" t="s">
        <v>14029</v>
      </c>
      <c r="W822" t="s">
        <v>14030</v>
      </c>
      <c r="X822" t="s">
        <v>14031</v>
      </c>
      <c r="Y822" t="s">
        <v>14032</v>
      </c>
      <c r="Z822" t="s">
        <v>10543</v>
      </c>
      <c r="AA822" t="s">
        <v>74</v>
      </c>
      <c r="AB822" t="s">
        <v>14033</v>
      </c>
      <c r="AC822" t="s">
        <v>74</v>
      </c>
      <c r="AD822" t="s">
        <v>74</v>
      </c>
      <c r="AE822" t="s">
        <v>74</v>
      </c>
      <c r="AF822" t="s">
        <v>74</v>
      </c>
      <c r="AG822">
        <v>75</v>
      </c>
      <c r="AH822">
        <v>4</v>
      </c>
      <c r="AI822">
        <v>4</v>
      </c>
      <c r="AJ822">
        <v>2</v>
      </c>
      <c r="AK822">
        <v>18</v>
      </c>
      <c r="AL822" t="s">
        <v>665</v>
      </c>
      <c r="AM822" t="s">
        <v>666</v>
      </c>
      <c r="AN822" t="s">
        <v>667</v>
      </c>
      <c r="AO822" t="s">
        <v>14034</v>
      </c>
      <c r="AP822" t="s">
        <v>14035</v>
      </c>
      <c r="AQ822" t="s">
        <v>74</v>
      </c>
      <c r="AR822" t="s">
        <v>14036</v>
      </c>
      <c r="AS822" t="s">
        <v>14037</v>
      </c>
      <c r="AT822" t="s">
        <v>74</v>
      </c>
      <c r="AU822">
        <v>2022</v>
      </c>
      <c r="AV822">
        <v>28</v>
      </c>
      <c r="AW822">
        <v>9</v>
      </c>
      <c r="AX822" t="s">
        <v>74</v>
      </c>
      <c r="AY822" t="s">
        <v>74</v>
      </c>
      <c r="AZ822" t="s">
        <v>74</v>
      </c>
      <c r="BA822" t="s">
        <v>74</v>
      </c>
      <c r="BB822">
        <v>1</v>
      </c>
      <c r="BC822">
        <v>30</v>
      </c>
      <c r="BD822" t="s">
        <v>74</v>
      </c>
      <c r="BE822" t="s">
        <v>14038</v>
      </c>
      <c r="BF822" t="str">
        <f>HYPERLINK("http://dx.doi.org/10.1108/IJEBR-05-2021-0388","http://dx.doi.org/10.1108/IJEBR-05-2021-0388")</f>
        <v>http://dx.doi.org/10.1108/IJEBR-05-2021-0388</v>
      </c>
      <c r="BG822" t="s">
        <v>74</v>
      </c>
      <c r="BH822" t="s">
        <v>74</v>
      </c>
      <c r="BI822">
        <v>30</v>
      </c>
      <c r="BJ822" t="s">
        <v>93</v>
      </c>
      <c r="BK822" t="s">
        <v>94</v>
      </c>
      <c r="BL822" t="s">
        <v>95</v>
      </c>
      <c r="BM822" t="s">
        <v>14039</v>
      </c>
      <c r="BN822" t="s">
        <v>74</v>
      </c>
      <c r="BO822" t="s">
        <v>408</v>
      </c>
      <c r="BP822" t="s">
        <v>74</v>
      </c>
      <c r="BQ822" t="s">
        <v>74</v>
      </c>
      <c r="BR822" t="s">
        <v>97</v>
      </c>
      <c r="BS822" t="s">
        <v>14040</v>
      </c>
      <c r="BT822" t="str">
        <f>HYPERLINK("https%3A%2F%2Fwww.webofscience.com%2Fwos%2Fwoscc%2Ffull-record%2FWOS:000739140400001","View Full Record in Web of Science")</f>
        <v>View Full Record in Web of Science</v>
      </c>
    </row>
    <row r="823" spans="1:72" x14ac:dyDescent="0.25">
      <c r="A823" t="s">
        <v>72</v>
      </c>
      <c r="B823" t="s">
        <v>14041</v>
      </c>
      <c r="C823" t="s">
        <v>74</v>
      </c>
      <c r="D823" t="s">
        <v>74</v>
      </c>
      <c r="E823" t="s">
        <v>74</v>
      </c>
      <c r="F823" t="s">
        <v>14042</v>
      </c>
      <c r="G823" t="s">
        <v>74</v>
      </c>
      <c r="H823" t="s">
        <v>74</v>
      </c>
      <c r="I823" t="s">
        <v>14043</v>
      </c>
      <c r="J823" t="s">
        <v>9332</v>
      </c>
      <c r="K823" t="s">
        <v>74</v>
      </c>
      <c r="L823" t="s">
        <v>74</v>
      </c>
      <c r="M823" t="s">
        <v>77</v>
      </c>
      <c r="N823" t="s">
        <v>10095</v>
      </c>
      <c r="O823" t="s">
        <v>74</v>
      </c>
      <c r="P823" t="s">
        <v>74</v>
      </c>
      <c r="Q823" t="s">
        <v>74</v>
      </c>
      <c r="R823" t="s">
        <v>74</v>
      </c>
      <c r="S823" t="s">
        <v>74</v>
      </c>
      <c r="T823" t="s">
        <v>14044</v>
      </c>
      <c r="U823" t="s">
        <v>14045</v>
      </c>
      <c r="V823" t="s">
        <v>14046</v>
      </c>
      <c r="W823" t="s">
        <v>14047</v>
      </c>
      <c r="X823" t="s">
        <v>14048</v>
      </c>
      <c r="Y823" t="s">
        <v>14049</v>
      </c>
      <c r="Z823" t="s">
        <v>14050</v>
      </c>
      <c r="AA823" t="s">
        <v>74</v>
      </c>
      <c r="AB823" t="s">
        <v>14051</v>
      </c>
      <c r="AC823" t="s">
        <v>74</v>
      </c>
      <c r="AD823" t="s">
        <v>74</v>
      </c>
      <c r="AE823" t="s">
        <v>74</v>
      </c>
      <c r="AF823" t="s">
        <v>74</v>
      </c>
      <c r="AG823">
        <v>95</v>
      </c>
      <c r="AH823">
        <v>4</v>
      </c>
      <c r="AI823">
        <v>4</v>
      </c>
      <c r="AJ823">
        <v>4</v>
      </c>
      <c r="AK823">
        <v>24</v>
      </c>
      <c r="AL823" t="s">
        <v>766</v>
      </c>
      <c r="AM823" t="s">
        <v>330</v>
      </c>
      <c r="AN823" t="s">
        <v>1452</v>
      </c>
      <c r="AO823" t="s">
        <v>9344</v>
      </c>
      <c r="AP823" t="s">
        <v>9345</v>
      </c>
      <c r="AQ823" t="s">
        <v>74</v>
      </c>
      <c r="AR823" t="s">
        <v>9346</v>
      </c>
      <c r="AS823" t="s">
        <v>9347</v>
      </c>
      <c r="AT823" t="s">
        <v>74</v>
      </c>
      <c r="AU823" t="s">
        <v>74</v>
      </c>
      <c r="AV823" t="s">
        <v>74</v>
      </c>
      <c r="AW823" t="s">
        <v>74</v>
      </c>
      <c r="AX823" t="s">
        <v>74</v>
      </c>
      <c r="AY823" t="s">
        <v>74</v>
      </c>
      <c r="AZ823" t="s">
        <v>74</v>
      </c>
      <c r="BA823" t="s">
        <v>74</v>
      </c>
      <c r="BB823" t="s">
        <v>74</v>
      </c>
      <c r="BC823" t="s">
        <v>74</v>
      </c>
      <c r="BD823" t="s">
        <v>74</v>
      </c>
      <c r="BE823" t="s">
        <v>14052</v>
      </c>
      <c r="BF823" t="str">
        <f>HYPERLINK("http://dx.doi.org/10.1007/s12144-021-02284-4","http://dx.doi.org/10.1007/s12144-021-02284-4")</f>
        <v>http://dx.doi.org/10.1007/s12144-021-02284-4</v>
      </c>
      <c r="BG823" t="s">
        <v>74</v>
      </c>
      <c r="BH823" t="s">
        <v>6758</v>
      </c>
      <c r="BI823">
        <v>13</v>
      </c>
      <c r="BJ823" t="s">
        <v>3203</v>
      </c>
      <c r="BK823" t="s">
        <v>94</v>
      </c>
      <c r="BL823" t="s">
        <v>460</v>
      </c>
      <c r="BM823" t="s">
        <v>14053</v>
      </c>
      <c r="BN823" t="s">
        <v>74</v>
      </c>
      <c r="BO823" t="s">
        <v>74</v>
      </c>
      <c r="BP823" t="s">
        <v>74</v>
      </c>
      <c r="BQ823" t="s">
        <v>74</v>
      </c>
      <c r="BR823" t="s">
        <v>97</v>
      </c>
      <c r="BS823" t="s">
        <v>14054</v>
      </c>
      <c r="BT823" t="str">
        <f>HYPERLINK("https%3A%2F%2Fwww.webofscience.com%2Fwos%2Fwoscc%2Ffull-record%2FWOS:000695633300003","View Full Record in Web of Science")</f>
        <v>View Full Record in Web of Science</v>
      </c>
    </row>
    <row r="824" spans="1:72" x14ac:dyDescent="0.25">
      <c r="A824" t="s">
        <v>72</v>
      </c>
      <c r="B824" t="s">
        <v>14055</v>
      </c>
      <c r="C824" t="s">
        <v>74</v>
      </c>
      <c r="D824" t="s">
        <v>74</v>
      </c>
      <c r="E824" t="s">
        <v>74</v>
      </c>
      <c r="F824" t="s">
        <v>14056</v>
      </c>
      <c r="G824" t="s">
        <v>74</v>
      </c>
      <c r="H824" t="s">
        <v>74</v>
      </c>
      <c r="I824" t="s">
        <v>14057</v>
      </c>
      <c r="J824" t="s">
        <v>318</v>
      </c>
      <c r="K824" t="s">
        <v>74</v>
      </c>
      <c r="L824" t="s">
        <v>74</v>
      </c>
      <c r="M824" t="s">
        <v>77</v>
      </c>
      <c r="N824" t="s">
        <v>78</v>
      </c>
      <c r="O824" t="s">
        <v>74</v>
      </c>
      <c r="P824" t="s">
        <v>74</v>
      </c>
      <c r="Q824" t="s">
        <v>74</v>
      </c>
      <c r="R824" t="s">
        <v>74</v>
      </c>
      <c r="S824" t="s">
        <v>74</v>
      </c>
      <c r="T824" t="s">
        <v>14058</v>
      </c>
      <c r="U824" t="s">
        <v>14059</v>
      </c>
      <c r="V824" t="s">
        <v>14060</v>
      </c>
      <c r="W824" t="s">
        <v>14061</v>
      </c>
      <c r="X824" t="s">
        <v>14062</v>
      </c>
      <c r="Y824" t="s">
        <v>14063</v>
      </c>
      <c r="Z824" t="s">
        <v>14064</v>
      </c>
      <c r="AA824" t="s">
        <v>74</v>
      </c>
      <c r="AB824" t="s">
        <v>14065</v>
      </c>
      <c r="AC824" t="s">
        <v>74</v>
      </c>
      <c r="AD824" t="s">
        <v>74</v>
      </c>
      <c r="AE824" t="s">
        <v>74</v>
      </c>
      <c r="AF824" t="s">
        <v>74</v>
      </c>
      <c r="AG824">
        <v>90</v>
      </c>
      <c r="AH824">
        <v>4</v>
      </c>
      <c r="AI824">
        <v>4</v>
      </c>
      <c r="AJ824">
        <v>3</v>
      </c>
      <c r="AK824">
        <v>35</v>
      </c>
      <c r="AL824" t="s">
        <v>329</v>
      </c>
      <c r="AM824" t="s">
        <v>330</v>
      </c>
      <c r="AN824" t="s">
        <v>331</v>
      </c>
      <c r="AO824" t="s">
        <v>332</v>
      </c>
      <c r="AP824" t="s">
        <v>333</v>
      </c>
      <c r="AQ824" t="s">
        <v>74</v>
      </c>
      <c r="AR824" t="s">
        <v>334</v>
      </c>
      <c r="AS824" t="s">
        <v>335</v>
      </c>
      <c r="AT824" t="s">
        <v>375</v>
      </c>
      <c r="AU824">
        <v>2021</v>
      </c>
      <c r="AV824">
        <v>137</v>
      </c>
      <c r="AW824" t="s">
        <v>74</v>
      </c>
      <c r="AX824" t="s">
        <v>74</v>
      </c>
      <c r="AY824" t="s">
        <v>74</v>
      </c>
      <c r="AZ824" t="s">
        <v>74</v>
      </c>
      <c r="BA824" t="s">
        <v>74</v>
      </c>
      <c r="BB824">
        <v>614</v>
      </c>
      <c r="BC824">
        <v>625</v>
      </c>
      <c r="BD824" t="s">
        <v>74</v>
      </c>
      <c r="BE824" t="s">
        <v>14066</v>
      </c>
      <c r="BF824" t="str">
        <f>HYPERLINK("http://dx.doi.org/10.1016/j.jbusres.2021.08.062","http://dx.doi.org/10.1016/j.jbusres.2021.08.062")</f>
        <v>http://dx.doi.org/10.1016/j.jbusres.2021.08.062</v>
      </c>
      <c r="BG824" t="s">
        <v>74</v>
      </c>
      <c r="BH824" t="s">
        <v>6758</v>
      </c>
      <c r="BI824">
        <v>12</v>
      </c>
      <c r="BJ824" t="s">
        <v>337</v>
      </c>
      <c r="BK824" t="s">
        <v>94</v>
      </c>
      <c r="BL824" t="s">
        <v>95</v>
      </c>
      <c r="BM824" t="s">
        <v>12045</v>
      </c>
      <c r="BN824" t="s">
        <v>74</v>
      </c>
      <c r="BO824" t="s">
        <v>74</v>
      </c>
      <c r="BP824" t="s">
        <v>74</v>
      </c>
      <c r="BQ824" t="s">
        <v>74</v>
      </c>
      <c r="BR824" t="s">
        <v>97</v>
      </c>
      <c r="BS824" t="s">
        <v>14067</v>
      </c>
      <c r="BT824" t="str">
        <f>HYPERLINK("https%3A%2F%2Fwww.webofscience.com%2Fwos%2Fwoscc%2Ffull-record%2FWOS:000702884800022","View Full Record in Web of Science")</f>
        <v>View Full Record in Web of Science</v>
      </c>
    </row>
    <row r="825" spans="1:72" x14ac:dyDescent="0.25">
      <c r="A825" t="s">
        <v>72</v>
      </c>
      <c r="B825" t="s">
        <v>14068</v>
      </c>
      <c r="C825" t="s">
        <v>74</v>
      </c>
      <c r="D825" t="s">
        <v>74</v>
      </c>
      <c r="E825" t="s">
        <v>74</v>
      </c>
      <c r="F825" t="s">
        <v>14069</v>
      </c>
      <c r="G825" t="s">
        <v>74</v>
      </c>
      <c r="H825" t="s">
        <v>74</v>
      </c>
      <c r="I825" t="s">
        <v>14070</v>
      </c>
      <c r="J825" t="s">
        <v>2059</v>
      </c>
      <c r="K825" t="s">
        <v>74</v>
      </c>
      <c r="L825" t="s">
        <v>74</v>
      </c>
      <c r="M825" t="s">
        <v>77</v>
      </c>
      <c r="N825" t="s">
        <v>78</v>
      </c>
      <c r="O825" t="s">
        <v>74</v>
      </c>
      <c r="P825" t="s">
        <v>74</v>
      </c>
      <c r="Q825" t="s">
        <v>74</v>
      </c>
      <c r="R825" t="s">
        <v>74</v>
      </c>
      <c r="S825" t="s">
        <v>74</v>
      </c>
      <c r="T825" t="s">
        <v>14071</v>
      </c>
      <c r="U825" t="s">
        <v>14072</v>
      </c>
      <c r="V825" t="s">
        <v>14073</v>
      </c>
      <c r="W825" t="s">
        <v>14074</v>
      </c>
      <c r="X825" t="s">
        <v>14075</v>
      </c>
      <c r="Y825" t="s">
        <v>14076</v>
      </c>
      <c r="Z825" t="s">
        <v>14077</v>
      </c>
      <c r="AA825" t="s">
        <v>14078</v>
      </c>
      <c r="AB825" t="s">
        <v>14079</v>
      </c>
      <c r="AC825" t="s">
        <v>74</v>
      </c>
      <c r="AD825" t="s">
        <v>74</v>
      </c>
      <c r="AE825" t="s">
        <v>74</v>
      </c>
      <c r="AF825" t="s">
        <v>74</v>
      </c>
      <c r="AG825">
        <v>32</v>
      </c>
      <c r="AH825">
        <v>4</v>
      </c>
      <c r="AI825">
        <v>4</v>
      </c>
      <c r="AJ825">
        <v>2</v>
      </c>
      <c r="AK825">
        <v>27</v>
      </c>
      <c r="AL825" t="s">
        <v>2067</v>
      </c>
      <c r="AM825" t="s">
        <v>2068</v>
      </c>
      <c r="AN825" t="s">
        <v>2069</v>
      </c>
      <c r="AO825" t="s">
        <v>2070</v>
      </c>
      <c r="AP825" t="s">
        <v>2071</v>
      </c>
      <c r="AQ825" t="s">
        <v>74</v>
      </c>
      <c r="AR825" t="s">
        <v>2072</v>
      </c>
      <c r="AS825" t="s">
        <v>2073</v>
      </c>
      <c r="AT825" t="s">
        <v>165</v>
      </c>
      <c r="AU825">
        <v>2021</v>
      </c>
      <c r="AV825">
        <v>49</v>
      </c>
      <c r="AW825">
        <v>5</v>
      </c>
      <c r="AX825" t="s">
        <v>74</v>
      </c>
      <c r="AY825" t="s">
        <v>74</v>
      </c>
      <c r="AZ825" t="s">
        <v>74</v>
      </c>
      <c r="BA825" t="s">
        <v>74</v>
      </c>
      <c r="BB825" t="s">
        <v>74</v>
      </c>
      <c r="BC825" t="s">
        <v>74</v>
      </c>
      <c r="BD825" t="s">
        <v>14080</v>
      </c>
      <c r="BE825" t="s">
        <v>14081</v>
      </c>
      <c r="BF825" t="str">
        <f>HYPERLINK("http://dx.doi.org/10.2224/sbp.9641","http://dx.doi.org/10.2224/sbp.9641")</f>
        <v>http://dx.doi.org/10.2224/sbp.9641</v>
      </c>
      <c r="BG825" t="s">
        <v>74</v>
      </c>
      <c r="BH825" t="s">
        <v>74</v>
      </c>
      <c r="BI825">
        <v>12</v>
      </c>
      <c r="BJ825" t="s">
        <v>459</v>
      </c>
      <c r="BK825" t="s">
        <v>94</v>
      </c>
      <c r="BL825" t="s">
        <v>460</v>
      </c>
      <c r="BM825" t="s">
        <v>14082</v>
      </c>
      <c r="BN825" t="s">
        <v>74</v>
      </c>
      <c r="BO825" t="s">
        <v>74</v>
      </c>
      <c r="BP825" t="s">
        <v>74</v>
      </c>
      <c r="BQ825" t="s">
        <v>74</v>
      </c>
      <c r="BR825" t="s">
        <v>97</v>
      </c>
      <c r="BS825" t="s">
        <v>14083</v>
      </c>
      <c r="BT825" t="str">
        <f>HYPERLINK("https%3A%2F%2Fwww.webofscience.com%2Fwos%2Fwoscc%2Ffull-record%2FWOS:000649478600001","View Full Record in Web of Science")</f>
        <v>View Full Record in Web of Science</v>
      </c>
    </row>
    <row r="826" spans="1:72" x14ac:dyDescent="0.25">
      <c r="A826" t="s">
        <v>72</v>
      </c>
      <c r="B826" t="s">
        <v>14084</v>
      </c>
      <c r="C826" t="s">
        <v>74</v>
      </c>
      <c r="D826" t="s">
        <v>74</v>
      </c>
      <c r="E826" t="s">
        <v>74</v>
      </c>
      <c r="F826" t="s">
        <v>14085</v>
      </c>
      <c r="G826" t="s">
        <v>74</v>
      </c>
      <c r="H826" t="s">
        <v>74</v>
      </c>
      <c r="I826" t="s">
        <v>14086</v>
      </c>
      <c r="J826" t="s">
        <v>3683</v>
      </c>
      <c r="K826" t="s">
        <v>74</v>
      </c>
      <c r="L826" t="s">
        <v>74</v>
      </c>
      <c r="M826" t="s">
        <v>77</v>
      </c>
      <c r="N826" t="s">
        <v>78</v>
      </c>
      <c r="O826" t="s">
        <v>74</v>
      </c>
      <c r="P826" t="s">
        <v>74</v>
      </c>
      <c r="Q826" t="s">
        <v>74</v>
      </c>
      <c r="R826" t="s">
        <v>74</v>
      </c>
      <c r="S826" t="s">
        <v>74</v>
      </c>
      <c r="T826" t="s">
        <v>14087</v>
      </c>
      <c r="U826" t="s">
        <v>14088</v>
      </c>
      <c r="V826" t="s">
        <v>14089</v>
      </c>
      <c r="W826" t="s">
        <v>14090</v>
      </c>
      <c r="X826" t="s">
        <v>14091</v>
      </c>
      <c r="Y826" t="s">
        <v>14092</v>
      </c>
      <c r="Z826" t="s">
        <v>14093</v>
      </c>
      <c r="AA826" t="s">
        <v>14094</v>
      </c>
      <c r="AB826" t="s">
        <v>14095</v>
      </c>
      <c r="AC826" t="s">
        <v>74</v>
      </c>
      <c r="AD826" t="s">
        <v>74</v>
      </c>
      <c r="AE826" t="s">
        <v>74</v>
      </c>
      <c r="AF826" t="s">
        <v>74</v>
      </c>
      <c r="AG826">
        <v>106</v>
      </c>
      <c r="AH826">
        <v>4</v>
      </c>
      <c r="AI826">
        <v>4</v>
      </c>
      <c r="AJ826">
        <v>6</v>
      </c>
      <c r="AK826">
        <v>29</v>
      </c>
      <c r="AL826" t="s">
        <v>1533</v>
      </c>
      <c r="AM826" t="s">
        <v>1534</v>
      </c>
      <c r="AN826" t="s">
        <v>1535</v>
      </c>
      <c r="AO826" t="s">
        <v>3693</v>
      </c>
      <c r="AP826" t="s">
        <v>3694</v>
      </c>
      <c r="AQ826" t="s">
        <v>74</v>
      </c>
      <c r="AR826" t="s">
        <v>3695</v>
      </c>
      <c r="AS826" t="s">
        <v>3696</v>
      </c>
      <c r="AT826" t="s">
        <v>496</v>
      </c>
      <c r="AU826">
        <v>2021</v>
      </c>
      <c r="AV826">
        <v>11</v>
      </c>
      <c r="AW826">
        <v>3</v>
      </c>
      <c r="AX826" t="s">
        <v>74</v>
      </c>
      <c r="AY826" t="s">
        <v>74</v>
      </c>
      <c r="AZ826" t="s">
        <v>74</v>
      </c>
      <c r="BA826" t="s">
        <v>74</v>
      </c>
      <c r="BB826">
        <v>451</v>
      </c>
      <c r="BC826">
        <v>475</v>
      </c>
      <c r="BD826" t="s">
        <v>74</v>
      </c>
      <c r="BE826" t="s">
        <v>14096</v>
      </c>
      <c r="BF826" t="str">
        <f>HYPERLINK("http://dx.doi.org/10.1007/s40821-021-00183-z","http://dx.doi.org/10.1007/s40821-021-00183-z")</f>
        <v>http://dx.doi.org/10.1007/s40821-021-00183-z</v>
      </c>
      <c r="BG826" t="s">
        <v>74</v>
      </c>
      <c r="BH826" t="s">
        <v>12091</v>
      </c>
      <c r="BI826">
        <v>25</v>
      </c>
      <c r="BJ826" t="s">
        <v>1199</v>
      </c>
      <c r="BK826" t="s">
        <v>94</v>
      </c>
      <c r="BL826" t="s">
        <v>95</v>
      </c>
      <c r="BM826" t="s">
        <v>14097</v>
      </c>
      <c r="BN826" t="s">
        <v>74</v>
      </c>
      <c r="BO826" t="s">
        <v>74</v>
      </c>
      <c r="BP826" t="s">
        <v>74</v>
      </c>
      <c r="BQ826" t="s">
        <v>74</v>
      </c>
      <c r="BR826" t="s">
        <v>97</v>
      </c>
      <c r="BS826" t="s">
        <v>14098</v>
      </c>
      <c r="BT826" t="str">
        <f>HYPERLINK("https%3A%2F%2Fwww.webofscience.com%2Fwos%2Fwoscc%2Ffull-record%2FWOS:000645877000001","View Full Record in Web of Science")</f>
        <v>View Full Record in Web of Science</v>
      </c>
    </row>
    <row r="827" spans="1:72" x14ac:dyDescent="0.25">
      <c r="A827" t="s">
        <v>72</v>
      </c>
      <c r="B827" t="s">
        <v>14099</v>
      </c>
      <c r="C827" t="s">
        <v>74</v>
      </c>
      <c r="D827" t="s">
        <v>74</v>
      </c>
      <c r="E827" t="s">
        <v>74</v>
      </c>
      <c r="F827" t="s">
        <v>14100</v>
      </c>
      <c r="G827" t="s">
        <v>74</v>
      </c>
      <c r="H827" t="s">
        <v>74</v>
      </c>
      <c r="I827" t="s">
        <v>14101</v>
      </c>
      <c r="J827" t="s">
        <v>14102</v>
      </c>
      <c r="K827" t="s">
        <v>74</v>
      </c>
      <c r="L827" t="s">
        <v>74</v>
      </c>
      <c r="M827" t="s">
        <v>77</v>
      </c>
      <c r="N827" t="s">
        <v>78</v>
      </c>
      <c r="O827" t="s">
        <v>74</v>
      </c>
      <c r="P827" t="s">
        <v>74</v>
      </c>
      <c r="Q827" t="s">
        <v>74</v>
      </c>
      <c r="R827" t="s">
        <v>74</v>
      </c>
      <c r="S827" t="s">
        <v>74</v>
      </c>
      <c r="T827" t="s">
        <v>14103</v>
      </c>
      <c r="U827" t="s">
        <v>14104</v>
      </c>
      <c r="V827" t="s">
        <v>14105</v>
      </c>
      <c r="W827" t="s">
        <v>14106</v>
      </c>
      <c r="X827" t="s">
        <v>14107</v>
      </c>
      <c r="Y827" t="s">
        <v>14108</v>
      </c>
      <c r="Z827" t="s">
        <v>14109</v>
      </c>
      <c r="AA827" t="s">
        <v>74</v>
      </c>
      <c r="AB827" t="s">
        <v>14110</v>
      </c>
      <c r="AC827" t="s">
        <v>2348</v>
      </c>
      <c r="AD827" t="s">
        <v>2349</v>
      </c>
      <c r="AE827" t="s">
        <v>14111</v>
      </c>
      <c r="AF827" t="s">
        <v>74</v>
      </c>
      <c r="AG827">
        <v>76</v>
      </c>
      <c r="AH827">
        <v>4</v>
      </c>
      <c r="AI827">
        <v>4</v>
      </c>
      <c r="AJ827">
        <v>17</v>
      </c>
      <c r="AK827">
        <v>74</v>
      </c>
      <c r="AL827" t="s">
        <v>218</v>
      </c>
      <c r="AM827" t="s">
        <v>219</v>
      </c>
      <c r="AN827" t="s">
        <v>220</v>
      </c>
      <c r="AO827" t="s">
        <v>14112</v>
      </c>
      <c r="AP827" t="s">
        <v>14113</v>
      </c>
      <c r="AQ827" t="s">
        <v>74</v>
      </c>
      <c r="AR827" t="s">
        <v>14114</v>
      </c>
      <c r="AS827" t="s">
        <v>14115</v>
      </c>
      <c r="AT827" t="s">
        <v>256</v>
      </c>
      <c r="AU827">
        <v>2021</v>
      </c>
      <c r="AV827">
        <v>37</v>
      </c>
      <c r="AW827">
        <v>4</v>
      </c>
      <c r="AX827" t="s">
        <v>74</v>
      </c>
      <c r="AY827" t="s">
        <v>74</v>
      </c>
      <c r="AZ827" t="s">
        <v>74</v>
      </c>
      <c r="BA827" t="s">
        <v>74</v>
      </c>
      <c r="BB827">
        <v>742</v>
      </c>
      <c r="BC827">
        <v>754</v>
      </c>
      <c r="BD827" t="s">
        <v>74</v>
      </c>
      <c r="BE827" t="s">
        <v>14116</v>
      </c>
      <c r="BF827" t="str">
        <f>HYPERLINK("http://dx.doi.org/10.1002/smi.3034","http://dx.doi.org/10.1002/smi.3034")</f>
        <v>http://dx.doi.org/10.1002/smi.3034</v>
      </c>
      <c r="BG827" t="s">
        <v>74</v>
      </c>
      <c r="BH827" t="s">
        <v>10162</v>
      </c>
      <c r="BI827">
        <v>13</v>
      </c>
      <c r="BJ827" t="s">
        <v>14117</v>
      </c>
      <c r="BK827" t="s">
        <v>147</v>
      </c>
      <c r="BL827" t="s">
        <v>6415</v>
      </c>
      <c r="BM827" t="s">
        <v>14118</v>
      </c>
      <c r="BN827">
        <v>33580914</v>
      </c>
      <c r="BO827" t="s">
        <v>7537</v>
      </c>
      <c r="BP827" t="s">
        <v>74</v>
      </c>
      <c r="BQ827" t="s">
        <v>74</v>
      </c>
      <c r="BR827" t="s">
        <v>97</v>
      </c>
      <c r="BS827" t="s">
        <v>14119</v>
      </c>
      <c r="BT827" t="str">
        <f>HYPERLINK("https%3A%2F%2Fwww.webofscience.com%2Fwos%2Fwoscc%2Ffull-record%2FWOS:000620663900001","View Full Record in Web of Science")</f>
        <v>View Full Record in Web of Science</v>
      </c>
    </row>
    <row r="828" spans="1:72" x14ac:dyDescent="0.25">
      <c r="A828" t="s">
        <v>72</v>
      </c>
      <c r="B828" t="s">
        <v>14120</v>
      </c>
      <c r="C828" t="s">
        <v>74</v>
      </c>
      <c r="D828" t="s">
        <v>74</v>
      </c>
      <c r="E828" t="s">
        <v>74</v>
      </c>
      <c r="F828" t="s">
        <v>14121</v>
      </c>
      <c r="G828" t="s">
        <v>74</v>
      </c>
      <c r="H828" t="s">
        <v>74</v>
      </c>
      <c r="I828" t="s">
        <v>14122</v>
      </c>
      <c r="J828" t="s">
        <v>14123</v>
      </c>
      <c r="K828" t="s">
        <v>74</v>
      </c>
      <c r="L828" t="s">
        <v>74</v>
      </c>
      <c r="M828" t="s">
        <v>77</v>
      </c>
      <c r="N828" t="s">
        <v>78</v>
      </c>
      <c r="O828" t="s">
        <v>74</v>
      </c>
      <c r="P828" t="s">
        <v>74</v>
      </c>
      <c r="Q828" t="s">
        <v>74</v>
      </c>
      <c r="R828" t="s">
        <v>74</v>
      </c>
      <c r="S828" t="s">
        <v>74</v>
      </c>
      <c r="T828" t="s">
        <v>14124</v>
      </c>
      <c r="U828" t="s">
        <v>14125</v>
      </c>
      <c r="V828" t="s">
        <v>14126</v>
      </c>
      <c r="W828" t="s">
        <v>14127</v>
      </c>
      <c r="X828" t="s">
        <v>14128</v>
      </c>
      <c r="Y828" t="s">
        <v>14129</v>
      </c>
      <c r="Z828" t="s">
        <v>14130</v>
      </c>
      <c r="AA828" t="s">
        <v>14131</v>
      </c>
      <c r="AB828" t="s">
        <v>14132</v>
      </c>
      <c r="AC828" t="s">
        <v>14133</v>
      </c>
      <c r="AD828" t="s">
        <v>14134</v>
      </c>
      <c r="AE828" t="s">
        <v>14135</v>
      </c>
      <c r="AF828" t="s">
        <v>74</v>
      </c>
      <c r="AG828">
        <v>106</v>
      </c>
      <c r="AH828">
        <v>4</v>
      </c>
      <c r="AI828">
        <v>4</v>
      </c>
      <c r="AJ828">
        <v>0</v>
      </c>
      <c r="AK828">
        <v>12</v>
      </c>
      <c r="AL828" t="s">
        <v>434</v>
      </c>
      <c r="AM828" t="s">
        <v>435</v>
      </c>
      <c r="AN828" t="s">
        <v>436</v>
      </c>
      <c r="AO828" t="s">
        <v>14136</v>
      </c>
      <c r="AP828" t="s">
        <v>14137</v>
      </c>
      <c r="AQ828" t="s">
        <v>74</v>
      </c>
      <c r="AR828" t="s">
        <v>14138</v>
      </c>
      <c r="AS828" t="s">
        <v>14139</v>
      </c>
      <c r="AT828" t="s">
        <v>405</v>
      </c>
      <c r="AU828">
        <v>2021</v>
      </c>
      <c r="AV828">
        <v>123</v>
      </c>
      <c r="AW828" t="s">
        <v>74</v>
      </c>
      <c r="AX828" t="s">
        <v>74</v>
      </c>
      <c r="AY828" t="s">
        <v>74</v>
      </c>
      <c r="AZ828" t="s">
        <v>74</v>
      </c>
      <c r="BA828" t="s">
        <v>74</v>
      </c>
      <c r="BB828" t="s">
        <v>74</v>
      </c>
      <c r="BC828" t="s">
        <v>74</v>
      </c>
      <c r="BD828">
        <v>102356</v>
      </c>
      <c r="BE828" t="s">
        <v>14140</v>
      </c>
      <c r="BF828" t="str">
        <f>HYPERLINK("http://dx.doi.org/10.1016/j.forpol.2020.102356","http://dx.doi.org/10.1016/j.forpol.2020.102356")</f>
        <v>http://dx.doi.org/10.1016/j.forpol.2020.102356</v>
      </c>
      <c r="BG828" t="s">
        <v>74</v>
      </c>
      <c r="BH828" t="s">
        <v>74</v>
      </c>
      <c r="BI828">
        <v>14</v>
      </c>
      <c r="BJ828" t="s">
        <v>14141</v>
      </c>
      <c r="BK828" t="s">
        <v>147</v>
      </c>
      <c r="BL828" t="s">
        <v>14142</v>
      </c>
      <c r="BM828" t="s">
        <v>14143</v>
      </c>
      <c r="BN828" t="s">
        <v>74</v>
      </c>
      <c r="BO828" t="s">
        <v>74</v>
      </c>
      <c r="BP828" t="s">
        <v>74</v>
      </c>
      <c r="BQ828" t="s">
        <v>74</v>
      </c>
      <c r="BR828" t="s">
        <v>97</v>
      </c>
      <c r="BS828" t="s">
        <v>14144</v>
      </c>
      <c r="BT828" t="str">
        <f>HYPERLINK("https%3A%2F%2Fwww.webofscience.com%2Fwos%2Fwoscc%2Ffull-record%2FWOS:000607033300012","View Full Record in Web of Science")</f>
        <v>View Full Record in Web of Science</v>
      </c>
    </row>
    <row r="829" spans="1:72" x14ac:dyDescent="0.25">
      <c r="A829" t="s">
        <v>72</v>
      </c>
      <c r="B829" t="s">
        <v>14145</v>
      </c>
      <c r="C829" t="s">
        <v>74</v>
      </c>
      <c r="D829" t="s">
        <v>74</v>
      </c>
      <c r="E829" t="s">
        <v>74</v>
      </c>
      <c r="F829" t="s">
        <v>14146</v>
      </c>
      <c r="G829" t="s">
        <v>74</v>
      </c>
      <c r="H829" t="s">
        <v>74</v>
      </c>
      <c r="I829" t="s">
        <v>14147</v>
      </c>
      <c r="J829" t="s">
        <v>2059</v>
      </c>
      <c r="K829" t="s">
        <v>74</v>
      </c>
      <c r="L829" t="s">
        <v>74</v>
      </c>
      <c r="M829" t="s">
        <v>77</v>
      </c>
      <c r="N829" t="s">
        <v>78</v>
      </c>
      <c r="O829" t="s">
        <v>74</v>
      </c>
      <c r="P829" t="s">
        <v>74</v>
      </c>
      <c r="Q829" t="s">
        <v>74</v>
      </c>
      <c r="R829" t="s">
        <v>74</v>
      </c>
      <c r="S829" t="s">
        <v>74</v>
      </c>
      <c r="T829" t="s">
        <v>14148</v>
      </c>
      <c r="U829" t="s">
        <v>14149</v>
      </c>
      <c r="V829" t="s">
        <v>14150</v>
      </c>
      <c r="W829" t="s">
        <v>14151</v>
      </c>
      <c r="X829" t="s">
        <v>14152</v>
      </c>
      <c r="Y829" t="s">
        <v>14153</v>
      </c>
      <c r="Z829" t="s">
        <v>14154</v>
      </c>
      <c r="AA829" t="s">
        <v>14155</v>
      </c>
      <c r="AB829" t="s">
        <v>14156</v>
      </c>
      <c r="AC829" t="s">
        <v>14157</v>
      </c>
      <c r="AD829" t="s">
        <v>14158</v>
      </c>
      <c r="AE829" t="s">
        <v>14159</v>
      </c>
      <c r="AF829" t="s">
        <v>74</v>
      </c>
      <c r="AG829">
        <v>44</v>
      </c>
      <c r="AH829">
        <v>4</v>
      </c>
      <c r="AI829">
        <v>4</v>
      </c>
      <c r="AJ829">
        <v>14</v>
      </c>
      <c r="AK829">
        <v>70</v>
      </c>
      <c r="AL829" t="s">
        <v>2067</v>
      </c>
      <c r="AM829" t="s">
        <v>2068</v>
      </c>
      <c r="AN829" t="s">
        <v>2069</v>
      </c>
      <c r="AO829" t="s">
        <v>2070</v>
      </c>
      <c r="AP829" t="s">
        <v>2071</v>
      </c>
      <c r="AQ829" t="s">
        <v>74</v>
      </c>
      <c r="AR829" t="s">
        <v>2072</v>
      </c>
      <c r="AS829" t="s">
        <v>2073</v>
      </c>
      <c r="AT829" t="s">
        <v>405</v>
      </c>
      <c r="AU829">
        <v>2021</v>
      </c>
      <c r="AV829">
        <v>49</v>
      </c>
      <c r="AW829">
        <v>2</v>
      </c>
      <c r="AX829" t="s">
        <v>74</v>
      </c>
      <c r="AY829" t="s">
        <v>74</v>
      </c>
      <c r="AZ829" t="s">
        <v>74</v>
      </c>
      <c r="BA829" t="s">
        <v>74</v>
      </c>
      <c r="BB829" t="s">
        <v>74</v>
      </c>
      <c r="BC829" t="s">
        <v>74</v>
      </c>
      <c r="BD829" t="s">
        <v>14160</v>
      </c>
      <c r="BE829" t="s">
        <v>14161</v>
      </c>
      <c r="BF829" t="str">
        <f>HYPERLINK("http://dx.doi.org/10.2224/sbp.9746","http://dx.doi.org/10.2224/sbp.9746")</f>
        <v>http://dx.doi.org/10.2224/sbp.9746</v>
      </c>
      <c r="BG829" t="s">
        <v>74</v>
      </c>
      <c r="BH829" t="s">
        <v>74</v>
      </c>
      <c r="BI829">
        <v>12</v>
      </c>
      <c r="BJ829" t="s">
        <v>459</v>
      </c>
      <c r="BK829" t="s">
        <v>94</v>
      </c>
      <c r="BL829" t="s">
        <v>460</v>
      </c>
      <c r="BM829" t="s">
        <v>14162</v>
      </c>
      <c r="BN829" t="s">
        <v>74</v>
      </c>
      <c r="BO829" t="s">
        <v>74</v>
      </c>
      <c r="BP829" t="s">
        <v>74</v>
      </c>
      <c r="BQ829" t="s">
        <v>74</v>
      </c>
      <c r="BR829" t="s">
        <v>97</v>
      </c>
      <c r="BS829" t="s">
        <v>14163</v>
      </c>
      <c r="BT829" t="str">
        <f>HYPERLINK("https%3A%2F%2Fwww.webofscience.com%2Fwos%2Fwoscc%2Ffull-record%2FWOS:000618650000003","View Full Record in Web of Science")</f>
        <v>View Full Record in Web of Science</v>
      </c>
    </row>
    <row r="830" spans="1:72" x14ac:dyDescent="0.25">
      <c r="A830" t="s">
        <v>72</v>
      </c>
      <c r="B830" t="s">
        <v>14164</v>
      </c>
      <c r="C830" t="s">
        <v>74</v>
      </c>
      <c r="D830" t="s">
        <v>74</v>
      </c>
      <c r="E830" t="s">
        <v>74</v>
      </c>
      <c r="F830" t="s">
        <v>14165</v>
      </c>
      <c r="G830" t="s">
        <v>74</v>
      </c>
      <c r="H830" t="s">
        <v>74</v>
      </c>
      <c r="I830" t="s">
        <v>14166</v>
      </c>
      <c r="J830" t="s">
        <v>14167</v>
      </c>
      <c r="K830" t="s">
        <v>74</v>
      </c>
      <c r="L830" t="s">
        <v>74</v>
      </c>
      <c r="M830" t="s">
        <v>77</v>
      </c>
      <c r="N830" t="s">
        <v>78</v>
      </c>
      <c r="O830" t="s">
        <v>74</v>
      </c>
      <c r="P830" t="s">
        <v>74</v>
      </c>
      <c r="Q830" t="s">
        <v>74</v>
      </c>
      <c r="R830" t="s">
        <v>74</v>
      </c>
      <c r="S830" t="s">
        <v>74</v>
      </c>
      <c r="T830" t="s">
        <v>14168</v>
      </c>
      <c r="U830" t="s">
        <v>74</v>
      </c>
      <c r="V830" t="s">
        <v>14169</v>
      </c>
      <c r="W830" t="s">
        <v>14170</v>
      </c>
      <c r="X830" t="s">
        <v>14171</v>
      </c>
      <c r="Y830" t="s">
        <v>14172</v>
      </c>
      <c r="Z830" t="s">
        <v>14173</v>
      </c>
      <c r="AA830" t="s">
        <v>14174</v>
      </c>
      <c r="AB830" t="s">
        <v>14175</v>
      </c>
      <c r="AC830" t="s">
        <v>74</v>
      </c>
      <c r="AD830" t="s">
        <v>74</v>
      </c>
      <c r="AE830" t="s">
        <v>74</v>
      </c>
      <c r="AF830" t="s">
        <v>74</v>
      </c>
      <c r="AG830">
        <v>75</v>
      </c>
      <c r="AH830">
        <v>4</v>
      </c>
      <c r="AI830">
        <v>4</v>
      </c>
      <c r="AJ830">
        <v>7</v>
      </c>
      <c r="AK830">
        <v>48</v>
      </c>
      <c r="AL830" t="s">
        <v>304</v>
      </c>
      <c r="AM830" t="s">
        <v>305</v>
      </c>
      <c r="AN830" t="s">
        <v>306</v>
      </c>
      <c r="AO830" t="s">
        <v>14176</v>
      </c>
      <c r="AP830" t="s">
        <v>14177</v>
      </c>
      <c r="AQ830" t="s">
        <v>74</v>
      </c>
      <c r="AR830" t="s">
        <v>14178</v>
      </c>
      <c r="AS830" t="s">
        <v>14179</v>
      </c>
      <c r="AT830" t="s">
        <v>5161</v>
      </c>
      <c r="AU830">
        <v>2022</v>
      </c>
      <c r="AV830">
        <v>20</v>
      </c>
      <c r="AW830">
        <v>4</v>
      </c>
      <c r="AX830" t="s">
        <v>74</v>
      </c>
      <c r="AY830" t="s">
        <v>74</v>
      </c>
      <c r="AZ830" t="s">
        <v>74</v>
      </c>
      <c r="BA830" t="s">
        <v>74</v>
      </c>
      <c r="BB830">
        <v>557</v>
      </c>
      <c r="BC830">
        <v>570</v>
      </c>
      <c r="BD830" t="s">
        <v>74</v>
      </c>
      <c r="BE830" t="s">
        <v>14180</v>
      </c>
      <c r="BF830" t="str">
        <f>HYPERLINK("http://dx.doi.org/10.1080/14778238.2020.1860666","http://dx.doi.org/10.1080/14778238.2020.1860666")</f>
        <v>http://dx.doi.org/10.1080/14778238.2020.1860666</v>
      </c>
      <c r="BG830" t="s">
        <v>74</v>
      </c>
      <c r="BH830" t="s">
        <v>6664</v>
      </c>
      <c r="BI830">
        <v>14</v>
      </c>
      <c r="BJ830" t="s">
        <v>1754</v>
      </c>
      <c r="BK830" t="s">
        <v>94</v>
      </c>
      <c r="BL830" t="s">
        <v>1755</v>
      </c>
      <c r="BM830" t="s">
        <v>14181</v>
      </c>
      <c r="BN830" t="s">
        <v>74</v>
      </c>
      <c r="BO830" t="s">
        <v>74</v>
      </c>
      <c r="BP830" t="s">
        <v>74</v>
      </c>
      <c r="BQ830" t="s">
        <v>74</v>
      </c>
      <c r="BR830" t="s">
        <v>97</v>
      </c>
      <c r="BS830" t="s">
        <v>14182</v>
      </c>
      <c r="BT830" t="str">
        <f>HYPERLINK("https%3A%2F%2Fwww.webofscience.com%2Fwos%2Fwoscc%2Ffull-record%2FWOS:000606688600001","View Full Record in Web of Science")</f>
        <v>View Full Record in Web of Science</v>
      </c>
    </row>
    <row r="831" spans="1:72" x14ac:dyDescent="0.25">
      <c r="A831" t="s">
        <v>72</v>
      </c>
      <c r="B831" t="s">
        <v>14183</v>
      </c>
      <c r="C831" t="s">
        <v>74</v>
      </c>
      <c r="D831" t="s">
        <v>74</v>
      </c>
      <c r="E831" t="s">
        <v>74</v>
      </c>
      <c r="F831" t="s">
        <v>14184</v>
      </c>
      <c r="G831" t="s">
        <v>74</v>
      </c>
      <c r="H831" t="s">
        <v>74</v>
      </c>
      <c r="I831" t="s">
        <v>14185</v>
      </c>
      <c r="J831" t="s">
        <v>2463</v>
      </c>
      <c r="K831" t="s">
        <v>74</v>
      </c>
      <c r="L831" t="s">
        <v>74</v>
      </c>
      <c r="M831" t="s">
        <v>77</v>
      </c>
      <c r="N831" t="s">
        <v>78</v>
      </c>
      <c r="O831" t="s">
        <v>74</v>
      </c>
      <c r="P831" t="s">
        <v>74</v>
      </c>
      <c r="Q831" t="s">
        <v>74</v>
      </c>
      <c r="R831" t="s">
        <v>74</v>
      </c>
      <c r="S831" t="s">
        <v>74</v>
      </c>
      <c r="T831" t="s">
        <v>14186</v>
      </c>
      <c r="U831" t="s">
        <v>14187</v>
      </c>
      <c r="V831" t="s">
        <v>14188</v>
      </c>
      <c r="W831" t="s">
        <v>14189</v>
      </c>
      <c r="X831" t="s">
        <v>597</v>
      </c>
      <c r="Y831" t="s">
        <v>14190</v>
      </c>
      <c r="Z831" t="s">
        <v>14191</v>
      </c>
      <c r="AA831" t="s">
        <v>14192</v>
      </c>
      <c r="AB831" t="s">
        <v>14193</v>
      </c>
      <c r="AC831" t="s">
        <v>14194</v>
      </c>
      <c r="AD831" t="s">
        <v>14195</v>
      </c>
      <c r="AE831" t="s">
        <v>14196</v>
      </c>
      <c r="AF831" t="s">
        <v>74</v>
      </c>
      <c r="AG831">
        <v>99</v>
      </c>
      <c r="AH831">
        <v>4</v>
      </c>
      <c r="AI831">
        <v>5</v>
      </c>
      <c r="AJ831">
        <v>6</v>
      </c>
      <c r="AK831">
        <v>17</v>
      </c>
      <c r="AL831" t="s">
        <v>2473</v>
      </c>
      <c r="AM831" t="s">
        <v>2102</v>
      </c>
      <c r="AN831" t="s">
        <v>2474</v>
      </c>
      <c r="AO831" t="s">
        <v>74</v>
      </c>
      <c r="AP831" t="s">
        <v>2475</v>
      </c>
      <c r="AQ831" t="s">
        <v>74</v>
      </c>
      <c r="AR831" t="s">
        <v>2476</v>
      </c>
      <c r="AS831" t="s">
        <v>2477</v>
      </c>
      <c r="AT831" t="s">
        <v>892</v>
      </c>
      <c r="AU831">
        <v>2021</v>
      </c>
      <c r="AV831">
        <v>13</v>
      </c>
      <c r="AW831">
        <v>2</v>
      </c>
      <c r="AX831" t="s">
        <v>74</v>
      </c>
      <c r="AY831" t="s">
        <v>74</v>
      </c>
      <c r="AZ831" t="s">
        <v>74</v>
      </c>
      <c r="BA831" t="s">
        <v>74</v>
      </c>
      <c r="BB831" t="s">
        <v>74</v>
      </c>
      <c r="BC831" t="s">
        <v>74</v>
      </c>
      <c r="BD831">
        <v>459</v>
      </c>
      <c r="BE831" t="s">
        <v>14197</v>
      </c>
      <c r="BF831" t="str">
        <f>HYPERLINK("http://dx.doi.org/10.3390/su13020459","http://dx.doi.org/10.3390/su13020459")</f>
        <v>http://dx.doi.org/10.3390/su13020459</v>
      </c>
      <c r="BG831" t="s">
        <v>74</v>
      </c>
      <c r="BH831" t="s">
        <v>74</v>
      </c>
      <c r="BI831">
        <v>25</v>
      </c>
      <c r="BJ831" t="s">
        <v>2479</v>
      </c>
      <c r="BK831" t="s">
        <v>147</v>
      </c>
      <c r="BL831" t="s">
        <v>2480</v>
      </c>
      <c r="BM831" t="s">
        <v>14198</v>
      </c>
      <c r="BN831" t="s">
        <v>74</v>
      </c>
      <c r="BO831" t="s">
        <v>4398</v>
      </c>
      <c r="BP831" t="s">
        <v>74</v>
      </c>
      <c r="BQ831" t="s">
        <v>74</v>
      </c>
      <c r="BR831" t="s">
        <v>97</v>
      </c>
      <c r="BS831" t="s">
        <v>14199</v>
      </c>
      <c r="BT831" t="str">
        <f>HYPERLINK("https%3A%2F%2Fwww.webofscience.com%2Fwos%2Fwoscc%2Ffull-record%2FWOS:000611737300001","View Full Record in Web of Science")</f>
        <v>View Full Record in Web of Science</v>
      </c>
    </row>
    <row r="832" spans="1:72" x14ac:dyDescent="0.25">
      <c r="A832" t="s">
        <v>72</v>
      </c>
      <c r="B832" t="s">
        <v>14200</v>
      </c>
      <c r="C832" t="s">
        <v>74</v>
      </c>
      <c r="D832" t="s">
        <v>74</v>
      </c>
      <c r="E832" t="s">
        <v>74</v>
      </c>
      <c r="F832" t="s">
        <v>14201</v>
      </c>
      <c r="G832" t="s">
        <v>74</v>
      </c>
      <c r="H832" t="s">
        <v>74</v>
      </c>
      <c r="I832" t="s">
        <v>14202</v>
      </c>
      <c r="J832" t="s">
        <v>14203</v>
      </c>
      <c r="K832" t="s">
        <v>74</v>
      </c>
      <c r="L832" t="s">
        <v>74</v>
      </c>
      <c r="M832" t="s">
        <v>77</v>
      </c>
      <c r="N832" t="s">
        <v>78</v>
      </c>
      <c r="O832" t="s">
        <v>74</v>
      </c>
      <c r="P832" t="s">
        <v>74</v>
      </c>
      <c r="Q832" t="s">
        <v>74</v>
      </c>
      <c r="R832" t="s">
        <v>74</v>
      </c>
      <c r="S832" t="s">
        <v>74</v>
      </c>
      <c r="T832" t="s">
        <v>14204</v>
      </c>
      <c r="U832" t="s">
        <v>14205</v>
      </c>
      <c r="V832" t="s">
        <v>14206</v>
      </c>
      <c r="W832" t="s">
        <v>14207</v>
      </c>
      <c r="X832" t="s">
        <v>14208</v>
      </c>
      <c r="Y832" t="s">
        <v>14209</v>
      </c>
      <c r="Z832" t="s">
        <v>14210</v>
      </c>
      <c r="AA832" t="s">
        <v>14211</v>
      </c>
      <c r="AB832" t="s">
        <v>14212</v>
      </c>
      <c r="AC832" t="s">
        <v>74</v>
      </c>
      <c r="AD832" t="s">
        <v>74</v>
      </c>
      <c r="AE832" t="s">
        <v>74</v>
      </c>
      <c r="AF832" t="s">
        <v>74</v>
      </c>
      <c r="AG832">
        <v>44</v>
      </c>
      <c r="AH832">
        <v>4</v>
      </c>
      <c r="AI832">
        <v>6</v>
      </c>
      <c r="AJ832">
        <v>4</v>
      </c>
      <c r="AK832">
        <v>19</v>
      </c>
      <c r="AL832" t="s">
        <v>218</v>
      </c>
      <c r="AM832" t="s">
        <v>219</v>
      </c>
      <c r="AN832" t="s">
        <v>220</v>
      </c>
      <c r="AO832" t="s">
        <v>14213</v>
      </c>
      <c r="AP832" t="s">
        <v>14214</v>
      </c>
      <c r="AQ832" t="s">
        <v>74</v>
      </c>
      <c r="AR832" t="s">
        <v>14215</v>
      </c>
      <c r="AS832" t="s">
        <v>14216</v>
      </c>
      <c r="AT832" t="s">
        <v>892</v>
      </c>
      <c r="AU832">
        <v>2021</v>
      </c>
      <c r="AV832">
        <v>53</v>
      </c>
      <c r="AW832">
        <v>1</v>
      </c>
      <c r="AX832" t="s">
        <v>74</v>
      </c>
      <c r="AY832" t="s">
        <v>74</v>
      </c>
      <c r="AZ832" t="s">
        <v>74</v>
      </c>
      <c r="BA832" t="s">
        <v>74</v>
      </c>
      <c r="BB832">
        <v>96</v>
      </c>
      <c r="BC832">
        <v>105</v>
      </c>
      <c r="BD832" t="s">
        <v>74</v>
      </c>
      <c r="BE832" t="s">
        <v>14217</v>
      </c>
      <c r="BF832" t="str">
        <f>HYPERLINK("http://dx.doi.org/10.1111/jnu.12615","http://dx.doi.org/10.1111/jnu.12615")</f>
        <v>http://dx.doi.org/10.1111/jnu.12615</v>
      </c>
      <c r="BG832" t="s">
        <v>74</v>
      </c>
      <c r="BH832" t="s">
        <v>8229</v>
      </c>
      <c r="BI832">
        <v>10</v>
      </c>
      <c r="BJ832" t="s">
        <v>980</v>
      </c>
      <c r="BK832" t="s">
        <v>147</v>
      </c>
      <c r="BL832" t="s">
        <v>980</v>
      </c>
      <c r="BM832" t="s">
        <v>14218</v>
      </c>
      <c r="BN832">
        <v>33348439</v>
      </c>
      <c r="BO832" t="s">
        <v>74</v>
      </c>
      <c r="BP832" t="s">
        <v>74</v>
      </c>
      <c r="BQ832" t="s">
        <v>74</v>
      </c>
      <c r="BR832" t="s">
        <v>97</v>
      </c>
      <c r="BS832" t="s">
        <v>14219</v>
      </c>
      <c r="BT832" t="str">
        <f>HYPERLINK("https%3A%2F%2Fwww.webofscience.com%2Fwos%2Fwoscc%2Ffull-record%2FWOS:000600528900001","View Full Record in Web of Science")</f>
        <v>View Full Record in Web of Science</v>
      </c>
    </row>
    <row r="833" spans="1:72" x14ac:dyDescent="0.25">
      <c r="A833" t="s">
        <v>72</v>
      </c>
      <c r="B833" t="s">
        <v>14220</v>
      </c>
      <c r="C833" t="s">
        <v>74</v>
      </c>
      <c r="D833" t="s">
        <v>74</v>
      </c>
      <c r="E833" t="s">
        <v>74</v>
      </c>
      <c r="F833" t="s">
        <v>14221</v>
      </c>
      <c r="G833" t="s">
        <v>74</v>
      </c>
      <c r="H833" t="s">
        <v>74</v>
      </c>
      <c r="I833" t="s">
        <v>14222</v>
      </c>
      <c r="J833" t="s">
        <v>3184</v>
      </c>
      <c r="K833" t="s">
        <v>74</v>
      </c>
      <c r="L833" t="s">
        <v>74</v>
      </c>
      <c r="M833" t="s">
        <v>77</v>
      </c>
      <c r="N833" t="s">
        <v>78</v>
      </c>
      <c r="O833" t="s">
        <v>74</v>
      </c>
      <c r="P833" t="s">
        <v>74</v>
      </c>
      <c r="Q833" t="s">
        <v>74</v>
      </c>
      <c r="R833" t="s">
        <v>74</v>
      </c>
      <c r="S833" t="s">
        <v>74</v>
      </c>
      <c r="T833" t="s">
        <v>14223</v>
      </c>
      <c r="U833" t="s">
        <v>14224</v>
      </c>
      <c r="V833" t="s">
        <v>14225</v>
      </c>
      <c r="W833" t="s">
        <v>14226</v>
      </c>
      <c r="X833" t="s">
        <v>14227</v>
      </c>
      <c r="Y833" t="s">
        <v>14228</v>
      </c>
      <c r="Z833" t="s">
        <v>14229</v>
      </c>
      <c r="AA833" t="s">
        <v>14230</v>
      </c>
      <c r="AB833" t="s">
        <v>14231</v>
      </c>
      <c r="AC833" t="s">
        <v>14232</v>
      </c>
      <c r="AD833" t="s">
        <v>14233</v>
      </c>
      <c r="AE833" t="s">
        <v>14234</v>
      </c>
      <c r="AF833" t="s">
        <v>74</v>
      </c>
      <c r="AG833">
        <v>117</v>
      </c>
      <c r="AH833">
        <v>4</v>
      </c>
      <c r="AI833">
        <v>4</v>
      </c>
      <c r="AJ833">
        <v>5</v>
      </c>
      <c r="AK833">
        <v>16</v>
      </c>
      <c r="AL833" t="s">
        <v>3195</v>
      </c>
      <c r="AM833" t="s">
        <v>3196</v>
      </c>
      <c r="AN833" t="s">
        <v>3197</v>
      </c>
      <c r="AO833" t="s">
        <v>3198</v>
      </c>
      <c r="AP833" t="s">
        <v>74</v>
      </c>
      <c r="AQ833" t="s">
        <v>74</v>
      </c>
      <c r="AR833" t="s">
        <v>3199</v>
      </c>
      <c r="AS833" t="s">
        <v>3200</v>
      </c>
      <c r="AT833" t="s">
        <v>14235</v>
      </c>
      <c r="AU833">
        <v>2020</v>
      </c>
      <c r="AV833">
        <v>11</v>
      </c>
      <c r="AW833" t="s">
        <v>74</v>
      </c>
      <c r="AX833" t="s">
        <v>74</v>
      </c>
      <c r="AY833" t="s">
        <v>74</v>
      </c>
      <c r="AZ833" t="s">
        <v>74</v>
      </c>
      <c r="BA833" t="s">
        <v>74</v>
      </c>
      <c r="BB833" t="s">
        <v>74</v>
      </c>
      <c r="BC833" t="s">
        <v>74</v>
      </c>
      <c r="BD833">
        <v>584857</v>
      </c>
      <c r="BE833" t="s">
        <v>14236</v>
      </c>
      <c r="BF833" t="str">
        <f>HYPERLINK("http://dx.doi.org/10.3389/fpsyg.2020.584857","http://dx.doi.org/10.3389/fpsyg.2020.584857")</f>
        <v>http://dx.doi.org/10.3389/fpsyg.2020.584857</v>
      </c>
      <c r="BG833" t="s">
        <v>74</v>
      </c>
      <c r="BH833" t="s">
        <v>74</v>
      </c>
      <c r="BI833">
        <v>17</v>
      </c>
      <c r="BJ833" t="s">
        <v>3203</v>
      </c>
      <c r="BK833" t="s">
        <v>94</v>
      </c>
      <c r="BL833" t="s">
        <v>460</v>
      </c>
      <c r="BM833" t="s">
        <v>14237</v>
      </c>
      <c r="BN833">
        <v>33343457</v>
      </c>
      <c r="BO833" t="s">
        <v>3205</v>
      </c>
      <c r="BP833" t="s">
        <v>74</v>
      </c>
      <c r="BQ833" t="s">
        <v>74</v>
      </c>
      <c r="BR833" t="s">
        <v>97</v>
      </c>
      <c r="BS833" t="s">
        <v>14238</v>
      </c>
      <c r="BT833" t="str">
        <f>HYPERLINK("https%3A%2F%2Fwww.webofscience.com%2Fwos%2Fwoscc%2Ffull-record%2FWOS:000599288900001","View Full Record in Web of Science")</f>
        <v>View Full Record in Web of Science</v>
      </c>
    </row>
    <row r="834" spans="1:72" x14ac:dyDescent="0.25">
      <c r="A834" t="s">
        <v>72</v>
      </c>
      <c r="B834" t="s">
        <v>14239</v>
      </c>
      <c r="C834" t="s">
        <v>74</v>
      </c>
      <c r="D834" t="s">
        <v>74</v>
      </c>
      <c r="E834" t="s">
        <v>74</v>
      </c>
      <c r="F834" t="s">
        <v>14240</v>
      </c>
      <c r="G834" t="s">
        <v>74</v>
      </c>
      <c r="H834" t="s">
        <v>74</v>
      </c>
      <c r="I834" t="s">
        <v>14241</v>
      </c>
      <c r="J834" t="s">
        <v>2059</v>
      </c>
      <c r="K834" t="s">
        <v>74</v>
      </c>
      <c r="L834" t="s">
        <v>74</v>
      </c>
      <c r="M834" t="s">
        <v>77</v>
      </c>
      <c r="N834" t="s">
        <v>78</v>
      </c>
      <c r="O834" t="s">
        <v>74</v>
      </c>
      <c r="P834" t="s">
        <v>74</v>
      </c>
      <c r="Q834" t="s">
        <v>74</v>
      </c>
      <c r="R834" t="s">
        <v>74</v>
      </c>
      <c r="S834" t="s">
        <v>74</v>
      </c>
      <c r="T834" t="s">
        <v>14242</v>
      </c>
      <c r="U834" t="s">
        <v>14243</v>
      </c>
      <c r="V834" t="s">
        <v>14244</v>
      </c>
      <c r="W834" t="s">
        <v>14245</v>
      </c>
      <c r="X834" t="s">
        <v>6851</v>
      </c>
      <c r="Y834" t="s">
        <v>13667</v>
      </c>
      <c r="Z834" t="s">
        <v>14246</v>
      </c>
      <c r="AA834" t="s">
        <v>74</v>
      </c>
      <c r="AB834" t="s">
        <v>74</v>
      </c>
      <c r="AC834" t="s">
        <v>14247</v>
      </c>
      <c r="AD834" t="s">
        <v>575</v>
      </c>
      <c r="AE834" t="s">
        <v>14248</v>
      </c>
      <c r="AF834" t="s">
        <v>74</v>
      </c>
      <c r="AG834">
        <v>25</v>
      </c>
      <c r="AH834">
        <v>4</v>
      </c>
      <c r="AI834">
        <v>4</v>
      </c>
      <c r="AJ834">
        <v>5</v>
      </c>
      <c r="AK834">
        <v>35</v>
      </c>
      <c r="AL834" t="s">
        <v>2067</v>
      </c>
      <c r="AM834" t="s">
        <v>2068</v>
      </c>
      <c r="AN834" t="s">
        <v>2069</v>
      </c>
      <c r="AO834" t="s">
        <v>2070</v>
      </c>
      <c r="AP834" t="s">
        <v>2071</v>
      </c>
      <c r="AQ834" t="s">
        <v>74</v>
      </c>
      <c r="AR834" t="s">
        <v>2072</v>
      </c>
      <c r="AS834" t="s">
        <v>2073</v>
      </c>
      <c r="AT834" t="s">
        <v>584</v>
      </c>
      <c r="AU834">
        <v>2020</v>
      </c>
      <c r="AV834">
        <v>48</v>
      </c>
      <c r="AW834">
        <v>11</v>
      </c>
      <c r="AX834" t="s">
        <v>74</v>
      </c>
      <c r="AY834" t="s">
        <v>74</v>
      </c>
      <c r="AZ834" t="s">
        <v>74</v>
      </c>
      <c r="BA834" t="s">
        <v>74</v>
      </c>
      <c r="BB834" t="s">
        <v>74</v>
      </c>
      <c r="BC834" t="s">
        <v>74</v>
      </c>
      <c r="BD834" t="s">
        <v>14249</v>
      </c>
      <c r="BE834" t="s">
        <v>14250</v>
      </c>
      <c r="BF834" t="str">
        <f>HYPERLINK("http://dx.doi.org/10.2224/sbp.9476","http://dx.doi.org/10.2224/sbp.9476")</f>
        <v>http://dx.doi.org/10.2224/sbp.9476</v>
      </c>
      <c r="BG834" t="s">
        <v>74</v>
      </c>
      <c r="BH834" t="s">
        <v>74</v>
      </c>
      <c r="BI834">
        <v>11</v>
      </c>
      <c r="BJ834" t="s">
        <v>459</v>
      </c>
      <c r="BK834" t="s">
        <v>94</v>
      </c>
      <c r="BL834" t="s">
        <v>460</v>
      </c>
      <c r="BM834" t="s">
        <v>14251</v>
      </c>
      <c r="BN834" t="s">
        <v>74</v>
      </c>
      <c r="BO834" t="s">
        <v>74</v>
      </c>
      <c r="BP834" t="s">
        <v>74</v>
      </c>
      <c r="BQ834" t="s">
        <v>74</v>
      </c>
      <c r="BR834" t="s">
        <v>97</v>
      </c>
      <c r="BS834" t="s">
        <v>14252</v>
      </c>
      <c r="BT834" t="str">
        <f>HYPERLINK("https%3A%2F%2Fwww.webofscience.com%2Fwos%2Fwoscc%2Ffull-record%2FWOS:000588705200009","View Full Record in Web of Science")</f>
        <v>View Full Record in Web of Science</v>
      </c>
    </row>
    <row r="835" spans="1:72" x14ac:dyDescent="0.25">
      <c r="A835" t="s">
        <v>72</v>
      </c>
      <c r="B835" t="s">
        <v>14253</v>
      </c>
      <c r="C835" t="s">
        <v>74</v>
      </c>
      <c r="D835" t="s">
        <v>74</v>
      </c>
      <c r="E835" t="s">
        <v>74</v>
      </c>
      <c r="F835" t="s">
        <v>14254</v>
      </c>
      <c r="G835" t="s">
        <v>74</v>
      </c>
      <c r="H835" t="s">
        <v>74</v>
      </c>
      <c r="I835" t="s">
        <v>14255</v>
      </c>
      <c r="J835" t="s">
        <v>7230</v>
      </c>
      <c r="K835" t="s">
        <v>74</v>
      </c>
      <c r="L835" t="s">
        <v>74</v>
      </c>
      <c r="M835" t="s">
        <v>77</v>
      </c>
      <c r="N835" t="s">
        <v>78</v>
      </c>
      <c r="O835" t="s">
        <v>74</v>
      </c>
      <c r="P835" t="s">
        <v>74</v>
      </c>
      <c r="Q835" t="s">
        <v>74</v>
      </c>
      <c r="R835" t="s">
        <v>74</v>
      </c>
      <c r="S835" t="s">
        <v>74</v>
      </c>
      <c r="T835" t="s">
        <v>14256</v>
      </c>
      <c r="U835" t="s">
        <v>14257</v>
      </c>
      <c r="V835" t="s">
        <v>14258</v>
      </c>
      <c r="W835" t="s">
        <v>14259</v>
      </c>
      <c r="X835" t="s">
        <v>14260</v>
      </c>
      <c r="Y835" t="s">
        <v>14261</v>
      </c>
      <c r="Z835" t="s">
        <v>14262</v>
      </c>
      <c r="AA835" t="s">
        <v>74</v>
      </c>
      <c r="AB835" t="s">
        <v>74</v>
      </c>
      <c r="AC835" t="s">
        <v>74</v>
      </c>
      <c r="AD835" t="s">
        <v>74</v>
      </c>
      <c r="AE835" t="s">
        <v>74</v>
      </c>
      <c r="AF835" t="s">
        <v>74</v>
      </c>
      <c r="AG835">
        <v>84</v>
      </c>
      <c r="AH835">
        <v>4</v>
      </c>
      <c r="AI835">
        <v>4</v>
      </c>
      <c r="AJ835">
        <v>2</v>
      </c>
      <c r="AK835">
        <v>22</v>
      </c>
      <c r="AL835" t="s">
        <v>434</v>
      </c>
      <c r="AM835" t="s">
        <v>435</v>
      </c>
      <c r="AN835" t="s">
        <v>436</v>
      </c>
      <c r="AO835" t="s">
        <v>7240</v>
      </c>
      <c r="AP835" t="s">
        <v>7241</v>
      </c>
      <c r="AQ835" t="s">
        <v>74</v>
      </c>
      <c r="AR835" t="s">
        <v>7242</v>
      </c>
      <c r="AS835" t="s">
        <v>7243</v>
      </c>
      <c r="AT835" t="s">
        <v>256</v>
      </c>
      <c r="AU835">
        <v>2020</v>
      </c>
      <c r="AV835">
        <v>36</v>
      </c>
      <c r="AW835" t="s">
        <v>74</v>
      </c>
      <c r="AX835" t="s">
        <v>74</v>
      </c>
      <c r="AY835" t="s">
        <v>74</v>
      </c>
      <c r="AZ835" t="s">
        <v>74</v>
      </c>
      <c r="BA835" t="s">
        <v>74</v>
      </c>
      <c r="BB835" t="s">
        <v>74</v>
      </c>
      <c r="BC835" t="s">
        <v>74</v>
      </c>
      <c r="BD835">
        <v>100742</v>
      </c>
      <c r="BE835" t="s">
        <v>14263</v>
      </c>
      <c r="BF835" t="str">
        <f>HYPERLINK("http://dx.doi.org/10.1016/j.tmp.2020.100742","http://dx.doi.org/10.1016/j.tmp.2020.100742")</f>
        <v>http://dx.doi.org/10.1016/j.tmp.2020.100742</v>
      </c>
      <c r="BG835" t="s">
        <v>74</v>
      </c>
      <c r="BH835" t="s">
        <v>74</v>
      </c>
      <c r="BI835">
        <v>11</v>
      </c>
      <c r="BJ835" t="s">
        <v>1305</v>
      </c>
      <c r="BK835" t="s">
        <v>94</v>
      </c>
      <c r="BL835" t="s">
        <v>1306</v>
      </c>
      <c r="BM835" t="s">
        <v>14264</v>
      </c>
      <c r="BN835" t="s">
        <v>74</v>
      </c>
      <c r="BO835" t="s">
        <v>74</v>
      </c>
      <c r="BP835" t="s">
        <v>74</v>
      </c>
      <c r="BQ835" t="s">
        <v>74</v>
      </c>
      <c r="BR835" t="s">
        <v>97</v>
      </c>
      <c r="BS835" t="s">
        <v>14265</v>
      </c>
      <c r="BT835" t="str">
        <f>HYPERLINK("https%3A%2F%2Fwww.webofscience.com%2Fwos%2Fwoscc%2Ffull-record%2FWOS:000591978600023","View Full Record in Web of Science")</f>
        <v>View Full Record in Web of Science</v>
      </c>
    </row>
    <row r="836" spans="1:72" x14ac:dyDescent="0.25">
      <c r="A836" t="s">
        <v>72</v>
      </c>
      <c r="B836" t="s">
        <v>14266</v>
      </c>
      <c r="C836" t="s">
        <v>74</v>
      </c>
      <c r="D836" t="s">
        <v>74</v>
      </c>
      <c r="E836" t="s">
        <v>74</v>
      </c>
      <c r="F836" t="s">
        <v>14267</v>
      </c>
      <c r="G836" t="s">
        <v>74</v>
      </c>
      <c r="H836" t="s">
        <v>74</v>
      </c>
      <c r="I836" t="s">
        <v>14268</v>
      </c>
      <c r="J836" t="s">
        <v>14269</v>
      </c>
      <c r="K836" t="s">
        <v>74</v>
      </c>
      <c r="L836" t="s">
        <v>74</v>
      </c>
      <c r="M836" t="s">
        <v>77</v>
      </c>
      <c r="N836" t="s">
        <v>78</v>
      </c>
      <c r="O836" t="s">
        <v>74</v>
      </c>
      <c r="P836" t="s">
        <v>74</v>
      </c>
      <c r="Q836" t="s">
        <v>74</v>
      </c>
      <c r="R836" t="s">
        <v>74</v>
      </c>
      <c r="S836" t="s">
        <v>74</v>
      </c>
      <c r="T836" t="s">
        <v>14270</v>
      </c>
      <c r="U836" t="s">
        <v>14271</v>
      </c>
      <c r="V836" t="s">
        <v>14272</v>
      </c>
      <c r="W836" t="s">
        <v>14273</v>
      </c>
      <c r="X836" t="s">
        <v>14274</v>
      </c>
      <c r="Y836" t="s">
        <v>14275</v>
      </c>
      <c r="Z836" t="s">
        <v>14276</v>
      </c>
      <c r="AA836" t="s">
        <v>14277</v>
      </c>
      <c r="AB836" t="s">
        <v>14278</v>
      </c>
      <c r="AC836" t="s">
        <v>74</v>
      </c>
      <c r="AD836" t="s">
        <v>74</v>
      </c>
      <c r="AE836" t="s">
        <v>74</v>
      </c>
      <c r="AF836" t="s">
        <v>74</v>
      </c>
      <c r="AG836">
        <v>86</v>
      </c>
      <c r="AH836">
        <v>4</v>
      </c>
      <c r="AI836">
        <v>4</v>
      </c>
      <c r="AJ836">
        <v>4</v>
      </c>
      <c r="AK836">
        <v>54</v>
      </c>
      <c r="AL836" t="s">
        <v>766</v>
      </c>
      <c r="AM836" t="s">
        <v>1193</v>
      </c>
      <c r="AN836" t="s">
        <v>1498</v>
      </c>
      <c r="AO836" t="s">
        <v>14279</v>
      </c>
      <c r="AP836" t="s">
        <v>14280</v>
      </c>
      <c r="AQ836" t="s">
        <v>74</v>
      </c>
      <c r="AR836" t="s">
        <v>14281</v>
      </c>
      <c r="AS836" t="s">
        <v>14282</v>
      </c>
      <c r="AT836" t="s">
        <v>165</v>
      </c>
      <c r="AU836">
        <v>2021</v>
      </c>
      <c r="AV836">
        <v>23</v>
      </c>
      <c r="AW836">
        <v>5</v>
      </c>
      <c r="AX836" t="s">
        <v>74</v>
      </c>
      <c r="AY836" t="s">
        <v>74</v>
      </c>
      <c r="AZ836" t="s">
        <v>74</v>
      </c>
      <c r="BA836" t="s">
        <v>74</v>
      </c>
      <c r="BB836">
        <v>6966</v>
      </c>
      <c r="BC836">
        <v>6986</v>
      </c>
      <c r="BD836" t="s">
        <v>74</v>
      </c>
      <c r="BE836" t="s">
        <v>14283</v>
      </c>
      <c r="BF836" t="str">
        <f>HYPERLINK("http://dx.doi.org/10.1007/s10668-020-00900-0","http://dx.doi.org/10.1007/s10668-020-00900-0")</f>
        <v>http://dx.doi.org/10.1007/s10668-020-00900-0</v>
      </c>
      <c r="BG836" t="s">
        <v>74</v>
      </c>
      <c r="BH836" t="s">
        <v>7030</v>
      </c>
      <c r="BI836">
        <v>21</v>
      </c>
      <c r="BJ836" t="s">
        <v>14284</v>
      </c>
      <c r="BK836" t="s">
        <v>147</v>
      </c>
      <c r="BL836" t="s">
        <v>2480</v>
      </c>
      <c r="BM836" t="s">
        <v>14285</v>
      </c>
      <c r="BN836" t="s">
        <v>74</v>
      </c>
      <c r="BO836" t="s">
        <v>74</v>
      </c>
      <c r="BP836" t="s">
        <v>74</v>
      </c>
      <c r="BQ836" t="s">
        <v>74</v>
      </c>
      <c r="BR836" t="s">
        <v>97</v>
      </c>
      <c r="BS836" t="s">
        <v>14286</v>
      </c>
      <c r="BT836" t="str">
        <f>HYPERLINK("https%3A%2F%2Fwww.webofscience.com%2Fwos%2Fwoscc%2Ffull-record%2FWOS:000562651600001","View Full Record in Web of Science")</f>
        <v>View Full Record in Web of Science</v>
      </c>
    </row>
    <row r="837" spans="1:72" x14ac:dyDescent="0.25">
      <c r="A837" t="s">
        <v>72</v>
      </c>
      <c r="B837" t="s">
        <v>14287</v>
      </c>
      <c r="C837" t="s">
        <v>74</v>
      </c>
      <c r="D837" t="s">
        <v>74</v>
      </c>
      <c r="E837" t="s">
        <v>74</v>
      </c>
      <c r="F837" t="s">
        <v>14288</v>
      </c>
      <c r="G837" t="s">
        <v>74</v>
      </c>
      <c r="H837" t="s">
        <v>74</v>
      </c>
      <c r="I837" t="s">
        <v>14289</v>
      </c>
      <c r="J837" t="s">
        <v>14290</v>
      </c>
      <c r="K837" t="s">
        <v>74</v>
      </c>
      <c r="L837" t="s">
        <v>74</v>
      </c>
      <c r="M837" t="s">
        <v>77</v>
      </c>
      <c r="N837" t="s">
        <v>78</v>
      </c>
      <c r="O837" t="s">
        <v>74</v>
      </c>
      <c r="P837" t="s">
        <v>74</v>
      </c>
      <c r="Q837" t="s">
        <v>74</v>
      </c>
      <c r="R837" t="s">
        <v>74</v>
      </c>
      <c r="S837" t="s">
        <v>74</v>
      </c>
      <c r="T837" t="s">
        <v>14291</v>
      </c>
      <c r="U837" t="s">
        <v>14292</v>
      </c>
      <c r="V837" t="s">
        <v>14293</v>
      </c>
      <c r="W837" t="s">
        <v>14294</v>
      </c>
      <c r="X837" t="s">
        <v>14295</v>
      </c>
      <c r="Y837" t="s">
        <v>14296</v>
      </c>
      <c r="Z837" t="s">
        <v>14297</v>
      </c>
      <c r="AA837" t="s">
        <v>74</v>
      </c>
      <c r="AB837" t="s">
        <v>14298</v>
      </c>
      <c r="AC837" t="s">
        <v>74</v>
      </c>
      <c r="AD837" t="s">
        <v>74</v>
      </c>
      <c r="AE837" t="s">
        <v>74</v>
      </c>
      <c r="AF837" t="s">
        <v>74</v>
      </c>
      <c r="AG837">
        <v>71</v>
      </c>
      <c r="AH837">
        <v>4</v>
      </c>
      <c r="AI837">
        <v>6</v>
      </c>
      <c r="AJ837">
        <v>0</v>
      </c>
      <c r="AK837">
        <v>20</v>
      </c>
      <c r="AL837" t="s">
        <v>218</v>
      </c>
      <c r="AM837" t="s">
        <v>219</v>
      </c>
      <c r="AN837" t="s">
        <v>220</v>
      </c>
      <c r="AO837" t="s">
        <v>14299</v>
      </c>
      <c r="AP837" t="s">
        <v>14300</v>
      </c>
      <c r="AQ837" t="s">
        <v>74</v>
      </c>
      <c r="AR837" t="s">
        <v>14301</v>
      </c>
      <c r="AS837" t="s">
        <v>14302</v>
      </c>
      <c r="AT837" t="s">
        <v>392</v>
      </c>
      <c r="AU837">
        <v>2020</v>
      </c>
      <c r="AV837">
        <v>50</v>
      </c>
      <c r="AW837">
        <v>5</v>
      </c>
      <c r="AX837" t="s">
        <v>74</v>
      </c>
      <c r="AY837" t="s">
        <v>74</v>
      </c>
      <c r="AZ837" t="s">
        <v>74</v>
      </c>
      <c r="BA837" t="s">
        <v>74</v>
      </c>
      <c r="BB837">
        <v>1046</v>
      </c>
      <c r="BC837">
        <v>1064</v>
      </c>
      <c r="BD837" t="s">
        <v>74</v>
      </c>
      <c r="BE837" t="s">
        <v>14303</v>
      </c>
      <c r="BF837" t="str">
        <f>HYPERLINK("http://dx.doi.org/10.1002/ejsp.2652","http://dx.doi.org/10.1002/ejsp.2652")</f>
        <v>http://dx.doi.org/10.1002/ejsp.2652</v>
      </c>
      <c r="BG837" t="s">
        <v>74</v>
      </c>
      <c r="BH837" t="s">
        <v>1651</v>
      </c>
      <c r="BI837">
        <v>19</v>
      </c>
      <c r="BJ837" t="s">
        <v>459</v>
      </c>
      <c r="BK837" t="s">
        <v>94</v>
      </c>
      <c r="BL837" t="s">
        <v>460</v>
      </c>
      <c r="BM837" t="s">
        <v>14304</v>
      </c>
      <c r="BN837" t="s">
        <v>74</v>
      </c>
      <c r="BO837" t="s">
        <v>378</v>
      </c>
      <c r="BP837" t="s">
        <v>74</v>
      </c>
      <c r="BQ837" t="s">
        <v>74</v>
      </c>
      <c r="BR837" t="s">
        <v>97</v>
      </c>
      <c r="BS837" t="s">
        <v>14305</v>
      </c>
      <c r="BT837" t="str">
        <f>HYPERLINK("https%3A%2F%2Fwww.webofscience.com%2Fwos%2Fwoscc%2Ffull-record%2FWOS:000509701200001","View Full Record in Web of Science")</f>
        <v>View Full Record in Web of Science</v>
      </c>
    </row>
    <row r="838" spans="1:72" x14ac:dyDescent="0.25">
      <c r="A838" t="s">
        <v>72</v>
      </c>
      <c r="B838" t="s">
        <v>14306</v>
      </c>
      <c r="C838" t="s">
        <v>74</v>
      </c>
      <c r="D838" t="s">
        <v>74</v>
      </c>
      <c r="E838" t="s">
        <v>74</v>
      </c>
      <c r="F838" t="s">
        <v>14307</v>
      </c>
      <c r="G838" t="s">
        <v>74</v>
      </c>
      <c r="H838" t="s">
        <v>74</v>
      </c>
      <c r="I838" t="s">
        <v>14308</v>
      </c>
      <c r="J838" t="s">
        <v>13539</v>
      </c>
      <c r="K838" t="s">
        <v>74</v>
      </c>
      <c r="L838" t="s">
        <v>74</v>
      </c>
      <c r="M838" t="s">
        <v>77</v>
      </c>
      <c r="N838" t="s">
        <v>78</v>
      </c>
      <c r="O838" t="s">
        <v>74</v>
      </c>
      <c r="P838" t="s">
        <v>74</v>
      </c>
      <c r="Q838" t="s">
        <v>74</v>
      </c>
      <c r="R838" t="s">
        <v>74</v>
      </c>
      <c r="S838" t="s">
        <v>74</v>
      </c>
      <c r="T838" t="s">
        <v>14309</v>
      </c>
      <c r="U838" t="s">
        <v>14310</v>
      </c>
      <c r="V838" t="s">
        <v>14311</v>
      </c>
      <c r="W838" t="s">
        <v>14312</v>
      </c>
      <c r="X838" t="s">
        <v>14313</v>
      </c>
      <c r="Y838" t="s">
        <v>14314</v>
      </c>
      <c r="Z838" t="s">
        <v>14315</v>
      </c>
      <c r="AA838" t="s">
        <v>74</v>
      </c>
      <c r="AB838" t="s">
        <v>14316</v>
      </c>
      <c r="AC838" t="s">
        <v>14317</v>
      </c>
      <c r="AD838" t="s">
        <v>14317</v>
      </c>
      <c r="AE838" t="s">
        <v>14318</v>
      </c>
      <c r="AF838" t="s">
        <v>74</v>
      </c>
      <c r="AG838">
        <v>58</v>
      </c>
      <c r="AH838">
        <v>4</v>
      </c>
      <c r="AI838">
        <v>4</v>
      </c>
      <c r="AJ838">
        <v>3</v>
      </c>
      <c r="AK838">
        <v>20</v>
      </c>
      <c r="AL838" t="s">
        <v>766</v>
      </c>
      <c r="AM838" t="s">
        <v>330</v>
      </c>
      <c r="AN838" t="s">
        <v>1452</v>
      </c>
      <c r="AO838" t="s">
        <v>13548</v>
      </c>
      <c r="AP838" t="s">
        <v>13549</v>
      </c>
      <c r="AQ838" t="s">
        <v>74</v>
      </c>
      <c r="AR838" t="s">
        <v>13550</v>
      </c>
      <c r="AS838" t="s">
        <v>13551</v>
      </c>
      <c r="AT838" t="s">
        <v>375</v>
      </c>
      <c r="AU838">
        <v>2019</v>
      </c>
      <c r="AV838">
        <v>10</v>
      </c>
      <c r="AW838">
        <v>4</v>
      </c>
      <c r="AX838" t="s">
        <v>74</v>
      </c>
      <c r="AY838" t="s">
        <v>74</v>
      </c>
      <c r="AZ838" t="s">
        <v>74</v>
      </c>
      <c r="BA838" t="s">
        <v>74</v>
      </c>
      <c r="BB838">
        <v>1784</v>
      </c>
      <c r="BC838">
        <v>1807</v>
      </c>
      <c r="BD838" t="s">
        <v>74</v>
      </c>
      <c r="BE838" t="s">
        <v>14319</v>
      </c>
      <c r="BF838" t="str">
        <f>HYPERLINK("http://dx.doi.org/10.1007/s13132-019-00612-5","http://dx.doi.org/10.1007/s13132-019-00612-5")</f>
        <v>http://dx.doi.org/10.1007/s13132-019-00612-5</v>
      </c>
      <c r="BG838" t="s">
        <v>74</v>
      </c>
      <c r="BH838" t="s">
        <v>74</v>
      </c>
      <c r="BI838">
        <v>24</v>
      </c>
      <c r="BJ838" t="s">
        <v>2599</v>
      </c>
      <c r="BK838" t="s">
        <v>94</v>
      </c>
      <c r="BL838" t="s">
        <v>95</v>
      </c>
      <c r="BM838" t="s">
        <v>14320</v>
      </c>
      <c r="BN838" t="s">
        <v>74</v>
      </c>
      <c r="BO838" t="s">
        <v>74</v>
      </c>
      <c r="BP838" t="s">
        <v>74</v>
      </c>
      <c r="BQ838" t="s">
        <v>74</v>
      </c>
      <c r="BR838" t="s">
        <v>97</v>
      </c>
      <c r="BS838" t="s">
        <v>14321</v>
      </c>
      <c r="BT838" t="str">
        <f>HYPERLINK("https%3A%2F%2Fwww.webofscience.com%2Fwos%2Fwoscc%2Ffull-record%2FWOS:000510844900024","View Full Record in Web of Science")</f>
        <v>View Full Record in Web of Science</v>
      </c>
    </row>
    <row r="839" spans="1:72" x14ac:dyDescent="0.25">
      <c r="A839" t="s">
        <v>72</v>
      </c>
      <c r="B839" t="s">
        <v>14322</v>
      </c>
      <c r="C839" t="s">
        <v>74</v>
      </c>
      <c r="D839" t="s">
        <v>74</v>
      </c>
      <c r="E839" t="s">
        <v>74</v>
      </c>
      <c r="F839" t="s">
        <v>14323</v>
      </c>
      <c r="G839" t="s">
        <v>74</v>
      </c>
      <c r="H839" t="s">
        <v>74</v>
      </c>
      <c r="I839" t="s">
        <v>14324</v>
      </c>
      <c r="J839" t="s">
        <v>6590</v>
      </c>
      <c r="K839" t="s">
        <v>74</v>
      </c>
      <c r="L839" t="s">
        <v>74</v>
      </c>
      <c r="M839" t="s">
        <v>77</v>
      </c>
      <c r="N839" t="s">
        <v>78</v>
      </c>
      <c r="O839" t="s">
        <v>74</v>
      </c>
      <c r="P839" t="s">
        <v>74</v>
      </c>
      <c r="Q839" t="s">
        <v>74</v>
      </c>
      <c r="R839" t="s">
        <v>74</v>
      </c>
      <c r="S839" t="s">
        <v>74</v>
      </c>
      <c r="T839" t="s">
        <v>14325</v>
      </c>
      <c r="U839" t="s">
        <v>14326</v>
      </c>
      <c r="V839" t="s">
        <v>14327</v>
      </c>
      <c r="W839" t="s">
        <v>14328</v>
      </c>
      <c r="X839" t="s">
        <v>14329</v>
      </c>
      <c r="Y839" t="s">
        <v>14330</v>
      </c>
      <c r="Z839" t="s">
        <v>14331</v>
      </c>
      <c r="AA839" t="s">
        <v>74</v>
      </c>
      <c r="AB839" t="s">
        <v>74</v>
      </c>
      <c r="AC839" t="s">
        <v>74</v>
      </c>
      <c r="AD839" t="s">
        <v>74</v>
      </c>
      <c r="AE839" t="s">
        <v>74</v>
      </c>
      <c r="AF839" t="s">
        <v>74</v>
      </c>
      <c r="AG839">
        <v>65</v>
      </c>
      <c r="AH839">
        <v>4</v>
      </c>
      <c r="AI839">
        <v>4</v>
      </c>
      <c r="AJ839">
        <v>3</v>
      </c>
      <c r="AK839">
        <v>30</v>
      </c>
      <c r="AL839" t="s">
        <v>1099</v>
      </c>
      <c r="AM839" t="s">
        <v>305</v>
      </c>
      <c r="AN839" t="s">
        <v>1100</v>
      </c>
      <c r="AO839" t="s">
        <v>6599</v>
      </c>
      <c r="AP839" t="s">
        <v>6600</v>
      </c>
      <c r="AQ839" t="s">
        <v>74</v>
      </c>
      <c r="AR839" t="s">
        <v>6601</v>
      </c>
      <c r="AS839" t="s">
        <v>6602</v>
      </c>
      <c r="AT839" t="s">
        <v>14332</v>
      </c>
      <c r="AU839">
        <v>2019</v>
      </c>
      <c r="AV839">
        <v>27</v>
      </c>
      <c r="AW839">
        <v>3</v>
      </c>
      <c r="AX839" t="s">
        <v>74</v>
      </c>
      <c r="AY839" t="s">
        <v>74</v>
      </c>
      <c r="AZ839" t="s">
        <v>74</v>
      </c>
      <c r="BA839" t="s">
        <v>74</v>
      </c>
      <c r="BB839">
        <v>359</v>
      </c>
      <c r="BC839">
        <v>376</v>
      </c>
      <c r="BD839" t="s">
        <v>74</v>
      </c>
      <c r="BE839" t="s">
        <v>14333</v>
      </c>
      <c r="BF839" t="str">
        <f>HYPERLINK("http://dx.doi.org/10.1080/19761597.2019.1679025","http://dx.doi.org/10.1080/19761597.2019.1679025")</f>
        <v>http://dx.doi.org/10.1080/19761597.2019.1679025</v>
      </c>
      <c r="BG839" t="s">
        <v>74</v>
      </c>
      <c r="BH839" t="s">
        <v>4443</v>
      </c>
      <c r="BI839">
        <v>18</v>
      </c>
      <c r="BJ839" t="s">
        <v>6604</v>
      </c>
      <c r="BK839" t="s">
        <v>94</v>
      </c>
      <c r="BL839" t="s">
        <v>95</v>
      </c>
      <c r="BM839" t="s">
        <v>14334</v>
      </c>
      <c r="BN839" t="s">
        <v>74</v>
      </c>
      <c r="BO839" t="s">
        <v>74</v>
      </c>
      <c r="BP839" t="s">
        <v>74</v>
      </c>
      <c r="BQ839" t="s">
        <v>74</v>
      </c>
      <c r="BR839" t="s">
        <v>97</v>
      </c>
      <c r="BS839" t="s">
        <v>14335</v>
      </c>
      <c r="BT839" t="str">
        <f>HYPERLINK("https%3A%2F%2Fwww.webofscience.com%2Fwos%2Fwoscc%2Ffull-record%2FWOS:000491022600001","View Full Record in Web of Science")</f>
        <v>View Full Record in Web of Science</v>
      </c>
    </row>
    <row r="840" spans="1:72" x14ac:dyDescent="0.25">
      <c r="A840" t="s">
        <v>72</v>
      </c>
      <c r="B840" t="s">
        <v>14336</v>
      </c>
      <c r="C840" t="s">
        <v>74</v>
      </c>
      <c r="D840" t="s">
        <v>74</v>
      </c>
      <c r="E840" t="s">
        <v>74</v>
      </c>
      <c r="F840" t="s">
        <v>14337</v>
      </c>
      <c r="G840" t="s">
        <v>74</v>
      </c>
      <c r="H840" t="s">
        <v>74</v>
      </c>
      <c r="I840" t="s">
        <v>14338</v>
      </c>
      <c r="J840" t="s">
        <v>3184</v>
      </c>
      <c r="K840" t="s">
        <v>74</v>
      </c>
      <c r="L840" t="s">
        <v>74</v>
      </c>
      <c r="M840" t="s">
        <v>77</v>
      </c>
      <c r="N840" t="s">
        <v>78</v>
      </c>
      <c r="O840" t="s">
        <v>74</v>
      </c>
      <c r="P840" t="s">
        <v>74</v>
      </c>
      <c r="Q840" t="s">
        <v>74</v>
      </c>
      <c r="R840" t="s">
        <v>74</v>
      </c>
      <c r="S840" t="s">
        <v>74</v>
      </c>
      <c r="T840" t="s">
        <v>14339</v>
      </c>
      <c r="U840" t="s">
        <v>14340</v>
      </c>
      <c r="V840" t="s">
        <v>74</v>
      </c>
      <c r="W840" t="s">
        <v>14341</v>
      </c>
      <c r="X840" t="s">
        <v>14342</v>
      </c>
      <c r="Y840" t="s">
        <v>14343</v>
      </c>
      <c r="Z840" t="s">
        <v>14344</v>
      </c>
      <c r="AA840" t="s">
        <v>74</v>
      </c>
      <c r="AB840" t="s">
        <v>74</v>
      </c>
      <c r="AC840" t="s">
        <v>14345</v>
      </c>
      <c r="AD840" t="s">
        <v>14345</v>
      </c>
      <c r="AE840" t="s">
        <v>14346</v>
      </c>
      <c r="AF840" t="s">
        <v>74</v>
      </c>
      <c r="AG840">
        <v>43</v>
      </c>
      <c r="AH840">
        <v>4</v>
      </c>
      <c r="AI840">
        <v>4</v>
      </c>
      <c r="AJ840">
        <v>2</v>
      </c>
      <c r="AK840">
        <v>16</v>
      </c>
      <c r="AL840" t="s">
        <v>3195</v>
      </c>
      <c r="AM840" t="s">
        <v>3196</v>
      </c>
      <c r="AN840" t="s">
        <v>3197</v>
      </c>
      <c r="AO840" t="s">
        <v>3198</v>
      </c>
      <c r="AP840" t="s">
        <v>74</v>
      </c>
      <c r="AQ840" t="s">
        <v>74</v>
      </c>
      <c r="AR840" t="s">
        <v>3199</v>
      </c>
      <c r="AS840" t="s">
        <v>3200</v>
      </c>
      <c r="AT840" t="s">
        <v>14347</v>
      </c>
      <c r="AU840">
        <v>2019</v>
      </c>
      <c r="AV840">
        <v>10</v>
      </c>
      <c r="AW840" t="s">
        <v>74</v>
      </c>
      <c r="AX840" t="s">
        <v>74</v>
      </c>
      <c r="AY840" t="s">
        <v>74</v>
      </c>
      <c r="AZ840" t="s">
        <v>74</v>
      </c>
      <c r="BA840" t="s">
        <v>74</v>
      </c>
      <c r="BB840" t="s">
        <v>74</v>
      </c>
      <c r="BC840" t="s">
        <v>74</v>
      </c>
      <c r="BD840">
        <v>2133</v>
      </c>
      <c r="BE840" t="s">
        <v>14348</v>
      </c>
      <c r="BF840" t="str">
        <f>HYPERLINK("http://dx.doi.org/10.3389/fpsyg.2019.02133","http://dx.doi.org/10.3389/fpsyg.2019.02133")</f>
        <v>http://dx.doi.org/10.3389/fpsyg.2019.02133</v>
      </c>
      <c r="BG840" t="s">
        <v>74</v>
      </c>
      <c r="BH840" t="s">
        <v>74</v>
      </c>
      <c r="BI840">
        <v>5</v>
      </c>
      <c r="BJ840" t="s">
        <v>3203</v>
      </c>
      <c r="BK840" t="s">
        <v>94</v>
      </c>
      <c r="BL840" t="s">
        <v>460</v>
      </c>
      <c r="BM840" t="s">
        <v>14349</v>
      </c>
      <c r="BN840">
        <v>31620058</v>
      </c>
      <c r="BO840" t="s">
        <v>4398</v>
      </c>
      <c r="BP840" t="s">
        <v>74</v>
      </c>
      <c r="BQ840" t="s">
        <v>74</v>
      </c>
      <c r="BR840" t="s">
        <v>97</v>
      </c>
      <c r="BS840" t="s">
        <v>14350</v>
      </c>
      <c r="BT840" t="str">
        <f>HYPERLINK("https%3A%2F%2Fwww.webofscience.com%2Fwos%2Fwoscc%2Ffull-record%2FWOS:000486400000001","View Full Record in Web of Science")</f>
        <v>View Full Record in Web of Science</v>
      </c>
    </row>
    <row r="841" spans="1:72" x14ac:dyDescent="0.25">
      <c r="A841" t="s">
        <v>72</v>
      </c>
      <c r="B841" t="s">
        <v>14351</v>
      </c>
      <c r="C841" t="s">
        <v>74</v>
      </c>
      <c r="D841" t="s">
        <v>74</v>
      </c>
      <c r="E841" t="s">
        <v>74</v>
      </c>
      <c r="F841" t="s">
        <v>14352</v>
      </c>
      <c r="G841" t="s">
        <v>74</v>
      </c>
      <c r="H841" t="s">
        <v>74</v>
      </c>
      <c r="I841" t="s">
        <v>14353</v>
      </c>
      <c r="J841" t="s">
        <v>13502</v>
      </c>
      <c r="K841" t="s">
        <v>74</v>
      </c>
      <c r="L841" t="s">
        <v>74</v>
      </c>
      <c r="M841" t="s">
        <v>77</v>
      </c>
      <c r="N841" t="s">
        <v>78</v>
      </c>
      <c r="O841" t="s">
        <v>74</v>
      </c>
      <c r="P841" t="s">
        <v>74</v>
      </c>
      <c r="Q841" t="s">
        <v>74</v>
      </c>
      <c r="R841" t="s">
        <v>74</v>
      </c>
      <c r="S841" t="s">
        <v>74</v>
      </c>
      <c r="T841" t="s">
        <v>14354</v>
      </c>
      <c r="U841" t="s">
        <v>14355</v>
      </c>
      <c r="V841" t="s">
        <v>14356</v>
      </c>
      <c r="W841" t="s">
        <v>14357</v>
      </c>
      <c r="X841" t="s">
        <v>14358</v>
      </c>
      <c r="Y841" t="s">
        <v>14359</v>
      </c>
      <c r="Z841" t="s">
        <v>14360</v>
      </c>
      <c r="AA841" t="s">
        <v>74</v>
      </c>
      <c r="AB841" t="s">
        <v>74</v>
      </c>
      <c r="AC841" t="s">
        <v>14361</v>
      </c>
      <c r="AD841" t="s">
        <v>14362</v>
      </c>
      <c r="AE841" t="s">
        <v>14363</v>
      </c>
      <c r="AF841" t="s">
        <v>74</v>
      </c>
      <c r="AG841">
        <v>14</v>
      </c>
      <c r="AH841">
        <v>4</v>
      </c>
      <c r="AI841">
        <v>4</v>
      </c>
      <c r="AJ841">
        <v>3</v>
      </c>
      <c r="AK841">
        <v>48</v>
      </c>
      <c r="AL841" t="s">
        <v>13512</v>
      </c>
      <c r="AM841" t="s">
        <v>13513</v>
      </c>
      <c r="AN841" t="s">
        <v>13514</v>
      </c>
      <c r="AO841" t="s">
        <v>13515</v>
      </c>
      <c r="AP841" t="s">
        <v>13516</v>
      </c>
      <c r="AQ841" t="s">
        <v>74</v>
      </c>
      <c r="AR841" t="s">
        <v>13517</v>
      </c>
      <c r="AS841" t="s">
        <v>13518</v>
      </c>
      <c r="AT841" t="s">
        <v>14364</v>
      </c>
      <c r="AU841">
        <v>2019</v>
      </c>
      <c r="AV841" t="s">
        <v>74</v>
      </c>
      <c r="AW841" t="s">
        <v>74</v>
      </c>
      <c r="AX841" t="s">
        <v>74</v>
      </c>
      <c r="AY841" t="s">
        <v>74</v>
      </c>
      <c r="AZ841">
        <v>94</v>
      </c>
      <c r="BA841" t="s">
        <v>74</v>
      </c>
      <c r="BB841">
        <v>6</v>
      </c>
      <c r="BC841">
        <v>10</v>
      </c>
      <c r="BD841" t="s">
        <v>74</v>
      </c>
      <c r="BE841" t="s">
        <v>14365</v>
      </c>
      <c r="BF841" t="str">
        <f>HYPERLINK("http://dx.doi.org/10.2112/SI94-002.1","http://dx.doi.org/10.2112/SI94-002.1")</f>
        <v>http://dx.doi.org/10.2112/SI94-002.1</v>
      </c>
      <c r="BG841" t="s">
        <v>74</v>
      </c>
      <c r="BH841" t="s">
        <v>74</v>
      </c>
      <c r="BI841">
        <v>5</v>
      </c>
      <c r="BJ841" t="s">
        <v>13520</v>
      </c>
      <c r="BK841" t="s">
        <v>147</v>
      </c>
      <c r="BL841" t="s">
        <v>3369</v>
      </c>
      <c r="BM841" t="s">
        <v>14366</v>
      </c>
      <c r="BN841" t="s">
        <v>74</v>
      </c>
      <c r="BO841" t="s">
        <v>74</v>
      </c>
      <c r="BP841" t="s">
        <v>74</v>
      </c>
      <c r="BQ841" t="s">
        <v>74</v>
      </c>
      <c r="BR841" t="s">
        <v>97</v>
      </c>
      <c r="BS841" t="s">
        <v>14367</v>
      </c>
      <c r="BT841" t="str">
        <f>HYPERLINK("https%3A%2F%2Fwww.webofscience.com%2Fwos%2Fwoscc%2Ffull-record%2FWOS:000485711600003","View Full Record in Web of Science")</f>
        <v>View Full Record in Web of Science</v>
      </c>
    </row>
    <row r="842" spans="1:72" x14ac:dyDescent="0.25">
      <c r="A842" t="s">
        <v>72</v>
      </c>
      <c r="B842" t="s">
        <v>14368</v>
      </c>
      <c r="C842" t="s">
        <v>74</v>
      </c>
      <c r="D842" t="s">
        <v>74</v>
      </c>
      <c r="E842" t="s">
        <v>74</v>
      </c>
      <c r="F842" t="s">
        <v>14369</v>
      </c>
      <c r="G842" t="s">
        <v>74</v>
      </c>
      <c r="H842" t="s">
        <v>74</v>
      </c>
      <c r="I842" t="s">
        <v>14370</v>
      </c>
      <c r="J842" t="s">
        <v>13624</v>
      </c>
      <c r="K842" t="s">
        <v>74</v>
      </c>
      <c r="L842" t="s">
        <v>74</v>
      </c>
      <c r="M842" t="s">
        <v>77</v>
      </c>
      <c r="N842" t="s">
        <v>78</v>
      </c>
      <c r="O842" t="s">
        <v>74</v>
      </c>
      <c r="P842" t="s">
        <v>74</v>
      </c>
      <c r="Q842" t="s">
        <v>74</v>
      </c>
      <c r="R842" t="s">
        <v>74</v>
      </c>
      <c r="S842" t="s">
        <v>74</v>
      </c>
      <c r="T842" t="s">
        <v>14371</v>
      </c>
      <c r="U842" t="s">
        <v>14372</v>
      </c>
      <c r="V842" t="s">
        <v>14373</v>
      </c>
      <c r="W842" t="s">
        <v>14374</v>
      </c>
      <c r="X842" t="s">
        <v>14375</v>
      </c>
      <c r="Y842" t="s">
        <v>14376</v>
      </c>
      <c r="Z842" t="s">
        <v>14377</v>
      </c>
      <c r="AA842" t="s">
        <v>74</v>
      </c>
      <c r="AB842" t="s">
        <v>14378</v>
      </c>
      <c r="AC842" t="s">
        <v>14379</v>
      </c>
      <c r="AD842" t="s">
        <v>14380</v>
      </c>
      <c r="AE842" t="s">
        <v>14381</v>
      </c>
      <c r="AF842" t="s">
        <v>74</v>
      </c>
      <c r="AG842">
        <v>55</v>
      </c>
      <c r="AH842">
        <v>4</v>
      </c>
      <c r="AI842">
        <v>4</v>
      </c>
      <c r="AJ842">
        <v>0</v>
      </c>
      <c r="AK842">
        <v>27</v>
      </c>
      <c r="AL842" t="s">
        <v>218</v>
      </c>
      <c r="AM842" t="s">
        <v>219</v>
      </c>
      <c r="AN842" t="s">
        <v>220</v>
      </c>
      <c r="AO842" t="s">
        <v>13634</v>
      </c>
      <c r="AP842" t="s">
        <v>13635</v>
      </c>
      <c r="AQ842" t="s">
        <v>74</v>
      </c>
      <c r="AR842" t="s">
        <v>13624</v>
      </c>
      <c r="AS842" t="s">
        <v>13636</v>
      </c>
      <c r="AT842" t="s">
        <v>256</v>
      </c>
      <c r="AU842">
        <v>2018</v>
      </c>
      <c r="AV842">
        <v>124</v>
      </c>
      <c r="AW842">
        <v>10</v>
      </c>
      <c r="AX842" t="s">
        <v>74</v>
      </c>
      <c r="AY842" t="s">
        <v>74</v>
      </c>
      <c r="AZ842" t="s">
        <v>74</v>
      </c>
      <c r="BA842" t="s">
        <v>74</v>
      </c>
      <c r="BB842">
        <v>760</v>
      </c>
      <c r="BC842">
        <v>772</v>
      </c>
      <c r="BD842" t="s">
        <v>74</v>
      </c>
      <c r="BE842" t="s">
        <v>14382</v>
      </c>
      <c r="BF842" t="str">
        <f>HYPERLINK("http://dx.doi.org/10.1111/eth.12810","http://dx.doi.org/10.1111/eth.12810")</f>
        <v>http://dx.doi.org/10.1111/eth.12810</v>
      </c>
      <c r="BG842" t="s">
        <v>74</v>
      </c>
      <c r="BH842" t="s">
        <v>74</v>
      </c>
      <c r="BI842">
        <v>13</v>
      </c>
      <c r="BJ842" t="s">
        <v>8161</v>
      </c>
      <c r="BK842" t="s">
        <v>147</v>
      </c>
      <c r="BL842" t="s">
        <v>8162</v>
      </c>
      <c r="BM842" t="s">
        <v>14383</v>
      </c>
      <c r="BN842" t="s">
        <v>74</v>
      </c>
      <c r="BO842" t="s">
        <v>718</v>
      </c>
      <c r="BP842" t="s">
        <v>74</v>
      </c>
      <c r="BQ842" t="s">
        <v>74</v>
      </c>
      <c r="BR842" t="s">
        <v>97</v>
      </c>
      <c r="BS842" t="s">
        <v>14384</v>
      </c>
      <c r="BT842" t="str">
        <f>HYPERLINK("https%3A%2F%2Fwww.webofscience.com%2Fwos%2Fwoscc%2Ffull-record%2FWOS:000444226700008","View Full Record in Web of Science")</f>
        <v>View Full Record in Web of Science</v>
      </c>
    </row>
    <row r="843" spans="1:72" x14ac:dyDescent="0.25">
      <c r="A843" t="s">
        <v>72</v>
      </c>
      <c r="B843" t="s">
        <v>14385</v>
      </c>
      <c r="C843" t="s">
        <v>74</v>
      </c>
      <c r="D843" t="s">
        <v>74</v>
      </c>
      <c r="E843" t="s">
        <v>74</v>
      </c>
      <c r="F843" t="s">
        <v>14386</v>
      </c>
      <c r="G843" t="s">
        <v>74</v>
      </c>
      <c r="H843" t="s">
        <v>74</v>
      </c>
      <c r="I843" t="s">
        <v>14387</v>
      </c>
      <c r="J843" t="s">
        <v>2463</v>
      </c>
      <c r="K843" t="s">
        <v>74</v>
      </c>
      <c r="L843" t="s">
        <v>74</v>
      </c>
      <c r="M843" t="s">
        <v>77</v>
      </c>
      <c r="N843" t="s">
        <v>78</v>
      </c>
      <c r="O843" t="s">
        <v>74</v>
      </c>
      <c r="P843" t="s">
        <v>74</v>
      </c>
      <c r="Q843" t="s">
        <v>74</v>
      </c>
      <c r="R843" t="s">
        <v>74</v>
      </c>
      <c r="S843" t="s">
        <v>74</v>
      </c>
      <c r="T843" t="s">
        <v>14388</v>
      </c>
      <c r="U843" t="s">
        <v>14389</v>
      </c>
      <c r="V843" t="s">
        <v>14390</v>
      </c>
      <c r="W843" t="s">
        <v>14391</v>
      </c>
      <c r="X843" t="s">
        <v>14392</v>
      </c>
      <c r="Y843" t="s">
        <v>14393</v>
      </c>
      <c r="Z843" t="s">
        <v>14394</v>
      </c>
      <c r="AA843" t="s">
        <v>14395</v>
      </c>
      <c r="AB843" t="s">
        <v>14396</v>
      </c>
      <c r="AC843" t="s">
        <v>74</v>
      </c>
      <c r="AD843" t="s">
        <v>74</v>
      </c>
      <c r="AE843" t="s">
        <v>74</v>
      </c>
      <c r="AF843" t="s">
        <v>74</v>
      </c>
      <c r="AG843">
        <v>72</v>
      </c>
      <c r="AH843">
        <v>4</v>
      </c>
      <c r="AI843">
        <v>4</v>
      </c>
      <c r="AJ843">
        <v>5</v>
      </c>
      <c r="AK843">
        <v>23</v>
      </c>
      <c r="AL843" t="s">
        <v>2473</v>
      </c>
      <c r="AM843" t="s">
        <v>2102</v>
      </c>
      <c r="AN843" t="s">
        <v>2474</v>
      </c>
      <c r="AO843" t="s">
        <v>74</v>
      </c>
      <c r="AP843" t="s">
        <v>2475</v>
      </c>
      <c r="AQ843" t="s">
        <v>74</v>
      </c>
      <c r="AR843" t="s">
        <v>2476</v>
      </c>
      <c r="AS843" t="s">
        <v>2477</v>
      </c>
      <c r="AT843" t="s">
        <v>392</v>
      </c>
      <c r="AU843">
        <v>2018</v>
      </c>
      <c r="AV843">
        <v>10</v>
      </c>
      <c r="AW843">
        <v>8</v>
      </c>
      <c r="AX843" t="s">
        <v>74</v>
      </c>
      <c r="AY843" t="s">
        <v>74</v>
      </c>
      <c r="AZ843" t="s">
        <v>74</v>
      </c>
      <c r="BA843" t="s">
        <v>74</v>
      </c>
      <c r="BB843" t="s">
        <v>74</v>
      </c>
      <c r="BC843" t="s">
        <v>74</v>
      </c>
      <c r="BD843">
        <v>2682</v>
      </c>
      <c r="BE843" t="s">
        <v>14397</v>
      </c>
      <c r="BF843" t="str">
        <f>HYPERLINK("http://dx.doi.org/10.3390/su10082682","http://dx.doi.org/10.3390/su10082682")</f>
        <v>http://dx.doi.org/10.3390/su10082682</v>
      </c>
      <c r="BG843" t="s">
        <v>74</v>
      </c>
      <c r="BH843" t="s">
        <v>74</v>
      </c>
      <c r="BI843">
        <v>13</v>
      </c>
      <c r="BJ843" t="s">
        <v>2479</v>
      </c>
      <c r="BK843" t="s">
        <v>147</v>
      </c>
      <c r="BL843" t="s">
        <v>2480</v>
      </c>
      <c r="BM843" t="s">
        <v>14398</v>
      </c>
      <c r="BN843" t="s">
        <v>74</v>
      </c>
      <c r="BO843" t="s">
        <v>2482</v>
      </c>
      <c r="BP843" t="s">
        <v>74</v>
      </c>
      <c r="BQ843" t="s">
        <v>74</v>
      </c>
      <c r="BR843" t="s">
        <v>97</v>
      </c>
      <c r="BS843" t="s">
        <v>14399</v>
      </c>
      <c r="BT843" t="str">
        <f>HYPERLINK("https%3A%2F%2Fwww.webofscience.com%2Fwos%2Fwoscc%2Ffull-record%2FWOS:000446767700098","View Full Record in Web of Science")</f>
        <v>View Full Record in Web of Science</v>
      </c>
    </row>
    <row r="844" spans="1:72" x14ac:dyDescent="0.25">
      <c r="A844" t="s">
        <v>72</v>
      </c>
      <c r="B844" t="s">
        <v>14400</v>
      </c>
      <c r="C844" t="s">
        <v>74</v>
      </c>
      <c r="D844" t="s">
        <v>74</v>
      </c>
      <c r="E844" t="s">
        <v>74</v>
      </c>
      <c r="F844" t="s">
        <v>14401</v>
      </c>
      <c r="G844" t="s">
        <v>74</v>
      </c>
      <c r="H844" t="s">
        <v>74</v>
      </c>
      <c r="I844" t="s">
        <v>14402</v>
      </c>
      <c r="J844" t="s">
        <v>14403</v>
      </c>
      <c r="K844" t="s">
        <v>74</v>
      </c>
      <c r="L844" t="s">
        <v>74</v>
      </c>
      <c r="M844" t="s">
        <v>77</v>
      </c>
      <c r="N844" t="s">
        <v>78</v>
      </c>
      <c r="O844" t="s">
        <v>74</v>
      </c>
      <c r="P844" t="s">
        <v>74</v>
      </c>
      <c r="Q844" t="s">
        <v>74</v>
      </c>
      <c r="R844" t="s">
        <v>74</v>
      </c>
      <c r="S844" t="s">
        <v>74</v>
      </c>
      <c r="T844" t="s">
        <v>14404</v>
      </c>
      <c r="U844" t="s">
        <v>14405</v>
      </c>
      <c r="V844" t="s">
        <v>14406</v>
      </c>
      <c r="W844" t="s">
        <v>14407</v>
      </c>
      <c r="X844" t="s">
        <v>14408</v>
      </c>
      <c r="Y844" t="s">
        <v>14409</v>
      </c>
      <c r="Z844" t="s">
        <v>14410</v>
      </c>
      <c r="AA844" t="s">
        <v>14411</v>
      </c>
      <c r="AB844" t="s">
        <v>74</v>
      </c>
      <c r="AC844" t="s">
        <v>14412</v>
      </c>
      <c r="AD844" t="s">
        <v>14413</v>
      </c>
      <c r="AE844" t="s">
        <v>14414</v>
      </c>
      <c r="AF844" t="s">
        <v>74</v>
      </c>
      <c r="AG844">
        <v>47</v>
      </c>
      <c r="AH844">
        <v>4</v>
      </c>
      <c r="AI844">
        <v>4</v>
      </c>
      <c r="AJ844">
        <v>5</v>
      </c>
      <c r="AK844">
        <v>84</v>
      </c>
      <c r="AL844" t="s">
        <v>14415</v>
      </c>
      <c r="AM844" t="s">
        <v>14416</v>
      </c>
      <c r="AN844" t="s">
        <v>14417</v>
      </c>
      <c r="AO844" t="s">
        <v>14418</v>
      </c>
      <c r="AP844" t="s">
        <v>74</v>
      </c>
      <c r="AQ844" t="s">
        <v>74</v>
      </c>
      <c r="AR844" t="s">
        <v>14419</v>
      </c>
      <c r="AS844" t="s">
        <v>14420</v>
      </c>
      <c r="AT844" t="s">
        <v>392</v>
      </c>
      <c r="AU844">
        <v>2018</v>
      </c>
      <c r="AV844">
        <v>13</v>
      </c>
      <c r="AW844">
        <v>4</v>
      </c>
      <c r="AX844" t="s">
        <v>74</v>
      </c>
      <c r="AY844" t="s">
        <v>74</v>
      </c>
      <c r="AZ844" t="s">
        <v>74</v>
      </c>
      <c r="BA844" t="s">
        <v>74</v>
      </c>
      <c r="BB844" t="s">
        <v>74</v>
      </c>
      <c r="BC844" t="s">
        <v>74</v>
      </c>
      <c r="BD844">
        <v>130308</v>
      </c>
      <c r="BE844" t="s">
        <v>14421</v>
      </c>
      <c r="BF844" t="str">
        <f>HYPERLINK("http://dx.doi.org/10.1007/s11467-018-0767-1","http://dx.doi.org/10.1007/s11467-018-0767-1")</f>
        <v>http://dx.doi.org/10.1007/s11467-018-0767-1</v>
      </c>
      <c r="BG844" t="s">
        <v>74</v>
      </c>
      <c r="BH844" t="s">
        <v>74</v>
      </c>
      <c r="BI844">
        <v>9</v>
      </c>
      <c r="BJ844" t="s">
        <v>11388</v>
      </c>
      <c r="BK844" t="s">
        <v>147</v>
      </c>
      <c r="BL844" t="s">
        <v>10384</v>
      </c>
      <c r="BM844" t="s">
        <v>14422</v>
      </c>
      <c r="BN844" t="s">
        <v>74</v>
      </c>
      <c r="BO844" t="s">
        <v>74</v>
      </c>
      <c r="BP844" t="s">
        <v>74</v>
      </c>
      <c r="BQ844" t="s">
        <v>74</v>
      </c>
      <c r="BR844" t="s">
        <v>97</v>
      </c>
      <c r="BS844" t="s">
        <v>14423</v>
      </c>
      <c r="BT844" t="str">
        <f>HYPERLINK("https%3A%2F%2Fwww.webofscience.com%2Fwos%2Fwoscc%2Ffull-record%2FWOS:000428302800003","View Full Record in Web of Science")</f>
        <v>View Full Record in Web of Science</v>
      </c>
    </row>
    <row r="845" spans="1:72" x14ac:dyDescent="0.25">
      <c r="A845" t="s">
        <v>72</v>
      </c>
      <c r="B845" t="s">
        <v>14424</v>
      </c>
      <c r="C845" t="s">
        <v>74</v>
      </c>
      <c r="D845" t="s">
        <v>74</v>
      </c>
      <c r="E845" t="s">
        <v>74</v>
      </c>
      <c r="F845" t="s">
        <v>14425</v>
      </c>
      <c r="G845" t="s">
        <v>74</v>
      </c>
      <c r="H845" t="s">
        <v>74</v>
      </c>
      <c r="I845" t="s">
        <v>14426</v>
      </c>
      <c r="J845" t="s">
        <v>14427</v>
      </c>
      <c r="K845" t="s">
        <v>74</v>
      </c>
      <c r="L845" t="s">
        <v>74</v>
      </c>
      <c r="M845" t="s">
        <v>77</v>
      </c>
      <c r="N845" t="s">
        <v>78</v>
      </c>
      <c r="O845" t="s">
        <v>74</v>
      </c>
      <c r="P845" t="s">
        <v>74</v>
      </c>
      <c r="Q845" t="s">
        <v>74</v>
      </c>
      <c r="R845" t="s">
        <v>74</v>
      </c>
      <c r="S845" t="s">
        <v>74</v>
      </c>
      <c r="T845" t="s">
        <v>14428</v>
      </c>
      <c r="U845" t="s">
        <v>14429</v>
      </c>
      <c r="V845" t="s">
        <v>14430</v>
      </c>
      <c r="W845" t="s">
        <v>14431</v>
      </c>
      <c r="X845" t="s">
        <v>14432</v>
      </c>
      <c r="Y845" t="s">
        <v>14433</v>
      </c>
      <c r="Z845" t="s">
        <v>14434</v>
      </c>
      <c r="AA845" t="s">
        <v>74</v>
      </c>
      <c r="AB845" t="s">
        <v>14435</v>
      </c>
      <c r="AC845" t="s">
        <v>74</v>
      </c>
      <c r="AD845" t="s">
        <v>74</v>
      </c>
      <c r="AE845" t="s">
        <v>74</v>
      </c>
      <c r="AF845" t="s">
        <v>74</v>
      </c>
      <c r="AG845">
        <v>16</v>
      </c>
      <c r="AH845">
        <v>4</v>
      </c>
      <c r="AI845">
        <v>4</v>
      </c>
      <c r="AJ845">
        <v>0</v>
      </c>
      <c r="AK845">
        <v>9</v>
      </c>
      <c r="AL845" t="s">
        <v>10846</v>
      </c>
      <c r="AM845" t="s">
        <v>330</v>
      </c>
      <c r="AN845" t="s">
        <v>767</v>
      </c>
      <c r="AO845" t="s">
        <v>14436</v>
      </c>
      <c r="AP845" t="s">
        <v>14437</v>
      </c>
      <c r="AQ845" t="s">
        <v>74</v>
      </c>
      <c r="AR845" t="s">
        <v>14438</v>
      </c>
      <c r="AS845" t="s">
        <v>14439</v>
      </c>
      <c r="AT845" t="s">
        <v>584</v>
      </c>
      <c r="AU845">
        <v>2016</v>
      </c>
      <c r="AV845">
        <v>20</v>
      </c>
      <c r="AW845">
        <v>11</v>
      </c>
      <c r="AX845" t="s">
        <v>74</v>
      </c>
      <c r="AY845" t="s">
        <v>74</v>
      </c>
      <c r="AZ845" t="s">
        <v>74</v>
      </c>
      <c r="BA845" t="s">
        <v>74</v>
      </c>
      <c r="BB845">
        <v>2299</v>
      </c>
      <c r="BC845">
        <v>2308</v>
      </c>
      <c r="BD845" t="s">
        <v>74</v>
      </c>
      <c r="BE845" t="s">
        <v>14440</v>
      </c>
      <c r="BF845" t="str">
        <f>HYPERLINK("http://dx.doi.org/10.1007/s10995-016-2049-2","http://dx.doi.org/10.1007/s10995-016-2049-2")</f>
        <v>http://dx.doi.org/10.1007/s10995-016-2049-2</v>
      </c>
      <c r="BG845" t="s">
        <v>74</v>
      </c>
      <c r="BH845" t="s">
        <v>74</v>
      </c>
      <c r="BI845">
        <v>10</v>
      </c>
      <c r="BJ845" t="s">
        <v>8184</v>
      </c>
      <c r="BK845" t="s">
        <v>94</v>
      </c>
      <c r="BL845" t="s">
        <v>8184</v>
      </c>
      <c r="BM845" t="s">
        <v>14441</v>
      </c>
      <c r="BN845">
        <v>27449783</v>
      </c>
      <c r="BO845" t="s">
        <v>74</v>
      </c>
      <c r="BP845" t="s">
        <v>74</v>
      </c>
      <c r="BQ845" t="s">
        <v>74</v>
      </c>
      <c r="BR845" t="s">
        <v>97</v>
      </c>
      <c r="BS845" t="s">
        <v>14442</v>
      </c>
      <c r="BT845" t="str">
        <f>HYPERLINK("https%3A%2F%2Fwww.webofscience.com%2Fwos%2Fwoscc%2Ffull-record%2FWOS:000387670300011","View Full Record in Web of Science")</f>
        <v>View Full Record in Web of Science</v>
      </c>
    </row>
    <row r="846" spans="1:72" x14ac:dyDescent="0.25">
      <c r="A846" t="s">
        <v>72</v>
      </c>
      <c r="B846" t="s">
        <v>14443</v>
      </c>
      <c r="C846" t="s">
        <v>74</v>
      </c>
      <c r="D846" t="s">
        <v>74</v>
      </c>
      <c r="E846" t="s">
        <v>74</v>
      </c>
      <c r="F846" t="s">
        <v>14444</v>
      </c>
      <c r="G846" t="s">
        <v>74</v>
      </c>
      <c r="H846" t="s">
        <v>74</v>
      </c>
      <c r="I846" t="s">
        <v>14445</v>
      </c>
      <c r="J846" t="s">
        <v>14446</v>
      </c>
      <c r="K846" t="s">
        <v>74</v>
      </c>
      <c r="L846" t="s">
        <v>74</v>
      </c>
      <c r="M846" t="s">
        <v>77</v>
      </c>
      <c r="N846" t="s">
        <v>78</v>
      </c>
      <c r="O846" t="s">
        <v>74</v>
      </c>
      <c r="P846" t="s">
        <v>74</v>
      </c>
      <c r="Q846" t="s">
        <v>74</v>
      </c>
      <c r="R846" t="s">
        <v>74</v>
      </c>
      <c r="S846" t="s">
        <v>74</v>
      </c>
      <c r="T846" t="s">
        <v>14447</v>
      </c>
      <c r="U846" t="s">
        <v>74</v>
      </c>
      <c r="V846" t="s">
        <v>14448</v>
      </c>
      <c r="W846" t="s">
        <v>14449</v>
      </c>
      <c r="X846" t="s">
        <v>14450</v>
      </c>
      <c r="Y846" t="s">
        <v>14451</v>
      </c>
      <c r="Z846" t="s">
        <v>14452</v>
      </c>
      <c r="AA846" t="s">
        <v>14453</v>
      </c>
      <c r="AB846" t="s">
        <v>14454</v>
      </c>
      <c r="AC846" t="s">
        <v>14455</v>
      </c>
      <c r="AD846" t="s">
        <v>14456</v>
      </c>
      <c r="AE846" t="s">
        <v>14457</v>
      </c>
      <c r="AF846" t="s">
        <v>74</v>
      </c>
      <c r="AG846">
        <v>56</v>
      </c>
      <c r="AH846">
        <v>4</v>
      </c>
      <c r="AI846">
        <v>4</v>
      </c>
      <c r="AJ846">
        <v>0</v>
      </c>
      <c r="AK846">
        <v>9</v>
      </c>
      <c r="AL846" t="s">
        <v>14458</v>
      </c>
      <c r="AM846" t="s">
        <v>14459</v>
      </c>
      <c r="AN846" t="s">
        <v>14460</v>
      </c>
      <c r="AO846" t="s">
        <v>14461</v>
      </c>
      <c r="AP846" t="s">
        <v>14462</v>
      </c>
      <c r="AQ846" t="s">
        <v>74</v>
      </c>
      <c r="AR846" t="s">
        <v>14463</v>
      </c>
      <c r="AS846" t="s">
        <v>14464</v>
      </c>
      <c r="AT846" t="s">
        <v>74</v>
      </c>
      <c r="AU846">
        <v>2016</v>
      </c>
      <c r="AV846">
        <v>32</v>
      </c>
      <c r="AW846" t="s">
        <v>74</v>
      </c>
      <c r="AX846" t="s">
        <v>74</v>
      </c>
      <c r="AY846">
        <v>2</v>
      </c>
      <c r="AZ846" t="s">
        <v>74</v>
      </c>
      <c r="BA846" t="s">
        <v>74</v>
      </c>
      <c r="BB846" t="s">
        <v>74</v>
      </c>
      <c r="BC846" t="s">
        <v>74</v>
      </c>
      <c r="BD846" t="s">
        <v>14465</v>
      </c>
      <c r="BE846" t="s">
        <v>14466</v>
      </c>
      <c r="BF846" t="str">
        <f>HYPERLINK("http://dx.doi.org/10.1590/0102-311X00188814","http://dx.doi.org/10.1590/0102-311X00188814")</f>
        <v>http://dx.doi.org/10.1590/0102-311X00188814</v>
      </c>
      <c r="BG846" t="s">
        <v>74</v>
      </c>
      <c r="BH846" t="s">
        <v>74</v>
      </c>
      <c r="BI846">
        <v>14</v>
      </c>
      <c r="BJ846" t="s">
        <v>8184</v>
      </c>
      <c r="BK846" t="s">
        <v>147</v>
      </c>
      <c r="BL846" t="s">
        <v>8184</v>
      </c>
      <c r="BM846" t="s">
        <v>14467</v>
      </c>
      <c r="BN846">
        <v>27828684</v>
      </c>
      <c r="BO846" t="s">
        <v>4398</v>
      </c>
      <c r="BP846" t="s">
        <v>74</v>
      </c>
      <c r="BQ846" t="s">
        <v>74</v>
      </c>
      <c r="BR846" t="s">
        <v>97</v>
      </c>
      <c r="BS846" t="s">
        <v>14468</v>
      </c>
      <c r="BT846" t="str">
        <f>HYPERLINK("https%3A%2F%2Fwww.webofscience.com%2Fwos%2Fwoscc%2Ffull-record%2FWOS:000388468500016","View Full Record in Web of Science")</f>
        <v>View Full Record in Web of Science</v>
      </c>
    </row>
    <row r="847" spans="1:72" x14ac:dyDescent="0.25">
      <c r="A847" t="s">
        <v>72</v>
      </c>
      <c r="B847" t="s">
        <v>14469</v>
      </c>
      <c r="C847" t="s">
        <v>74</v>
      </c>
      <c r="D847" t="s">
        <v>74</v>
      </c>
      <c r="E847" t="s">
        <v>74</v>
      </c>
      <c r="F847" t="s">
        <v>14470</v>
      </c>
      <c r="G847" t="s">
        <v>74</v>
      </c>
      <c r="H847" t="s">
        <v>74</v>
      </c>
      <c r="I847" t="s">
        <v>14471</v>
      </c>
      <c r="J847" t="s">
        <v>14472</v>
      </c>
      <c r="K847" t="s">
        <v>74</v>
      </c>
      <c r="L847" t="s">
        <v>74</v>
      </c>
      <c r="M847" t="s">
        <v>12449</v>
      </c>
      <c r="N847" t="s">
        <v>78</v>
      </c>
      <c r="O847" t="s">
        <v>74</v>
      </c>
      <c r="P847" t="s">
        <v>74</v>
      </c>
      <c r="Q847" t="s">
        <v>74</v>
      </c>
      <c r="R847" t="s">
        <v>74</v>
      </c>
      <c r="S847" t="s">
        <v>74</v>
      </c>
      <c r="T847" t="s">
        <v>14473</v>
      </c>
      <c r="U847" t="s">
        <v>14474</v>
      </c>
      <c r="V847" t="s">
        <v>14475</v>
      </c>
      <c r="W847" t="s">
        <v>14476</v>
      </c>
      <c r="X847" t="s">
        <v>14477</v>
      </c>
      <c r="Y847" t="s">
        <v>14478</v>
      </c>
      <c r="Z847" t="s">
        <v>14479</v>
      </c>
      <c r="AA847" t="s">
        <v>14480</v>
      </c>
      <c r="AB847" t="s">
        <v>14481</v>
      </c>
      <c r="AC847" t="s">
        <v>74</v>
      </c>
      <c r="AD847" t="s">
        <v>74</v>
      </c>
      <c r="AE847" t="s">
        <v>74</v>
      </c>
      <c r="AF847" t="s">
        <v>74</v>
      </c>
      <c r="AG847">
        <v>48</v>
      </c>
      <c r="AH847">
        <v>4</v>
      </c>
      <c r="AI847">
        <v>4</v>
      </c>
      <c r="AJ847">
        <v>4</v>
      </c>
      <c r="AK847">
        <v>36</v>
      </c>
      <c r="AL847" t="s">
        <v>14482</v>
      </c>
      <c r="AM847" t="s">
        <v>8003</v>
      </c>
      <c r="AN847" t="s">
        <v>14483</v>
      </c>
      <c r="AO847" t="s">
        <v>14484</v>
      </c>
      <c r="AP847" t="s">
        <v>14485</v>
      </c>
      <c r="AQ847" t="s">
        <v>74</v>
      </c>
      <c r="AR847" t="s">
        <v>14486</v>
      </c>
      <c r="AS847" t="s">
        <v>14487</v>
      </c>
      <c r="AT847" t="s">
        <v>10554</v>
      </c>
      <c r="AU847">
        <v>2015</v>
      </c>
      <c r="AV847">
        <v>67</v>
      </c>
      <c r="AW847">
        <v>537</v>
      </c>
      <c r="AX847" t="s">
        <v>74</v>
      </c>
      <c r="AY847" t="s">
        <v>74</v>
      </c>
      <c r="AZ847" t="s">
        <v>74</v>
      </c>
      <c r="BA847" t="s">
        <v>74</v>
      </c>
      <c r="BB847" t="s">
        <v>74</v>
      </c>
      <c r="BC847" t="s">
        <v>74</v>
      </c>
      <c r="BD847" t="s">
        <v>14488</v>
      </c>
      <c r="BE847" t="s">
        <v>14489</v>
      </c>
      <c r="BF847" t="str">
        <f>HYPERLINK("http://dx.doi.org/10.3989/ic.13.124","http://dx.doi.org/10.3989/ic.13.124")</f>
        <v>http://dx.doi.org/10.3989/ic.13.124</v>
      </c>
      <c r="BG847" t="s">
        <v>74</v>
      </c>
      <c r="BH847" t="s">
        <v>74</v>
      </c>
      <c r="BI847">
        <v>11</v>
      </c>
      <c r="BJ847" t="s">
        <v>14490</v>
      </c>
      <c r="BK847" t="s">
        <v>283</v>
      </c>
      <c r="BL847" t="s">
        <v>14490</v>
      </c>
      <c r="BM847" t="s">
        <v>14491</v>
      </c>
      <c r="BN847" t="s">
        <v>74</v>
      </c>
      <c r="BO847" t="s">
        <v>3205</v>
      </c>
      <c r="BP847" t="s">
        <v>74</v>
      </c>
      <c r="BQ847" t="s">
        <v>74</v>
      </c>
      <c r="BR847" t="s">
        <v>97</v>
      </c>
      <c r="BS847" t="s">
        <v>14492</v>
      </c>
      <c r="BT847" t="str">
        <f>HYPERLINK("https%3A%2F%2Fwww.webofscience.com%2Fwos%2Fwoscc%2Ffull-record%2FWOS:000353918500020","View Full Record in Web of Science")</f>
        <v>View Full Record in Web of Science</v>
      </c>
    </row>
    <row r="848" spans="1:72" x14ac:dyDescent="0.25">
      <c r="A848" t="s">
        <v>72</v>
      </c>
      <c r="B848" t="s">
        <v>14493</v>
      </c>
      <c r="C848" t="s">
        <v>74</v>
      </c>
      <c r="D848" t="s">
        <v>74</v>
      </c>
      <c r="E848" t="s">
        <v>74</v>
      </c>
      <c r="F848" t="s">
        <v>14494</v>
      </c>
      <c r="G848" t="s">
        <v>74</v>
      </c>
      <c r="H848" t="s">
        <v>74</v>
      </c>
      <c r="I848" t="s">
        <v>14495</v>
      </c>
      <c r="J848" t="s">
        <v>14496</v>
      </c>
      <c r="K848" t="s">
        <v>74</v>
      </c>
      <c r="L848" t="s">
        <v>74</v>
      </c>
      <c r="M848" t="s">
        <v>77</v>
      </c>
      <c r="N848" t="s">
        <v>78</v>
      </c>
      <c r="O848" t="s">
        <v>74</v>
      </c>
      <c r="P848" t="s">
        <v>74</v>
      </c>
      <c r="Q848" t="s">
        <v>74</v>
      </c>
      <c r="R848" t="s">
        <v>74</v>
      </c>
      <c r="S848" t="s">
        <v>74</v>
      </c>
      <c r="T848" t="s">
        <v>14497</v>
      </c>
      <c r="U848" t="s">
        <v>14498</v>
      </c>
      <c r="V848" t="s">
        <v>14499</v>
      </c>
      <c r="W848" t="s">
        <v>14500</v>
      </c>
      <c r="X848" t="s">
        <v>12559</v>
      </c>
      <c r="Y848" t="s">
        <v>14501</v>
      </c>
      <c r="Z848" t="s">
        <v>14479</v>
      </c>
      <c r="AA848" t="s">
        <v>14502</v>
      </c>
      <c r="AB848" t="s">
        <v>14503</v>
      </c>
      <c r="AC848" t="s">
        <v>14504</v>
      </c>
      <c r="AD848" t="s">
        <v>14505</v>
      </c>
      <c r="AE848" t="s">
        <v>14506</v>
      </c>
      <c r="AF848" t="s">
        <v>74</v>
      </c>
      <c r="AG848">
        <v>46</v>
      </c>
      <c r="AH848">
        <v>4</v>
      </c>
      <c r="AI848">
        <v>4</v>
      </c>
      <c r="AJ848">
        <v>0</v>
      </c>
      <c r="AK848">
        <v>17</v>
      </c>
      <c r="AL848" t="s">
        <v>14507</v>
      </c>
      <c r="AM848" t="s">
        <v>14508</v>
      </c>
      <c r="AN848" t="s">
        <v>14509</v>
      </c>
      <c r="AO848" t="s">
        <v>14510</v>
      </c>
      <c r="AP848" t="s">
        <v>14511</v>
      </c>
      <c r="AQ848" t="s">
        <v>74</v>
      </c>
      <c r="AR848" t="s">
        <v>14512</v>
      </c>
      <c r="AS848" t="s">
        <v>14513</v>
      </c>
      <c r="AT848" t="s">
        <v>74</v>
      </c>
      <c r="AU848">
        <v>2014</v>
      </c>
      <c r="AV848">
        <v>23</v>
      </c>
      <c r="AW848">
        <v>5</v>
      </c>
      <c r="AX848" t="s">
        <v>74</v>
      </c>
      <c r="AY848" t="s">
        <v>74</v>
      </c>
      <c r="AZ848" t="s">
        <v>74</v>
      </c>
      <c r="BA848" t="s">
        <v>74</v>
      </c>
      <c r="BB848">
        <v>1691</v>
      </c>
      <c r="BC848">
        <v>1697</v>
      </c>
      <c r="BD848" t="s">
        <v>74</v>
      </c>
      <c r="BE848" t="s">
        <v>74</v>
      </c>
      <c r="BF848" t="s">
        <v>74</v>
      </c>
      <c r="BG848" t="s">
        <v>74</v>
      </c>
      <c r="BH848" t="s">
        <v>74</v>
      </c>
      <c r="BI848">
        <v>7</v>
      </c>
      <c r="BJ848" t="s">
        <v>5336</v>
      </c>
      <c r="BK848" t="s">
        <v>147</v>
      </c>
      <c r="BL848" t="s">
        <v>5337</v>
      </c>
      <c r="BM848" t="s">
        <v>14514</v>
      </c>
      <c r="BN848" t="s">
        <v>74</v>
      </c>
      <c r="BO848" t="s">
        <v>74</v>
      </c>
      <c r="BP848" t="s">
        <v>74</v>
      </c>
      <c r="BQ848" t="s">
        <v>74</v>
      </c>
      <c r="BR848" t="s">
        <v>97</v>
      </c>
      <c r="BS848" t="s">
        <v>14515</v>
      </c>
      <c r="BT848" t="str">
        <f>HYPERLINK("https%3A%2F%2Fwww.webofscience.com%2Fwos%2Fwoscc%2Ffull-record%2FWOS:000344905500026","View Full Record in Web of Science")</f>
        <v>View Full Record in Web of Science</v>
      </c>
    </row>
    <row r="849" spans="1:72" x14ac:dyDescent="0.25">
      <c r="A849" t="s">
        <v>72</v>
      </c>
      <c r="B849" t="s">
        <v>14516</v>
      </c>
      <c r="C849" t="s">
        <v>74</v>
      </c>
      <c r="D849" t="s">
        <v>74</v>
      </c>
      <c r="E849" t="s">
        <v>74</v>
      </c>
      <c r="F849" t="s">
        <v>14517</v>
      </c>
      <c r="G849" t="s">
        <v>74</v>
      </c>
      <c r="H849" t="s">
        <v>74</v>
      </c>
      <c r="I849" t="s">
        <v>14518</v>
      </c>
      <c r="J849" t="s">
        <v>14519</v>
      </c>
      <c r="K849" t="s">
        <v>74</v>
      </c>
      <c r="L849" t="s">
        <v>74</v>
      </c>
      <c r="M849" t="s">
        <v>77</v>
      </c>
      <c r="N849" t="s">
        <v>78</v>
      </c>
      <c r="O849" t="s">
        <v>74</v>
      </c>
      <c r="P849" t="s">
        <v>74</v>
      </c>
      <c r="Q849" t="s">
        <v>74</v>
      </c>
      <c r="R849" t="s">
        <v>74</v>
      </c>
      <c r="S849" t="s">
        <v>74</v>
      </c>
      <c r="T849" t="s">
        <v>14520</v>
      </c>
      <c r="U849" t="s">
        <v>14521</v>
      </c>
      <c r="V849" t="s">
        <v>14522</v>
      </c>
      <c r="W849" t="s">
        <v>14523</v>
      </c>
      <c r="X849" t="s">
        <v>14524</v>
      </c>
      <c r="Y849" t="s">
        <v>14525</v>
      </c>
      <c r="Z849" t="s">
        <v>14526</v>
      </c>
      <c r="AA849" t="s">
        <v>14527</v>
      </c>
      <c r="AB849" t="s">
        <v>14528</v>
      </c>
      <c r="AC849" t="s">
        <v>74</v>
      </c>
      <c r="AD849" t="s">
        <v>74</v>
      </c>
      <c r="AE849" t="s">
        <v>74</v>
      </c>
      <c r="AF849" t="s">
        <v>74</v>
      </c>
      <c r="AG849">
        <v>57</v>
      </c>
      <c r="AH849">
        <v>4</v>
      </c>
      <c r="AI849">
        <v>4</v>
      </c>
      <c r="AJ849">
        <v>0</v>
      </c>
      <c r="AK849">
        <v>21</v>
      </c>
      <c r="AL849" t="s">
        <v>14529</v>
      </c>
      <c r="AM849" t="s">
        <v>14416</v>
      </c>
      <c r="AN849" t="s">
        <v>14530</v>
      </c>
      <c r="AO849" t="s">
        <v>14531</v>
      </c>
      <c r="AP849" t="s">
        <v>14532</v>
      </c>
      <c r="AQ849" t="s">
        <v>74</v>
      </c>
      <c r="AR849" t="s">
        <v>14533</v>
      </c>
      <c r="AS849" t="s">
        <v>14534</v>
      </c>
      <c r="AT849" t="s">
        <v>584</v>
      </c>
      <c r="AU849">
        <v>2012</v>
      </c>
      <c r="AV849">
        <v>27</v>
      </c>
      <c r="AW849">
        <v>6</v>
      </c>
      <c r="AX849" t="s">
        <v>74</v>
      </c>
      <c r="AY849" t="s">
        <v>74</v>
      </c>
      <c r="AZ849" t="s">
        <v>74</v>
      </c>
      <c r="BA849" t="s">
        <v>74</v>
      </c>
      <c r="BB849">
        <v>1211</v>
      </c>
      <c r="BC849">
        <v>1221</v>
      </c>
      <c r="BD849" t="s">
        <v>74</v>
      </c>
      <c r="BE849" t="s">
        <v>14535</v>
      </c>
      <c r="BF849" t="str">
        <f>HYPERLINK("http://dx.doi.org/10.1007/s11390-012-1297-x","http://dx.doi.org/10.1007/s11390-012-1297-x")</f>
        <v>http://dx.doi.org/10.1007/s11390-012-1297-x</v>
      </c>
      <c r="BG849" t="s">
        <v>74</v>
      </c>
      <c r="BH849" t="s">
        <v>74</v>
      </c>
      <c r="BI849">
        <v>11</v>
      </c>
      <c r="BJ849" t="s">
        <v>14536</v>
      </c>
      <c r="BK849" t="s">
        <v>147</v>
      </c>
      <c r="BL849" t="s">
        <v>2786</v>
      </c>
      <c r="BM849" t="s">
        <v>14537</v>
      </c>
      <c r="BN849" t="s">
        <v>74</v>
      </c>
      <c r="BO849" t="s">
        <v>74</v>
      </c>
      <c r="BP849" t="s">
        <v>74</v>
      </c>
      <c r="BQ849" t="s">
        <v>74</v>
      </c>
      <c r="BR849" t="s">
        <v>97</v>
      </c>
      <c r="BS849" t="s">
        <v>14538</v>
      </c>
      <c r="BT849" t="str">
        <f>HYPERLINK("https%3A%2F%2Fwww.webofscience.com%2Fwos%2Fwoscc%2Ffull-record%2FWOS:000311264700012","View Full Record in Web of Science")</f>
        <v>View Full Record in Web of Science</v>
      </c>
    </row>
    <row r="850" spans="1:72" x14ac:dyDescent="0.25">
      <c r="A850" t="s">
        <v>72</v>
      </c>
      <c r="B850" t="s">
        <v>14539</v>
      </c>
      <c r="C850" t="s">
        <v>74</v>
      </c>
      <c r="D850" t="s">
        <v>74</v>
      </c>
      <c r="E850" t="s">
        <v>74</v>
      </c>
      <c r="F850" t="s">
        <v>14540</v>
      </c>
      <c r="G850" t="s">
        <v>74</v>
      </c>
      <c r="H850" t="s">
        <v>74</v>
      </c>
      <c r="I850" t="s">
        <v>14541</v>
      </c>
      <c r="J850" t="s">
        <v>14542</v>
      </c>
      <c r="K850" t="s">
        <v>74</v>
      </c>
      <c r="L850" t="s">
        <v>74</v>
      </c>
      <c r="M850" t="s">
        <v>77</v>
      </c>
      <c r="N850" t="s">
        <v>78</v>
      </c>
      <c r="O850" t="s">
        <v>74</v>
      </c>
      <c r="P850" t="s">
        <v>74</v>
      </c>
      <c r="Q850" t="s">
        <v>74</v>
      </c>
      <c r="R850" t="s">
        <v>74</v>
      </c>
      <c r="S850" t="s">
        <v>74</v>
      </c>
      <c r="T850" t="s">
        <v>14543</v>
      </c>
      <c r="U850" t="s">
        <v>14544</v>
      </c>
      <c r="V850" t="s">
        <v>14545</v>
      </c>
      <c r="W850" t="s">
        <v>14546</v>
      </c>
      <c r="X850" t="s">
        <v>74</v>
      </c>
      <c r="Y850" t="s">
        <v>14547</v>
      </c>
      <c r="Z850" t="s">
        <v>14548</v>
      </c>
      <c r="AA850" t="s">
        <v>74</v>
      </c>
      <c r="AB850" t="s">
        <v>14549</v>
      </c>
      <c r="AC850" t="s">
        <v>74</v>
      </c>
      <c r="AD850" t="s">
        <v>74</v>
      </c>
      <c r="AE850" t="s">
        <v>74</v>
      </c>
      <c r="AF850" t="s">
        <v>74</v>
      </c>
      <c r="AG850">
        <v>21</v>
      </c>
      <c r="AH850">
        <v>4</v>
      </c>
      <c r="AI850">
        <v>6</v>
      </c>
      <c r="AJ850">
        <v>2</v>
      </c>
      <c r="AK850">
        <v>13</v>
      </c>
      <c r="AL850" t="s">
        <v>2351</v>
      </c>
      <c r="AM850" t="s">
        <v>541</v>
      </c>
      <c r="AN850" t="s">
        <v>2352</v>
      </c>
      <c r="AO850" t="s">
        <v>14550</v>
      </c>
      <c r="AP850" t="s">
        <v>14551</v>
      </c>
      <c r="AQ850" t="s">
        <v>74</v>
      </c>
      <c r="AR850" t="s">
        <v>14552</v>
      </c>
      <c r="AS850" t="s">
        <v>14553</v>
      </c>
      <c r="AT850" t="s">
        <v>122</v>
      </c>
      <c r="AU850">
        <v>2012</v>
      </c>
      <c r="AV850">
        <v>226</v>
      </c>
      <c r="AW850" t="s">
        <v>14554</v>
      </c>
      <c r="AX850" t="s">
        <v>74</v>
      </c>
      <c r="AY850" t="s">
        <v>74</v>
      </c>
      <c r="AZ850" t="s">
        <v>74</v>
      </c>
      <c r="BA850" t="s">
        <v>74</v>
      </c>
      <c r="BB850">
        <v>745</v>
      </c>
      <c r="BC850">
        <v>756</v>
      </c>
      <c r="BD850" t="s">
        <v>74</v>
      </c>
      <c r="BE850" t="s">
        <v>14555</v>
      </c>
      <c r="BF850" t="str">
        <f>HYPERLINK("http://dx.doi.org/10.1177/0954405411424977","http://dx.doi.org/10.1177/0954405411424977")</f>
        <v>http://dx.doi.org/10.1177/0954405411424977</v>
      </c>
      <c r="BG850" t="s">
        <v>74</v>
      </c>
      <c r="BH850" t="s">
        <v>74</v>
      </c>
      <c r="BI850">
        <v>12</v>
      </c>
      <c r="BJ850" t="s">
        <v>14556</v>
      </c>
      <c r="BK850" t="s">
        <v>283</v>
      </c>
      <c r="BL850" t="s">
        <v>14557</v>
      </c>
      <c r="BM850" t="s">
        <v>14558</v>
      </c>
      <c r="BN850" t="s">
        <v>74</v>
      </c>
      <c r="BO850" t="s">
        <v>74</v>
      </c>
      <c r="BP850" t="s">
        <v>74</v>
      </c>
      <c r="BQ850" t="s">
        <v>74</v>
      </c>
      <c r="BR850" t="s">
        <v>97</v>
      </c>
      <c r="BS850" t="s">
        <v>14559</v>
      </c>
      <c r="BT850" t="str">
        <f>HYPERLINK("https%3A%2F%2Fwww.webofscience.com%2Fwos%2Fwoscc%2Ffull-record%2FWOS:000305481600016","View Full Record in Web of Science")</f>
        <v>View Full Record in Web of Science</v>
      </c>
    </row>
    <row r="851" spans="1:72" x14ac:dyDescent="0.25">
      <c r="A851" t="s">
        <v>72</v>
      </c>
      <c r="B851" t="s">
        <v>14560</v>
      </c>
      <c r="C851" t="s">
        <v>74</v>
      </c>
      <c r="D851" t="s">
        <v>74</v>
      </c>
      <c r="E851" t="s">
        <v>74</v>
      </c>
      <c r="F851" t="s">
        <v>14561</v>
      </c>
      <c r="G851" t="s">
        <v>74</v>
      </c>
      <c r="H851" t="s">
        <v>74</v>
      </c>
      <c r="I851" t="s">
        <v>14562</v>
      </c>
      <c r="J851" t="s">
        <v>11881</v>
      </c>
      <c r="K851" t="s">
        <v>74</v>
      </c>
      <c r="L851" t="s">
        <v>74</v>
      </c>
      <c r="M851" t="s">
        <v>77</v>
      </c>
      <c r="N851" t="s">
        <v>78</v>
      </c>
      <c r="O851" t="s">
        <v>74</v>
      </c>
      <c r="P851" t="s">
        <v>74</v>
      </c>
      <c r="Q851" t="s">
        <v>74</v>
      </c>
      <c r="R851" t="s">
        <v>74</v>
      </c>
      <c r="S851" t="s">
        <v>74</v>
      </c>
      <c r="T851" t="s">
        <v>14563</v>
      </c>
      <c r="U851" t="s">
        <v>14564</v>
      </c>
      <c r="V851" t="s">
        <v>14565</v>
      </c>
      <c r="W851" t="s">
        <v>14566</v>
      </c>
      <c r="X851" t="s">
        <v>2633</v>
      </c>
      <c r="Y851" t="s">
        <v>14567</v>
      </c>
      <c r="Z851" t="s">
        <v>14568</v>
      </c>
      <c r="AA851" t="s">
        <v>74</v>
      </c>
      <c r="AB851" t="s">
        <v>74</v>
      </c>
      <c r="AC851" t="s">
        <v>74</v>
      </c>
      <c r="AD851" t="s">
        <v>74</v>
      </c>
      <c r="AE851" t="s">
        <v>74</v>
      </c>
      <c r="AF851" t="s">
        <v>74</v>
      </c>
      <c r="AG851">
        <v>52</v>
      </c>
      <c r="AH851">
        <v>4</v>
      </c>
      <c r="AI851">
        <v>4</v>
      </c>
      <c r="AJ851">
        <v>1</v>
      </c>
      <c r="AK851">
        <v>43</v>
      </c>
      <c r="AL851" t="s">
        <v>11889</v>
      </c>
      <c r="AM851" t="s">
        <v>11890</v>
      </c>
      <c r="AN851" t="s">
        <v>11891</v>
      </c>
      <c r="AO851" t="s">
        <v>11892</v>
      </c>
      <c r="AP851" t="s">
        <v>74</v>
      </c>
      <c r="AQ851" t="s">
        <v>74</v>
      </c>
      <c r="AR851" t="s">
        <v>11893</v>
      </c>
      <c r="AS851" t="s">
        <v>11894</v>
      </c>
      <c r="AT851" t="s">
        <v>14569</v>
      </c>
      <c r="AU851">
        <v>2011</v>
      </c>
      <c r="AV851">
        <v>5</v>
      </c>
      <c r="AW851">
        <v>6</v>
      </c>
      <c r="AX851" t="s">
        <v>74</v>
      </c>
      <c r="AY851" t="s">
        <v>74</v>
      </c>
      <c r="AZ851" t="s">
        <v>74</v>
      </c>
      <c r="BA851" t="s">
        <v>74</v>
      </c>
      <c r="BB851">
        <v>2501</v>
      </c>
      <c r="BC851">
        <v>2511</v>
      </c>
      <c r="BD851" t="s">
        <v>74</v>
      </c>
      <c r="BE851" t="s">
        <v>74</v>
      </c>
      <c r="BF851" t="s">
        <v>74</v>
      </c>
      <c r="BG851" t="s">
        <v>74</v>
      </c>
      <c r="BH851" t="s">
        <v>74</v>
      </c>
      <c r="BI851">
        <v>11</v>
      </c>
      <c r="BJ851" t="s">
        <v>93</v>
      </c>
      <c r="BK851" t="s">
        <v>94</v>
      </c>
      <c r="BL851" t="s">
        <v>95</v>
      </c>
      <c r="BM851" t="s">
        <v>14570</v>
      </c>
      <c r="BN851" t="s">
        <v>74</v>
      </c>
      <c r="BO851" t="s">
        <v>74</v>
      </c>
      <c r="BP851" t="s">
        <v>74</v>
      </c>
      <c r="BQ851" t="s">
        <v>74</v>
      </c>
      <c r="BR851" t="s">
        <v>97</v>
      </c>
      <c r="BS851" t="s">
        <v>14571</v>
      </c>
      <c r="BT851" t="str">
        <f>HYPERLINK("https%3A%2F%2Fwww.webofscience.com%2Fwos%2Fwoscc%2Ffull-record%2FWOS:000290801500050","View Full Record in Web of Science")</f>
        <v>View Full Record in Web of Science</v>
      </c>
    </row>
    <row r="852" spans="1:72" x14ac:dyDescent="0.25">
      <c r="A852" t="s">
        <v>72</v>
      </c>
      <c r="B852" t="s">
        <v>14572</v>
      </c>
      <c r="C852" t="s">
        <v>74</v>
      </c>
      <c r="D852" t="s">
        <v>74</v>
      </c>
      <c r="E852" t="s">
        <v>74</v>
      </c>
      <c r="F852" t="s">
        <v>14573</v>
      </c>
      <c r="G852" t="s">
        <v>74</v>
      </c>
      <c r="H852" t="s">
        <v>74</v>
      </c>
      <c r="I852" t="s">
        <v>14574</v>
      </c>
      <c r="J852" t="s">
        <v>14575</v>
      </c>
      <c r="K852" t="s">
        <v>74</v>
      </c>
      <c r="L852" t="s">
        <v>74</v>
      </c>
      <c r="M852" t="s">
        <v>77</v>
      </c>
      <c r="N852" t="s">
        <v>78</v>
      </c>
      <c r="O852" t="s">
        <v>74</v>
      </c>
      <c r="P852" t="s">
        <v>74</v>
      </c>
      <c r="Q852" t="s">
        <v>74</v>
      </c>
      <c r="R852" t="s">
        <v>74</v>
      </c>
      <c r="S852" t="s">
        <v>74</v>
      </c>
      <c r="T852" t="s">
        <v>14576</v>
      </c>
      <c r="U852" t="s">
        <v>74</v>
      </c>
      <c r="V852" t="s">
        <v>14577</v>
      </c>
      <c r="W852" t="s">
        <v>14578</v>
      </c>
      <c r="X852" t="s">
        <v>14579</v>
      </c>
      <c r="Y852" t="s">
        <v>14580</v>
      </c>
      <c r="Z852" t="s">
        <v>14581</v>
      </c>
      <c r="AA852" t="s">
        <v>14582</v>
      </c>
      <c r="AB852" t="s">
        <v>14583</v>
      </c>
      <c r="AC852" t="s">
        <v>74</v>
      </c>
      <c r="AD852" t="s">
        <v>74</v>
      </c>
      <c r="AE852" t="s">
        <v>74</v>
      </c>
      <c r="AF852" t="s">
        <v>74</v>
      </c>
      <c r="AG852">
        <v>21</v>
      </c>
      <c r="AH852">
        <v>4</v>
      </c>
      <c r="AI852">
        <v>5</v>
      </c>
      <c r="AJ852">
        <v>2</v>
      </c>
      <c r="AK852">
        <v>9</v>
      </c>
      <c r="AL852" t="s">
        <v>1099</v>
      </c>
      <c r="AM852" t="s">
        <v>305</v>
      </c>
      <c r="AN852" t="s">
        <v>1100</v>
      </c>
      <c r="AO852" t="s">
        <v>14584</v>
      </c>
      <c r="AP852" t="s">
        <v>14585</v>
      </c>
      <c r="AQ852" t="s">
        <v>74</v>
      </c>
      <c r="AR852" t="s">
        <v>14586</v>
      </c>
      <c r="AS852" t="s">
        <v>14587</v>
      </c>
      <c r="AT852" t="s">
        <v>74</v>
      </c>
      <c r="AU852">
        <v>2011</v>
      </c>
      <c r="AV852">
        <v>24</v>
      </c>
      <c r="AW852">
        <v>4</v>
      </c>
      <c r="AX852" t="s">
        <v>74</v>
      </c>
      <c r="AY852" t="s">
        <v>74</v>
      </c>
      <c r="AZ852" t="s">
        <v>74</v>
      </c>
      <c r="BA852" t="s">
        <v>74</v>
      </c>
      <c r="BB852">
        <v>427</v>
      </c>
      <c r="BC852">
        <v>447</v>
      </c>
      <c r="BD852" t="s">
        <v>74</v>
      </c>
      <c r="BE852" t="s">
        <v>14588</v>
      </c>
      <c r="BF852" t="str">
        <f>HYPERLINK("http://dx.doi.org/10.1080/13511610.2011.633432","http://dx.doi.org/10.1080/13511610.2011.633432")</f>
        <v>http://dx.doi.org/10.1080/13511610.2011.633432</v>
      </c>
      <c r="BG852" t="s">
        <v>74</v>
      </c>
      <c r="BH852" t="s">
        <v>74</v>
      </c>
      <c r="BI852">
        <v>21</v>
      </c>
      <c r="BJ852" t="s">
        <v>3492</v>
      </c>
      <c r="BK852" t="s">
        <v>94</v>
      </c>
      <c r="BL852" t="s">
        <v>3492</v>
      </c>
      <c r="BM852" t="s">
        <v>14589</v>
      </c>
      <c r="BN852" t="s">
        <v>74</v>
      </c>
      <c r="BO852" t="s">
        <v>74</v>
      </c>
      <c r="BP852" t="s">
        <v>74</v>
      </c>
      <c r="BQ852" t="s">
        <v>74</v>
      </c>
      <c r="BR852" t="s">
        <v>97</v>
      </c>
      <c r="BS852" t="s">
        <v>14590</v>
      </c>
      <c r="BT852" t="str">
        <f>HYPERLINK("https%3A%2F%2Fwww.webofscience.com%2Fwos%2Fwoscc%2Ffull-record%2FWOS:000299231000004","View Full Record in Web of Science")</f>
        <v>View Full Record in Web of Science</v>
      </c>
    </row>
    <row r="853" spans="1:72" x14ac:dyDescent="0.25">
      <c r="A853" t="s">
        <v>72</v>
      </c>
      <c r="B853" t="s">
        <v>14591</v>
      </c>
      <c r="C853" t="s">
        <v>74</v>
      </c>
      <c r="D853" t="s">
        <v>74</v>
      </c>
      <c r="E853" t="s">
        <v>74</v>
      </c>
      <c r="F853" t="s">
        <v>14592</v>
      </c>
      <c r="G853" t="s">
        <v>74</v>
      </c>
      <c r="H853" t="s">
        <v>74</v>
      </c>
      <c r="I853" t="s">
        <v>14593</v>
      </c>
      <c r="J853" t="s">
        <v>14594</v>
      </c>
      <c r="K853" t="s">
        <v>74</v>
      </c>
      <c r="L853" t="s">
        <v>74</v>
      </c>
      <c r="M853" t="s">
        <v>77</v>
      </c>
      <c r="N853" t="s">
        <v>78</v>
      </c>
      <c r="O853" t="s">
        <v>74</v>
      </c>
      <c r="P853" t="s">
        <v>74</v>
      </c>
      <c r="Q853" t="s">
        <v>74</v>
      </c>
      <c r="R853" t="s">
        <v>74</v>
      </c>
      <c r="S853" t="s">
        <v>74</v>
      </c>
      <c r="T853" t="s">
        <v>14595</v>
      </c>
      <c r="U853" t="s">
        <v>14596</v>
      </c>
      <c r="V853" t="s">
        <v>14597</v>
      </c>
      <c r="W853" t="s">
        <v>14598</v>
      </c>
      <c r="X853" t="s">
        <v>14599</v>
      </c>
      <c r="Y853" t="s">
        <v>14600</v>
      </c>
      <c r="Z853" t="s">
        <v>14601</v>
      </c>
      <c r="AA853" t="s">
        <v>74</v>
      </c>
      <c r="AB853" t="s">
        <v>74</v>
      </c>
      <c r="AC853" t="s">
        <v>74</v>
      </c>
      <c r="AD853" t="s">
        <v>74</v>
      </c>
      <c r="AE853" t="s">
        <v>74</v>
      </c>
      <c r="AF853" t="s">
        <v>74</v>
      </c>
      <c r="AG853">
        <v>65</v>
      </c>
      <c r="AH853">
        <v>4</v>
      </c>
      <c r="AI853">
        <v>4</v>
      </c>
      <c r="AJ853">
        <v>1</v>
      </c>
      <c r="AK853">
        <v>12</v>
      </c>
      <c r="AL853" t="s">
        <v>1806</v>
      </c>
      <c r="AM853" t="s">
        <v>1046</v>
      </c>
      <c r="AN853" t="s">
        <v>1807</v>
      </c>
      <c r="AO853" t="s">
        <v>14602</v>
      </c>
      <c r="AP853" t="s">
        <v>14603</v>
      </c>
      <c r="AQ853" t="s">
        <v>74</v>
      </c>
      <c r="AR853" t="s">
        <v>14604</v>
      </c>
      <c r="AS853" t="s">
        <v>14605</v>
      </c>
      <c r="AT853" t="s">
        <v>9610</v>
      </c>
      <c r="AU853">
        <v>2009</v>
      </c>
      <c r="AV853">
        <v>6</v>
      </c>
      <c r="AW853">
        <v>3</v>
      </c>
      <c r="AX853" t="s">
        <v>74</v>
      </c>
      <c r="AY853" t="s">
        <v>74</v>
      </c>
      <c r="AZ853" t="s">
        <v>74</v>
      </c>
      <c r="BA853" t="s">
        <v>74</v>
      </c>
      <c r="BB853">
        <v>182</v>
      </c>
      <c r="BC853">
        <v>194</v>
      </c>
      <c r="BD853" t="s">
        <v>74</v>
      </c>
      <c r="BE853" t="s">
        <v>14606</v>
      </c>
      <c r="BF853" t="str">
        <f>HYPERLINK("http://dx.doi.org/10.1057/emr.2009.15","http://dx.doi.org/10.1057/emr.2009.15")</f>
        <v>http://dx.doi.org/10.1057/emr.2009.15</v>
      </c>
      <c r="BG853" t="s">
        <v>74</v>
      </c>
      <c r="BH853" t="s">
        <v>74</v>
      </c>
      <c r="BI853">
        <v>13</v>
      </c>
      <c r="BJ853" t="s">
        <v>442</v>
      </c>
      <c r="BK853" t="s">
        <v>94</v>
      </c>
      <c r="BL853" t="s">
        <v>95</v>
      </c>
      <c r="BM853" t="s">
        <v>14607</v>
      </c>
      <c r="BN853" t="s">
        <v>74</v>
      </c>
      <c r="BO853" t="s">
        <v>74</v>
      </c>
      <c r="BP853" t="s">
        <v>74</v>
      </c>
      <c r="BQ853" t="s">
        <v>74</v>
      </c>
      <c r="BR853" t="s">
        <v>97</v>
      </c>
      <c r="BS853" t="s">
        <v>14608</v>
      </c>
      <c r="BT853" t="str">
        <f>HYPERLINK("https%3A%2F%2Fwww.webofscience.com%2Fwos%2Fwoscc%2Ffull-record%2FWOS:000208678300006","View Full Record in Web of Science")</f>
        <v>View Full Record in Web of Science</v>
      </c>
    </row>
    <row r="854" spans="1:72" x14ac:dyDescent="0.25">
      <c r="A854" t="s">
        <v>72</v>
      </c>
      <c r="B854" t="s">
        <v>14609</v>
      </c>
      <c r="C854" t="s">
        <v>74</v>
      </c>
      <c r="D854" t="s">
        <v>74</v>
      </c>
      <c r="E854" t="s">
        <v>74</v>
      </c>
      <c r="F854" t="s">
        <v>14610</v>
      </c>
      <c r="G854" t="s">
        <v>74</v>
      </c>
      <c r="H854" t="s">
        <v>74</v>
      </c>
      <c r="I854" t="s">
        <v>14611</v>
      </c>
      <c r="J854" t="s">
        <v>1463</v>
      </c>
      <c r="K854" t="s">
        <v>74</v>
      </c>
      <c r="L854" t="s">
        <v>74</v>
      </c>
      <c r="M854" t="s">
        <v>77</v>
      </c>
      <c r="N854" t="s">
        <v>78</v>
      </c>
      <c r="O854" t="s">
        <v>74</v>
      </c>
      <c r="P854" t="s">
        <v>74</v>
      </c>
      <c r="Q854" t="s">
        <v>74</v>
      </c>
      <c r="R854" t="s">
        <v>74</v>
      </c>
      <c r="S854" t="s">
        <v>74</v>
      </c>
      <c r="T854" t="s">
        <v>14612</v>
      </c>
      <c r="U854" t="s">
        <v>14613</v>
      </c>
      <c r="V854" t="s">
        <v>14614</v>
      </c>
      <c r="W854" t="s">
        <v>14615</v>
      </c>
      <c r="X854" t="s">
        <v>14616</v>
      </c>
      <c r="Y854" t="s">
        <v>14617</v>
      </c>
      <c r="Z854" t="s">
        <v>14618</v>
      </c>
      <c r="AA854" t="s">
        <v>74</v>
      </c>
      <c r="AB854" t="s">
        <v>74</v>
      </c>
      <c r="AC854" t="s">
        <v>74</v>
      </c>
      <c r="AD854" t="s">
        <v>74</v>
      </c>
      <c r="AE854" t="s">
        <v>74</v>
      </c>
      <c r="AF854" t="s">
        <v>74</v>
      </c>
      <c r="AG854">
        <v>67</v>
      </c>
      <c r="AH854">
        <v>4</v>
      </c>
      <c r="AI854">
        <v>4</v>
      </c>
      <c r="AJ854">
        <v>1</v>
      </c>
      <c r="AK854">
        <v>33</v>
      </c>
      <c r="AL854" t="s">
        <v>1471</v>
      </c>
      <c r="AM854" t="s">
        <v>1472</v>
      </c>
      <c r="AN854" t="s">
        <v>1473</v>
      </c>
      <c r="AO854" t="s">
        <v>1474</v>
      </c>
      <c r="AP854" t="s">
        <v>1475</v>
      </c>
      <c r="AQ854" t="s">
        <v>74</v>
      </c>
      <c r="AR854" t="s">
        <v>1476</v>
      </c>
      <c r="AS854" t="s">
        <v>1477</v>
      </c>
      <c r="AT854" t="s">
        <v>74</v>
      </c>
      <c r="AU854">
        <v>2009</v>
      </c>
      <c r="AV854">
        <v>48</v>
      </c>
      <c r="AW854">
        <v>1</v>
      </c>
      <c r="AX854" t="s">
        <v>74</v>
      </c>
      <c r="AY854" t="s">
        <v>74</v>
      </c>
      <c r="AZ854" t="s">
        <v>74</v>
      </c>
      <c r="BA854" t="s">
        <v>74</v>
      </c>
      <c r="BB854">
        <v>95</v>
      </c>
      <c r="BC854">
        <v>114</v>
      </c>
      <c r="BD854" t="s">
        <v>74</v>
      </c>
      <c r="BE854" t="s">
        <v>14619</v>
      </c>
      <c r="BF854" t="str">
        <f>HYPERLINK("http://dx.doi.org/10.1504/IJTM.2009.024602","http://dx.doi.org/10.1504/IJTM.2009.024602")</f>
        <v>http://dx.doi.org/10.1504/IJTM.2009.024602</v>
      </c>
      <c r="BG854" t="s">
        <v>74</v>
      </c>
      <c r="BH854" t="s">
        <v>74</v>
      </c>
      <c r="BI854">
        <v>20</v>
      </c>
      <c r="BJ854" t="s">
        <v>1480</v>
      </c>
      <c r="BK854" t="s">
        <v>147</v>
      </c>
      <c r="BL854" t="s">
        <v>1481</v>
      </c>
      <c r="BM854" t="s">
        <v>14620</v>
      </c>
      <c r="BN854" t="s">
        <v>74</v>
      </c>
      <c r="BO854" t="s">
        <v>74</v>
      </c>
      <c r="BP854" t="s">
        <v>74</v>
      </c>
      <c r="BQ854" t="s">
        <v>74</v>
      </c>
      <c r="BR854" t="s">
        <v>97</v>
      </c>
      <c r="BS854" t="s">
        <v>14621</v>
      </c>
      <c r="BT854" t="str">
        <f>HYPERLINK("https%3A%2F%2Fwww.webofscience.com%2Fwos%2Fwoscc%2Ffull-record%2FWOS:000265958400006","View Full Record in Web of Science")</f>
        <v>View Full Record in Web of Science</v>
      </c>
    </row>
    <row r="855" spans="1:72" x14ac:dyDescent="0.25">
      <c r="A855" t="s">
        <v>72</v>
      </c>
      <c r="B855" t="s">
        <v>720</v>
      </c>
      <c r="C855" t="s">
        <v>74</v>
      </c>
      <c r="D855" t="s">
        <v>74</v>
      </c>
      <c r="E855" t="s">
        <v>74</v>
      </c>
      <c r="F855" t="s">
        <v>720</v>
      </c>
      <c r="G855" t="s">
        <v>74</v>
      </c>
      <c r="H855" t="s">
        <v>74</v>
      </c>
      <c r="I855" t="s">
        <v>14622</v>
      </c>
      <c r="J855" t="s">
        <v>14623</v>
      </c>
      <c r="K855" t="s">
        <v>74</v>
      </c>
      <c r="L855" t="s">
        <v>74</v>
      </c>
      <c r="M855" t="s">
        <v>11465</v>
      </c>
      <c r="N855" t="s">
        <v>78</v>
      </c>
      <c r="O855" t="s">
        <v>74</v>
      </c>
      <c r="P855" t="s">
        <v>74</v>
      </c>
      <c r="Q855" t="s">
        <v>74</v>
      </c>
      <c r="R855" t="s">
        <v>74</v>
      </c>
      <c r="S855" t="s">
        <v>74</v>
      </c>
      <c r="T855" t="s">
        <v>14624</v>
      </c>
      <c r="U855" t="s">
        <v>14625</v>
      </c>
      <c r="V855" t="s">
        <v>14626</v>
      </c>
      <c r="W855" t="s">
        <v>14627</v>
      </c>
      <c r="X855" t="s">
        <v>14628</v>
      </c>
      <c r="Y855" t="s">
        <v>14629</v>
      </c>
      <c r="Z855" t="s">
        <v>14630</v>
      </c>
      <c r="AA855" t="s">
        <v>74</v>
      </c>
      <c r="AB855" t="s">
        <v>74</v>
      </c>
      <c r="AC855" t="s">
        <v>74</v>
      </c>
      <c r="AD855" t="s">
        <v>74</v>
      </c>
      <c r="AE855" t="s">
        <v>74</v>
      </c>
      <c r="AF855" t="s">
        <v>74</v>
      </c>
      <c r="AG855">
        <v>44</v>
      </c>
      <c r="AH855">
        <v>4</v>
      </c>
      <c r="AI855">
        <v>4</v>
      </c>
      <c r="AJ855">
        <v>1</v>
      </c>
      <c r="AK855">
        <v>8</v>
      </c>
      <c r="AL855" t="s">
        <v>2652</v>
      </c>
      <c r="AM855" t="s">
        <v>2653</v>
      </c>
      <c r="AN855" t="s">
        <v>14631</v>
      </c>
      <c r="AO855" t="s">
        <v>14632</v>
      </c>
      <c r="AP855" t="s">
        <v>74</v>
      </c>
      <c r="AQ855" t="s">
        <v>74</v>
      </c>
      <c r="AR855" t="s">
        <v>14633</v>
      </c>
      <c r="AS855" t="s">
        <v>14634</v>
      </c>
      <c r="AT855" t="s">
        <v>74</v>
      </c>
      <c r="AU855">
        <v>2005</v>
      </c>
      <c r="AV855">
        <v>213</v>
      </c>
      <c r="AW855">
        <v>2</v>
      </c>
      <c r="AX855" t="s">
        <v>74</v>
      </c>
      <c r="AY855" t="s">
        <v>74</v>
      </c>
      <c r="AZ855" t="s">
        <v>74</v>
      </c>
      <c r="BA855" t="s">
        <v>74</v>
      </c>
      <c r="BB855">
        <v>61</v>
      </c>
      <c r="BC855">
        <v>76</v>
      </c>
      <c r="BD855" t="s">
        <v>74</v>
      </c>
      <c r="BE855" t="s">
        <v>14635</v>
      </c>
      <c r="BF855" t="str">
        <f>HYPERLINK("http://dx.doi.org/10.1026/0044-3409.213.2.61","http://dx.doi.org/10.1026/0044-3409.213.2.61")</f>
        <v>http://dx.doi.org/10.1026/0044-3409.213.2.61</v>
      </c>
      <c r="BG855" t="s">
        <v>74</v>
      </c>
      <c r="BH855" t="s">
        <v>74</v>
      </c>
      <c r="BI855">
        <v>16</v>
      </c>
      <c r="BJ855" t="s">
        <v>3203</v>
      </c>
      <c r="BK855" t="s">
        <v>94</v>
      </c>
      <c r="BL855" t="s">
        <v>460</v>
      </c>
      <c r="BM855" t="s">
        <v>14636</v>
      </c>
      <c r="BN855" t="s">
        <v>74</v>
      </c>
      <c r="BO855" t="s">
        <v>74</v>
      </c>
      <c r="BP855" t="s">
        <v>74</v>
      </c>
      <c r="BQ855" t="s">
        <v>74</v>
      </c>
      <c r="BR855" t="s">
        <v>97</v>
      </c>
      <c r="BS855" t="s">
        <v>14637</v>
      </c>
      <c r="BT855" t="str">
        <f>HYPERLINK("https%3A%2F%2Fwww.webofscience.com%2Fwos%2Fwoscc%2Ffull-record%2FWOS:000228384400001","View Full Record in Web of Science")</f>
        <v>View Full Record in Web of Science</v>
      </c>
    </row>
    <row r="856" spans="1:72" x14ac:dyDescent="0.25">
      <c r="A856" t="s">
        <v>72</v>
      </c>
      <c r="B856" t="s">
        <v>14638</v>
      </c>
      <c r="C856" t="s">
        <v>74</v>
      </c>
      <c r="D856" t="s">
        <v>74</v>
      </c>
      <c r="E856" t="s">
        <v>74</v>
      </c>
      <c r="F856" t="s">
        <v>14638</v>
      </c>
      <c r="G856" t="s">
        <v>74</v>
      </c>
      <c r="H856" t="s">
        <v>74</v>
      </c>
      <c r="I856" t="s">
        <v>14639</v>
      </c>
      <c r="J856" t="s">
        <v>14640</v>
      </c>
      <c r="K856" t="s">
        <v>74</v>
      </c>
      <c r="L856" t="s">
        <v>74</v>
      </c>
      <c r="M856" t="s">
        <v>77</v>
      </c>
      <c r="N856" t="s">
        <v>78</v>
      </c>
      <c r="O856" t="s">
        <v>74</v>
      </c>
      <c r="P856" t="s">
        <v>74</v>
      </c>
      <c r="Q856" t="s">
        <v>74</v>
      </c>
      <c r="R856" t="s">
        <v>74</v>
      </c>
      <c r="S856" t="s">
        <v>74</v>
      </c>
      <c r="T856" t="s">
        <v>74</v>
      </c>
      <c r="U856" t="s">
        <v>14641</v>
      </c>
      <c r="V856" t="s">
        <v>14642</v>
      </c>
      <c r="W856" t="s">
        <v>14643</v>
      </c>
      <c r="X856" t="s">
        <v>14644</v>
      </c>
      <c r="Y856" t="s">
        <v>14645</v>
      </c>
      <c r="Z856" t="s">
        <v>14646</v>
      </c>
      <c r="AA856" t="s">
        <v>74</v>
      </c>
      <c r="AB856" t="s">
        <v>74</v>
      </c>
      <c r="AC856" t="s">
        <v>74</v>
      </c>
      <c r="AD856" t="s">
        <v>74</v>
      </c>
      <c r="AE856" t="s">
        <v>74</v>
      </c>
      <c r="AF856" t="s">
        <v>74</v>
      </c>
      <c r="AG856">
        <v>45</v>
      </c>
      <c r="AH856">
        <v>4</v>
      </c>
      <c r="AI856">
        <v>4</v>
      </c>
      <c r="AJ856">
        <v>0</v>
      </c>
      <c r="AK856">
        <v>11</v>
      </c>
      <c r="AL856" t="s">
        <v>329</v>
      </c>
      <c r="AM856" t="s">
        <v>330</v>
      </c>
      <c r="AN856" t="s">
        <v>331</v>
      </c>
      <c r="AO856" t="s">
        <v>14647</v>
      </c>
      <c r="AP856" t="s">
        <v>14648</v>
      </c>
      <c r="AQ856" t="s">
        <v>74</v>
      </c>
      <c r="AR856" t="s">
        <v>14649</v>
      </c>
      <c r="AS856" t="s">
        <v>14650</v>
      </c>
      <c r="AT856" t="s">
        <v>74</v>
      </c>
      <c r="AU856">
        <v>2004</v>
      </c>
      <c r="AV856">
        <v>26</v>
      </c>
      <c r="AW856">
        <v>4</v>
      </c>
      <c r="AX856" t="s">
        <v>74</v>
      </c>
      <c r="AY856" t="s">
        <v>74</v>
      </c>
      <c r="AZ856" t="s">
        <v>74</v>
      </c>
      <c r="BA856" t="s">
        <v>74</v>
      </c>
      <c r="BB856">
        <v>482</v>
      </c>
      <c r="BC856">
        <v>500</v>
      </c>
      <c r="BD856" t="s">
        <v>74</v>
      </c>
      <c r="BE856" t="s">
        <v>14651</v>
      </c>
      <c r="BF856" t="str">
        <f>HYPERLINK("http://dx.doi.org/10.1016/j.lisr.2004.04.008","http://dx.doi.org/10.1016/j.lisr.2004.04.008")</f>
        <v>http://dx.doi.org/10.1016/j.lisr.2004.04.008</v>
      </c>
      <c r="BG856" t="s">
        <v>74</v>
      </c>
      <c r="BH856" t="s">
        <v>74</v>
      </c>
      <c r="BI856">
        <v>19</v>
      </c>
      <c r="BJ856" t="s">
        <v>7086</v>
      </c>
      <c r="BK856" t="s">
        <v>94</v>
      </c>
      <c r="BL856" t="s">
        <v>7086</v>
      </c>
      <c r="BM856" t="s">
        <v>14652</v>
      </c>
      <c r="BN856" t="s">
        <v>74</v>
      </c>
      <c r="BO856" t="s">
        <v>74</v>
      </c>
      <c r="BP856" t="s">
        <v>74</v>
      </c>
      <c r="BQ856" t="s">
        <v>74</v>
      </c>
      <c r="BR856" t="s">
        <v>97</v>
      </c>
      <c r="BS856" t="s">
        <v>14653</v>
      </c>
      <c r="BT856" t="str">
        <f>HYPERLINK("https%3A%2F%2Fwww.webofscience.com%2Fwos%2Fwoscc%2Ffull-record%2FWOS:000225701000006","View Full Record in Web of Science")</f>
        <v>View Full Record in Web of Science</v>
      </c>
    </row>
    <row r="857" spans="1:72" x14ac:dyDescent="0.25">
      <c r="A857" t="s">
        <v>72</v>
      </c>
      <c r="B857" t="s">
        <v>14654</v>
      </c>
      <c r="C857" t="s">
        <v>74</v>
      </c>
      <c r="D857" t="s">
        <v>74</v>
      </c>
      <c r="E857" t="s">
        <v>74</v>
      </c>
      <c r="F857" t="s">
        <v>14654</v>
      </c>
      <c r="G857" t="s">
        <v>74</v>
      </c>
      <c r="H857" t="s">
        <v>74</v>
      </c>
      <c r="I857" t="s">
        <v>14655</v>
      </c>
      <c r="J857" t="s">
        <v>2365</v>
      </c>
      <c r="K857" t="s">
        <v>74</v>
      </c>
      <c r="L857" t="s">
        <v>74</v>
      </c>
      <c r="M857" t="s">
        <v>77</v>
      </c>
      <c r="N857" t="s">
        <v>319</v>
      </c>
      <c r="O857" t="s">
        <v>14656</v>
      </c>
      <c r="P857" t="s">
        <v>14657</v>
      </c>
      <c r="Q857" t="s">
        <v>14658</v>
      </c>
      <c r="R857" t="s">
        <v>74</v>
      </c>
      <c r="S857" t="s">
        <v>74</v>
      </c>
      <c r="T857" t="s">
        <v>74</v>
      </c>
      <c r="U857" t="s">
        <v>74</v>
      </c>
      <c r="V857" t="s">
        <v>14659</v>
      </c>
      <c r="W857" t="s">
        <v>14660</v>
      </c>
      <c r="X857" t="s">
        <v>14661</v>
      </c>
      <c r="Y857" t="s">
        <v>14662</v>
      </c>
      <c r="Z857" t="s">
        <v>74</v>
      </c>
      <c r="AA857" t="s">
        <v>74</v>
      </c>
      <c r="AB857" t="s">
        <v>74</v>
      </c>
      <c r="AC857" t="s">
        <v>74</v>
      </c>
      <c r="AD857" t="s">
        <v>74</v>
      </c>
      <c r="AE857" t="s">
        <v>74</v>
      </c>
      <c r="AF857" t="s">
        <v>74</v>
      </c>
      <c r="AG857">
        <v>27</v>
      </c>
      <c r="AH857">
        <v>4</v>
      </c>
      <c r="AI857">
        <v>4</v>
      </c>
      <c r="AJ857">
        <v>1</v>
      </c>
      <c r="AK857">
        <v>8</v>
      </c>
      <c r="AL857" t="s">
        <v>329</v>
      </c>
      <c r="AM857" t="s">
        <v>330</v>
      </c>
      <c r="AN857" t="s">
        <v>14663</v>
      </c>
      <c r="AO857" t="s">
        <v>2375</v>
      </c>
      <c r="AP857" t="s">
        <v>74</v>
      </c>
      <c r="AQ857" t="s">
        <v>74</v>
      </c>
      <c r="AR857" t="s">
        <v>2377</v>
      </c>
      <c r="AS857" t="s">
        <v>2378</v>
      </c>
      <c r="AT857" t="s">
        <v>792</v>
      </c>
      <c r="AU857">
        <v>1998</v>
      </c>
      <c r="AV857">
        <v>58</v>
      </c>
      <c r="AW857">
        <v>3</v>
      </c>
      <c r="AX857" t="s">
        <v>74</v>
      </c>
      <c r="AY857" t="s">
        <v>74</v>
      </c>
      <c r="AZ857" t="s">
        <v>74</v>
      </c>
      <c r="BA857" t="s">
        <v>74</v>
      </c>
      <c r="BB857">
        <v>271</v>
      </c>
      <c r="BC857">
        <v>283</v>
      </c>
      <c r="BD857" t="s">
        <v>74</v>
      </c>
      <c r="BE857" t="s">
        <v>14664</v>
      </c>
      <c r="BF857" t="str">
        <f>HYPERLINK("http://dx.doi.org/10.1016/S0040-1625(98)00013-4","http://dx.doi.org/10.1016/S0040-1625(98)00013-4")</f>
        <v>http://dx.doi.org/10.1016/S0040-1625(98)00013-4</v>
      </c>
      <c r="BG857" t="s">
        <v>74</v>
      </c>
      <c r="BH857" t="s">
        <v>74</v>
      </c>
      <c r="BI857">
        <v>13</v>
      </c>
      <c r="BJ857" t="s">
        <v>2380</v>
      </c>
      <c r="BK857" t="s">
        <v>14665</v>
      </c>
      <c r="BL857" t="s">
        <v>2246</v>
      </c>
      <c r="BM857" t="s">
        <v>14666</v>
      </c>
      <c r="BN857" t="s">
        <v>74</v>
      </c>
      <c r="BO857" t="s">
        <v>74</v>
      </c>
      <c r="BP857" t="s">
        <v>74</v>
      </c>
      <c r="BQ857" t="s">
        <v>74</v>
      </c>
      <c r="BR857" t="s">
        <v>97</v>
      </c>
      <c r="BS857" t="s">
        <v>14667</v>
      </c>
      <c r="BT857" t="str">
        <f>HYPERLINK("https%3A%2F%2Fwww.webofscience.com%2Fwos%2Fwoscc%2Ffull-record%2FWOS:000074743500007","View Full Record in Web of Science")</f>
        <v>View Full Record in Web of Science</v>
      </c>
    </row>
    <row r="858" spans="1:72" x14ac:dyDescent="0.25">
      <c r="A858" t="s">
        <v>72</v>
      </c>
      <c r="B858" t="s">
        <v>14668</v>
      </c>
      <c r="C858" t="s">
        <v>74</v>
      </c>
      <c r="D858" t="s">
        <v>74</v>
      </c>
      <c r="E858" t="s">
        <v>74</v>
      </c>
      <c r="F858" t="s">
        <v>14668</v>
      </c>
      <c r="G858" t="s">
        <v>74</v>
      </c>
      <c r="H858" t="s">
        <v>74</v>
      </c>
      <c r="I858" t="s">
        <v>14669</v>
      </c>
      <c r="J858" t="s">
        <v>14670</v>
      </c>
      <c r="K858" t="s">
        <v>74</v>
      </c>
      <c r="L858" t="s">
        <v>74</v>
      </c>
      <c r="M858" t="s">
        <v>77</v>
      </c>
      <c r="N858" t="s">
        <v>78</v>
      </c>
      <c r="O858" t="s">
        <v>74</v>
      </c>
      <c r="P858" t="s">
        <v>74</v>
      </c>
      <c r="Q858" t="s">
        <v>74</v>
      </c>
      <c r="R858" t="s">
        <v>74</v>
      </c>
      <c r="S858" t="s">
        <v>74</v>
      </c>
      <c r="T858" t="s">
        <v>74</v>
      </c>
      <c r="U858" t="s">
        <v>74</v>
      </c>
      <c r="V858" t="s">
        <v>74</v>
      </c>
      <c r="W858" t="s">
        <v>74</v>
      </c>
      <c r="X858" t="s">
        <v>74</v>
      </c>
      <c r="Y858" t="s">
        <v>74</v>
      </c>
      <c r="Z858" t="s">
        <v>74</v>
      </c>
      <c r="AA858" t="s">
        <v>74</v>
      </c>
      <c r="AB858" t="s">
        <v>74</v>
      </c>
      <c r="AC858" t="s">
        <v>74</v>
      </c>
      <c r="AD858" t="s">
        <v>74</v>
      </c>
      <c r="AE858" t="s">
        <v>74</v>
      </c>
      <c r="AF858" t="s">
        <v>74</v>
      </c>
      <c r="AG858">
        <v>15</v>
      </c>
      <c r="AH858">
        <v>4</v>
      </c>
      <c r="AI858">
        <v>4</v>
      </c>
      <c r="AJ858">
        <v>0</v>
      </c>
      <c r="AK858">
        <v>7</v>
      </c>
      <c r="AL858" t="s">
        <v>14671</v>
      </c>
      <c r="AM858" t="s">
        <v>195</v>
      </c>
      <c r="AN858" t="s">
        <v>14672</v>
      </c>
      <c r="AO858" t="s">
        <v>14673</v>
      </c>
      <c r="AP858" t="s">
        <v>74</v>
      </c>
      <c r="AQ858" t="s">
        <v>74</v>
      </c>
      <c r="AR858" t="s">
        <v>14674</v>
      </c>
      <c r="AS858" t="s">
        <v>14675</v>
      </c>
      <c r="AT858" t="s">
        <v>74</v>
      </c>
      <c r="AU858">
        <v>1969</v>
      </c>
      <c r="AV858">
        <v>84</v>
      </c>
      <c r="AW858">
        <v>12</v>
      </c>
      <c r="AX858" t="s">
        <v>74</v>
      </c>
      <c r="AY858" t="s">
        <v>74</v>
      </c>
      <c r="AZ858" t="s">
        <v>74</v>
      </c>
      <c r="BA858" t="s">
        <v>74</v>
      </c>
      <c r="BB858">
        <v>1063</v>
      </c>
      <c r="BC858" t="s">
        <v>1345</v>
      </c>
      <c r="BD858" t="s">
        <v>74</v>
      </c>
      <c r="BE858" t="s">
        <v>14676</v>
      </c>
      <c r="BF858" t="str">
        <f>HYPERLINK("http://dx.doi.org/10.2307/4593756","http://dx.doi.org/10.2307/4593756")</f>
        <v>http://dx.doi.org/10.2307/4593756</v>
      </c>
      <c r="BG858" t="s">
        <v>74</v>
      </c>
      <c r="BH858" t="s">
        <v>74</v>
      </c>
      <c r="BI858">
        <v>0</v>
      </c>
      <c r="BJ858" t="s">
        <v>8184</v>
      </c>
      <c r="BK858" t="s">
        <v>1347</v>
      </c>
      <c r="BL858" t="s">
        <v>8184</v>
      </c>
      <c r="BM858" t="s">
        <v>14677</v>
      </c>
      <c r="BN858">
        <v>4982072</v>
      </c>
      <c r="BO858" t="s">
        <v>718</v>
      </c>
      <c r="BP858" t="s">
        <v>74</v>
      </c>
      <c r="BQ858" t="s">
        <v>74</v>
      </c>
      <c r="BR858" t="s">
        <v>97</v>
      </c>
      <c r="BS858" t="s">
        <v>14678</v>
      </c>
      <c r="BT858" t="str">
        <f>HYPERLINK("https%3A%2F%2Fwww.webofscience.com%2Fwos%2Fwoscc%2Ffull-record%2FWOS:A1969E910800007","View Full Record in Web of Science")</f>
        <v>View Full Record in Web of Science</v>
      </c>
    </row>
    <row r="859" spans="1:72" x14ac:dyDescent="0.25">
      <c r="A859" t="s">
        <v>72</v>
      </c>
      <c r="B859" t="s">
        <v>14679</v>
      </c>
      <c r="C859" t="s">
        <v>74</v>
      </c>
      <c r="D859" t="s">
        <v>74</v>
      </c>
      <c r="E859" t="s">
        <v>74</v>
      </c>
      <c r="F859" t="s">
        <v>14680</v>
      </c>
      <c r="G859" t="s">
        <v>74</v>
      </c>
      <c r="H859" t="s">
        <v>74</v>
      </c>
      <c r="I859" t="s">
        <v>14681</v>
      </c>
      <c r="J859" t="s">
        <v>3184</v>
      </c>
      <c r="K859" t="s">
        <v>74</v>
      </c>
      <c r="L859" t="s">
        <v>74</v>
      </c>
      <c r="M859" t="s">
        <v>77</v>
      </c>
      <c r="N859" t="s">
        <v>78</v>
      </c>
      <c r="O859" t="s">
        <v>74</v>
      </c>
      <c r="P859" t="s">
        <v>74</v>
      </c>
      <c r="Q859" t="s">
        <v>74</v>
      </c>
      <c r="R859" t="s">
        <v>74</v>
      </c>
      <c r="S859" t="s">
        <v>74</v>
      </c>
      <c r="T859" t="s">
        <v>14682</v>
      </c>
      <c r="U859" t="s">
        <v>14683</v>
      </c>
      <c r="V859" t="s">
        <v>14684</v>
      </c>
      <c r="W859" t="s">
        <v>14685</v>
      </c>
      <c r="X859" t="s">
        <v>14686</v>
      </c>
      <c r="Y859" t="s">
        <v>14687</v>
      </c>
      <c r="Z859" t="s">
        <v>14688</v>
      </c>
      <c r="AA859" t="s">
        <v>14689</v>
      </c>
      <c r="AB859" t="s">
        <v>14156</v>
      </c>
      <c r="AC859" t="s">
        <v>14690</v>
      </c>
      <c r="AD859" t="s">
        <v>14691</v>
      </c>
      <c r="AE859" t="s">
        <v>14692</v>
      </c>
      <c r="AF859" t="s">
        <v>74</v>
      </c>
      <c r="AG859">
        <v>21</v>
      </c>
      <c r="AH859">
        <v>3</v>
      </c>
      <c r="AI859">
        <v>3</v>
      </c>
      <c r="AJ859">
        <v>29</v>
      </c>
      <c r="AK859">
        <v>50</v>
      </c>
      <c r="AL859" t="s">
        <v>3195</v>
      </c>
      <c r="AM859" t="s">
        <v>3196</v>
      </c>
      <c r="AN859" t="s">
        <v>3197</v>
      </c>
      <c r="AO859" t="s">
        <v>3198</v>
      </c>
      <c r="AP859" t="s">
        <v>74</v>
      </c>
      <c r="AQ859" t="s">
        <v>74</v>
      </c>
      <c r="AR859" t="s">
        <v>3199</v>
      </c>
      <c r="AS859" t="s">
        <v>3200</v>
      </c>
      <c r="AT859" t="s">
        <v>14693</v>
      </c>
      <c r="AU859">
        <v>2022</v>
      </c>
      <c r="AV859">
        <v>13</v>
      </c>
      <c r="AW859" t="s">
        <v>74</v>
      </c>
      <c r="AX859" t="s">
        <v>74</v>
      </c>
      <c r="AY859" t="s">
        <v>74</v>
      </c>
      <c r="AZ859" t="s">
        <v>74</v>
      </c>
      <c r="BA859" t="s">
        <v>74</v>
      </c>
      <c r="BB859" t="s">
        <v>74</v>
      </c>
      <c r="BC859" t="s">
        <v>74</v>
      </c>
      <c r="BD859">
        <v>945598</v>
      </c>
      <c r="BE859" t="s">
        <v>14694</v>
      </c>
      <c r="BF859" t="str">
        <f>HYPERLINK("http://dx.doi.org/10.3389/fpsyg.2022.945598","http://dx.doi.org/10.3389/fpsyg.2022.945598")</f>
        <v>http://dx.doi.org/10.3389/fpsyg.2022.945598</v>
      </c>
      <c r="BG859" t="s">
        <v>74</v>
      </c>
      <c r="BH859" t="s">
        <v>74</v>
      </c>
      <c r="BI859">
        <v>16</v>
      </c>
      <c r="BJ859" t="s">
        <v>3203</v>
      </c>
      <c r="BK859" t="s">
        <v>94</v>
      </c>
      <c r="BL859" t="s">
        <v>460</v>
      </c>
      <c r="BM859" t="s">
        <v>14695</v>
      </c>
      <c r="BN859">
        <v>36081726</v>
      </c>
      <c r="BO859" t="s">
        <v>3205</v>
      </c>
      <c r="BP859" t="s">
        <v>74</v>
      </c>
      <c r="BQ859" t="s">
        <v>74</v>
      </c>
      <c r="BR859" t="s">
        <v>97</v>
      </c>
      <c r="BS859" t="s">
        <v>14696</v>
      </c>
      <c r="BT859" t="str">
        <f>HYPERLINK("https%3A%2F%2Fwww.webofscience.com%2Fwos%2Fwoscc%2Ffull-record%2FWOS:000850198800001","View Full Record in Web of Science")</f>
        <v>View Full Record in Web of Science</v>
      </c>
    </row>
    <row r="860" spans="1:72" x14ac:dyDescent="0.25">
      <c r="A860" t="s">
        <v>72</v>
      </c>
      <c r="B860" t="s">
        <v>14697</v>
      </c>
      <c r="C860" t="s">
        <v>74</v>
      </c>
      <c r="D860" t="s">
        <v>74</v>
      </c>
      <c r="E860" t="s">
        <v>74</v>
      </c>
      <c r="F860" t="s">
        <v>14698</v>
      </c>
      <c r="G860" t="s">
        <v>74</v>
      </c>
      <c r="H860" t="s">
        <v>74</v>
      </c>
      <c r="I860" t="s">
        <v>14699</v>
      </c>
      <c r="J860" t="s">
        <v>4325</v>
      </c>
      <c r="K860" t="s">
        <v>74</v>
      </c>
      <c r="L860" t="s">
        <v>74</v>
      </c>
      <c r="M860" t="s">
        <v>77</v>
      </c>
      <c r="N860" t="s">
        <v>78</v>
      </c>
      <c r="O860" t="s">
        <v>74</v>
      </c>
      <c r="P860" t="s">
        <v>74</v>
      </c>
      <c r="Q860" t="s">
        <v>74</v>
      </c>
      <c r="R860" t="s">
        <v>74</v>
      </c>
      <c r="S860" t="s">
        <v>74</v>
      </c>
      <c r="T860" t="s">
        <v>14700</v>
      </c>
      <c r="U860" t="s">
        <v>14701</v>
      </c>
      <c r="V860" t="s">
        <v>14702</v>
      </c>
      <c r="W860" t="s">
        <v>14703</v>
      </c>
      <c r="X860" t="s">
        <v>14704</v>
      </c>
      <c r="Y860" t="s">
        <v>14705</v>
      </c>
      <c r="Z860" t="s">
        <v>14706</v>
      </c>
      <c r="AA860" t="s">
        <v>74</v>
      </c>
      <c r="AB860" t="s">
        <v>74</v>
      </c>
      <c r="AC860" t="s">
        <v>74</v>
      </c>
      <c r="AD860" t="s">
        <v>74</v>
      </c>
      <c r="AE860" t="s">
        <v>74</v>
      </c>
      <c r="AF860" t="s">
        <v>74</v>
      </c>
      <c r="AG860">
        <v>63</v>
      </c>
      <c r="AH860">
        <v>3</v>
      </c>
      <c r="AI860">
        <v>3</v>
      </c>
      <c r="AJ860">
        <v>9</v>
      </c>
      <c r="AK860">
        <v>17</v>
      </c>
      <c r="AL860" t="s">
        <v>218</v>
      </c>
      <c r="AM860" t="s">
        <v>219</v>
      </c>
      <c r="AN860" t="s">
        <v>220</v>
      </c>
      <c r="AO860" t="s">
        <v>4332</v>
      </c>
      <c r="AP860" t="s">
        <v>4333</v>
      </c>
      <c r="AQ860" t="s">
        <v>74</v>
      </c>
      <c r="AR860" t="s">
        <v>4334</v>
      </c>
      <c r="AS860" t="s">
        <v>4335</v>
      </c>
      <c r="AT860" t="s">
        <v>375</v>
      </c>
      <c r="AU860">
        <v>2022</v>
      </c>
      <c r="AV860">
        <v>31</v>
      </c>
      <c r="AW860">
        <v>4</v>
      </c>
      <c r="AX860" t="s">
        <v>74</v>
      </c>
      <c r="AY860" t="s">
        <v>74</v>
      </c>
      <c r="AZ860" t="s">
        <v>74</v>
      </c>
      <c r="BA860" t="s">
        <v>74</v>
      </c>
      <c r="BB860">
        <v>651</v>
      </c>
      <c r="BC860">
        <v>663</v>
      </c>
      <c r="BD860" t="s">
        <v>74</v>
      </c>
      <c r="BE860" t="s">
        <v>14707</v>
      </c>
      <c r="BF860" t="str">
        <f>HYPERLINK("http://dx.doi.org/10.1111/caim.12516","http://dx.doi.org/10.1111/caim.12516")</f>
        <v>http://dx.doi.org/10.1111/caim.12516</v>
      </c>
      <c r="BG860" t="s">
        <v>74</v>
      </c>
      <c r="BH860" t="s">
        <v>11958</v>
      </c>
      <c r="BI860">
        <v>13</v>
      </c>
      <c r="BJ860" t="s">
        <v>442</v>
      </c>
      <c r="BK860" t="s">
        <v>94</v>
      </c>
      <c r="BL860" t="s">
        <v>95</v>
      </c>
      <c r="BM860" t="s">
        <v>14708</v>
      </c>
      <c r="BN860" t="s">
        <v>74</v>
      </c>
      <c r="BO860" t="s">
        <v>74</v>
      </c>
      <c r="BP860" t="s">
        <v>74</v>
      </c>
      <c r="BQ860" t="s">
        <v>74</v>
      </c>
      <c r="BR860" t="s">
        <v>97</v>
      </c>
      <c r="BS860" t="s">
        <v>14709</v>
      </c>
      <c r="BT860" t="str">
        <f>HYPERLINK("https%3A%2F%2Fwww.webofscience.com%2Fwos%2Fwoscc%2Ffull-record%2FWOS:000825902600001","View Full Record in Web of Science")</f>
        <v>View Full Record in Web of Science</v>
      </c>
    </row>
    <row r="861" spans="1:72" x14ac:dyDescent="0.25">
      <c r="A861" t="s">
        <v>72</v>
      </c>
      <c r="B861" t="s">
        <v>14710</v>
      </c>
      <c r="C861" t="s">
        <v>74</v>
      </c>
      <c r="D861" t="s">
        <v>74</v>
      </c>
      <c r="E861" t="s">
        <v>74</v>
      </c>
      <c r="F861" t="s">
        <v>14711</v>
      </c>
      <c r="G861" t="s">
        <v>74</v>
      </c>
      <c r="H861" t="s">
        <v>74</v>
      </c>
      <c r="I861" t="s">
        <v>14712</v>
      </c>
      <c r="J861" t="s">
        <v>4134</v>
      </c>
      <c r="K861" t="s">
        <v>74</v>
      </c>
      <c r="L861" t="s">
        <v>74</v>
      </c>
      <c r="M861" t="s">
        <v>77</v>
      </c>
      <c r="N861" t="s">
        <v>78</v>
      </c>
      <c r="O861" t="s">
        <v>74</v>
      </c>
      <c r="P861" t="s">
        <v>74</v>
      </c>
      <c r="Q861" t="s">
        <v>74</v>
      </c>
      <c r="R861" t="s">
        <v>74</v>
      </c>
      <c r="S861" t="s">
        <v>74</v>
      </c>
      <c r="T861" t="s">
        <v>14713</v>
      </c>
      <c r="U861" t="s">
        <v>14714</v>
      </c>
      <c r="V861" t="s">
        <v>14715</v>
      </c>
      <c r="W861" t="s">
        <v>14716</v>
      </c>
      <c r="X861" t="s">
        <v>1876</v>
      </c>
      <c r="Y861" t="s">
        <v>14717</v>
      </c>
      <c r="Z861" t="s">
        <v>14718</v>
      </c>
      <c r="AA861" t="s">
        <v>14719</v>
      </c>
      <c r="AB861" t="s">
        <v>14720</v>
      </c>
      <c r="AC861" t="s">
        <v>14721</v>
      </c>
      <c r="AD861" t="s">
        <v>14722</v>
      </c>
      <c r="AE861" t="s">
        <v>14723</v>
      </c>
      <c r="AF861" t="s">
        <v>74</v>
      </c>
      <c r="AG861">
        <v>98</v>
      </c>
      <c r="AH861">
        <v>3</v>
      </c>
      <c r="AI861">
        <v>3</v>
      </c>
      <c r="AJ861">
        <v>11</v>
      </c>
      <c r="AK861">
        <v>25</v>
      </c>
      <c r="AL861" t="s">
        <v>665</v>
      </c>
      <c r="AM861" t="s">
        <v>666</v>
      </c>
      <c r="AN861" t="s">
        <v>667</v>
      </c>
      <c r="AO861" t="s">
        <v>4144</v>
      </c>
      <c r="AP861" t="s">
        <v>4145</v>
      </c>
      <c r="AQ861" t="s">
        <v>74</v>
      </c>
      <c r="AR861" t="s">
        <v>4146</v>
      </c>
      <c r="AS861" t="s">
        <v>4147</v>
      </c>
      <c r="AT861" t="s">
        <v>14724</v>
      </c>
      <c r="AU861">
        <v>2022</v>
      </c>
      <c r="AV861">
        <v>26</v>
      </c>
      <c r="AW861">
        <v>7</v>
      </c>
      <c r="AX861" t="s">
        <v>74</v>
      </c>
      <c r="AY861" t="s">
        <v>74</v>
      </c>
      <c r="AZ861" t="s">
        <v>74</v>
      </c>
      <c r="BA861" t="s">
        <v>74</v>
      </c>
      <c r="BB861">
        <v>23</v>
      </c>
      <c r="BC861">
        <v>44</v>
      </c>
      <c r="BD861" t="s">
        <v>74</v>
      </c>
      <c r="BE861" t="s">
        <v>14725</v>
      </c>
      <c r="BF861" t="str">
        <f>HYPERLINK("http://dx.doi.org/10.1108/EJIM-02-2022-0072","http://dx.doi.org/10.1108/EJIM-02-2022-0072")</f>
        <v>http://dx.doi.org/10.1108/EJIM-02-2022-0072</v>
      </c>
      <c r="BG861" t="s">
        <v>74</v>
      </c>
      <c r="BH861" t="s">
        <v>11976</v>
      </c>
      <c r="BI861">
        <v>22</v>
      </c>
      <c r="BJ861" t="s">
        <v>93</v>
      </c>
      <c r="BK861" t="s">
        <v>94</v>
      </c>
      <c r="BL861" t="s">
        <v>95</v>
      </c>
      <c r="BM861" t="s">
        <v>14726</v>
      </c>
      <c r="BN861" t="s">
        <v>74</v>
      </c>
      <c r="BO861" t="s">
        <v>74</v>
      </c>
      <c r="BP861" t="s">
        <v>74</v>
      </c>
      <c r="BQ861" t="s">
        <v>74</v>
      </c>
      <c r="BR861" t="s">
        <v>97</v>
      </c>
      <c r="BS861" t="s">
        <v>14727</v>
      </c>
      <c r="BT861" t="str">
        <f>HYPERLINK("https%3A%2F%2Fwww.webofscience.com%2Fwos%2Fwoscc%2Ffull-record%2FWOS:000807987600001","View Full Record in Web of Science")</f>
        <v>View Full Record in Web of Science</v>
      </c>
    </row>
    <row r="862" spans="1:72" x14ac:dyDescent="0.25">
      <c r="A862" t="s">
        <v>72</v>
      </c>
      <c r="B862" t="s">
        <v>14728</v>
      </c>
      <c r="C862" t="s">
        <v>74</v>
      </c>
      <c r="D862" t="s">
        <v>74</v>
      </c>
      <c r="E862" t="s">
        <v>74</v>
      </c>
      <c r="F862" t="s">
        <v>14729</v>
      </c>
      <c r="G862" t="s">
        <v>74</v>
      </c>
      <c r="H862" t="s">
        <v>74</v>
      </c>
      <c r="I862" t="s">
        <v>14730</v>
      </c>
      <c r="J862" t="s">
        <v>14731</v>
      </c>
      <c r="K862" t="s">
        <v>74</v>
      </c>
      <c r="L862" t="s">
        <v>74</v>
      </c>
      <c r="M862" t="s">
        <v>77</v>
      </c>
      <c r="N862" t="s">
        <v>78</v>
      </c>
      <c r="O862" t="s">
        <v>74</v>
      </c>
      <c r="P862" t="s">
        <v>74</v>
      </c>
      <c r="Q862" t="s">
        <v>74</v>
      </c>
      <c r="R862" t="s">
        <v>74</v>
      </c>
      <c r="S862" t="s">
        <v>74</v>
      </c>
      <c r="T862" t="s">
        <v>14732</v>
      </c>
      <c r="U862" t="s">
        <v>14733</v>
      </c>
      <c r="V862" t="s">
        <v>14734</v>
      </c>
      <c r="W862" t="s">
        <v>14735</v>
      </c>
      <c r="X862" t="s">
        <v>14736</v>
      </c>
      <c r="Y862" t="s">
        <v>14737</v>
      </c>
      <c r="Z862" t="s">
        <v>14738</v>
      </c>
      <c r="AA862" t="s">
        <v>14739</v>
      </c>
      <c r="AB862" t="s">
        <v>14740</v>
      </c>
      <c r="AC862" t="s">
        <v>14741</v>
      </c>
      <c r="AD862" t="s">
        <v>14741</v>
      </c>
      <c r="AE862" t="s">
        <v>14742</v>
      </c>
      <c r="AF862" t="s">
        <v>74</v>
      </c>
      <c r="AG862">
        <v>108</v>
      </c>
      <c r="AH862">
        <v>3</v>
      </c>
      <c r="AI862">
        <v>3</v>
      </c>
      <c r="AJ862">
        <v>40</v>
      </c>
      <c r="AK862">
        <v>63</v>
      </c>
      <c r="AL862" t="s">
        <v>350</v>
      </c>
      <c r="AM862" t="s">
        <v>351</v>
      </c>
      <c r="AN862" t="s">
        <v>352</v>
      </c>
      <c r="AO862" t="s">
        <v>14743</v>
      </c>
      <c r="AP862" t="s">
        <v>14744</v>
      </c>
      <c r="AQ862" t="s">
        <v>74</v>
      </c>
      <c r="AR862" t="s">
        <v>14745</v>
      </c>
      <c r="AS862" t="s">
        <v>14746</v>
      </c>
      <c r="AT862" t="s">
        <v>892</v>
      </c>
      <c r="AU862">
        <v>2023</v>
      </c>
      <c r="AV862">
        <v>55</v>
      </c>
      <c r="AW862">
        <v>1</v>
      </c>
      <c r="AX862" t="s">
        <v>74</v>
      </c>
      <c r="AY862" t="s">
        <v>74</v>
      </c>
      <c r="AZ862" t="s">
        <v>74</v>
      </c>
      <c r="BA862" t="s">
        <v>74</v>
      </c>
      <c r="BB862">
        <v>30</v>
      </c>
      <c r="BC862">
        <v>63</v>
      </c>
      <c r="BD862">
        <v>953997221100623</v>
      </c>
      <c r="BE862" t="s">
        <v>14747</v>
      </c>
      <c r="BF862" t="str">
        <f>HYPERLINK("http://dx.doi.org/10.1177/00953997221100623","http://dx.doi.org/10.1177/00953997221100623")</f>
        <v>http://dx.doi.org/10.1177/00953997221100623</v>
      </c>
      <c r="BG862" t="s">
        <v>74</v>
      </c>
      <c r="BH862" t="s">
        <v>11976</v>
      </c>
      <c r="BI862">
        <v>34</v>
      </c>
      <c r="BJ862" t="s">
        <v>1564</v>
      </c>
      <c r="BK862" t="s">
        <v>94</v>
      </c>
      <c r="BL862" t="s">
        <v>1564</v>
      </c>
      <c r="BM862" t="s">
        <v>14748</v>
      </c>
      <c r="BN862" t="s">
        <v>74</v>
      </c>
      <c r="BO862" t="s">
        <v>74</v>
      </c>
      <c r="BP862" t="s">
        <v>74</v>
      </c>
      <c r="BQ862" t="s">
        <v>74</v>
      </c>
      <c r="BR862" t="s">
        <v>97</v>
      </c>
      <c r="BS862" t="s">
        <v>14749</v>
      </c>
      <c r="BT862" t="str">
        <f>HYPERLINK("https%3A%2F%2Fwww.webofscience.com%2Fwos%2Fwoscc%2Ffull-record%2FWOS:000811813900001","View Full Record in Web of Science")</f>
        <v>View Full Record in Web of Science</v>
      </c>
    </row>
    <row r="863" spans="1:72" x14ac:dyDescent="0.25">
      <c r="A863" t="s">
        <v>72</v>
      </c>
      <c r="B863" t="s">
        <v>14750</v>
      </c>
      <c r="C863" t="s">
        <v>74</v>
      </c>
      <c r="D863" t="s">
        <v>74</v>
      </c>
      <c r="E863" t="s">
        <v>74</v>
      </c>
      <c r="F863" t="s">
        <v>14751</v>
      </c>
      <c r="G863" t="s">
        <v>74</v>
      </c>
      <c r="H863" t="s">
        <v>74</v>
      </c>
      <c r="I863" t="s">
        <v>14752</v>
      </c>
      <c r="J863" t="s">
        <v>6372</v>
      </c>
      <c r="K863" t="s">
        <v>74</v>
      </c>
      <c r="L863" t="s">
        <v>74</v>
      </c>
      <c r="M863" t="s">
        <v>77</v>
      </c>
      <c r="N863" t="s">
        <v>78</v>
      </c>
      <c r="O863" t="s">
        <v>74</v>
      </c>
      <c r="P863" t="s">
        <v>74</v>
      </c>
      <c r="Q863" t="s">
        <v>74</v>
      </c>
      <c r="R863" t="s">
        <v>74</v>
      </c>
      <c r="S863" t="s">
        <v>74</v>
      </c>
      <c r="T863" t="s">
        <v>14753</v>
      </c>
      <c r="U863" t="s">
        <v>14754</v>
      </c>
      <c r="V863" t="s">
        <v>14755</v>
      </c>
      <c r="W863" t="s">
        <v>14756</v>
      </c>
      <c r="X863" t="s">
        <v>14757</v>
      </c>
      <c r="Y863" t="s">
        <v>14758</v>
      </c>
      <c r="Z863" t="s">
        <v>14759</v>
      </c>
      <c r="AA863" t="s">
        <v>74</v>
      </c>
      <c r="AB863" t="s">
        <v>14760</v>
      </c>
      <c r="AC863" t="s">
        <v>74</v>
      </c>
      <c r="AD863" t="s">
        <v>74</v>
      </c>
      <c r="AE863" t="s">
        <v>74</v>
      </c>
      <c r="AF863" t="s">
        <v>74</v>
      </c>
      <c r="AG863">
        <v>69</v>
      </c>
      <c r="AH863">
        <v>3</v>
      </c>
      <c r="AI863">
        <v>3</v>
      </c>
      <c r="AJ863">
        <v>21</v>
      </c>
      <c r="AK863">
        <v>39</v>
      </c>
      <c r="AL863" t="s">
        <v>2473</v>
      </c>
      <c r="AM863" t="s">
        <v>2102</v>
      </c>
      <c r="AN863" t="s">
        <v>2474</v>
      </c>
      <c r="AO863" t="s">
        <v>74</v>
      </c>
      <c r="AP863" t="s">
        <v>6384</v>
      </c>
      <c r="AQ863" t="s">
        <v>74</v>
      </c>
      <c r="AR863" t="s">
        <v>6385</v>
      </c>
      <c r="AS863" t="s">
        <v>6386</v>
      </c>
      <c r="AT863" t="s">
        <v>91</v>
      </c>
      <c r="AU863">
        <v>2022</v>
      </c>
      <c r="AV863">
        <v>19</v>
      </c>
      <c r="AW863">
        <v>11</v>
      </c>
      <c r="AX863" t="s">
        <v>74</v>
      </c>
      <c r="AY863" t="s">
        <v>74</v>
      </c>
      <c r="AZ863" t="s">
        <v>74</v>
      </c>
      <c r="BA863" t="s">
        <v>74</v>
      </c>
      <c r="BB863" t="s">
        <v>74</v>
      </c>
      <c r="BC863" t="s">
        <v>74</v>
      </c>
      <c r="BD863">
        <v>6599</v>
      </c>
      <c r="BE863" t="s">
        <v>14761</v>
      </c>
      <c r="BF863" t="str">
        <f>HYPERLINK("http://dx.doi.org/10.3390/ijerph19116599","http://dx.doi.org/10.3390/ijerph19116599")</f>
        <v>http://dx.doi.org/10.3390/ijerph19116599</v>
      </c>
      <c r="BG863" t="s">
        <v>74</v>
      </c>
      <c r="BH863" t="s">
        <v>74</v>
      </c>
      <c r="BI863">
        <v>12</v>
      </c>
      <c r="BJ863" t="s">
        <v>6388</v>
      </c>
      <c r="BK863" t="s">
        <v>147</v>
      </c>
      <c r="BL863" t="s">
        <v>6389</v>
      </c>
      <c r="BM863" t="s">
        <v>14762</v>
      </c>
      <c r="BN863">
        <v>35682185</v>
      </c>
      <c r="BO863" t="s">
        <v>3205</v>
      </c>
      <c r="BP863" t="s">
        <v>74</v>
      </c>
      <c r="BQ863" t="s">
        <v>74</v>
      </c>
      <c r="BR863" t="s">
        <v>97</v>
      </c>
      <c r="BS863" t="s">
        <v>14763</v>
      </c>
      <c r="BT863" t="str">
        <f>HYPERLINK("https%3A%2F%2Fwww.webofscience.com%2Fwos%2Fwoscc%2Ffull-record%2FWOS:000808993300001","View Full Record in Web of Science")</f>
        <v>View Full Record in Web of Science</v>
      </c>
    </row>
    <row r="864" spans="1:72" x14ac:dyDescent="0.25">
      <c r="A864" t="s">
        <v>72</v>
      </c>
      <c r="B864" t="s">
        <v>14764</v>
      </c>
      <c r="C864" t="s">
        <v>74</v>
      </c>
      <c r="D864" t="s">
        <v>74</v>
      </c>
      <c r="E864" t="s">
        <v>74</v>
      </c>
      <c r="F864" t="s">
        <v>14765</v>
      </c>
      <c r="G864" t="s">
        <v>74</v>
      </c>
      <c r="H864" t="s">
        <v>74</v>
      </c>
      <c r="I864" t="s">
        <v>14766</v>
      </c>
      <c r="J864" t="s">
        <v>2463</v>
      </c>
      <c r="K864" t="s">
        <v>74</v>
      </c>
      <c r="L864" t="s">
        <v>74</v>
      </c>
      <c r="M864" t="s">
        <v>77</v>
      </c>
      <c r="N864" t="s">
        <v>78</v>
      </c>
      <c r="O864" t="s">
        <v>74</v>
      </c>
      <c r="P864" t="s">
        <v>74</v>
      </c>
      <c r="Q864" t="s">
        <v>74</v>
      </c>
      <c r="R864" t="s">
        <v>74</v>
      </c>
      <c r="S864" t="s">
        <v>74</v>
      </c>
      <c r="T864" t="s">
        <v>14767</v>
      </c>
      <c r="U864" t="s">
        <v>14768</v>
      </c>
      <c r="V864" t="s">
        <v>14769</v>
      </c>
      <c r="W864" t="s">
        <v>14770</v>
      </c>
      <c r="X864" t="s">
        <v>14771</v>
      </c>
      <c r="Y864" t="s">
        <v>14772</v>
      </c>
      <c r="Z864" t="s">
        <v>14773</v>
      </c>
      <c r="AA864" t="s">
        <v>14774</v>
      </c>
      <c r="AB864" t="s">
        <v>14775</v>
      </c>
      <c r="AC864" t="s">
        <v>14776</v>
      </c>
      <c r="AD864" t="s">
        <v>14777</v>
      </c>
      <c r="AE864" t="s">
        <v>14778</v>
      </c>
      <c r="AF864" t="s">
        <v>74</v>
      </c>
      <c r="AG864">
        <v>81</v>
      </c>
      <c r="AH864">
        <v>3</v>
      </c>
      <c r="AI864">
        <v>3</v>
      </c>
      <c r="AJ864">
        <v>10</v>
      </c>
      <c r="AK864">
        <v>20</v>
      </c>
      <c r="AL864" t="s">
        <v>2473</v>
      </c>
      <c r="AM864" t="s">
        <v>2102</v>
      </c>
      <c r="AN864" t="s">
        <v>2474</v>
      </c>
      <c r="AO864" t="s">
        <v>74</v>
      </c>
      <c r="AP864" t="s">
        <v>2475</v>
      </c>
      <c r="AQ864" t="s">
        <v>74</v>
      </c>
      <c r="AR864" t="s">
        <v>2476</v>
      </c>
      <c r="AS864" t="s">
        <v>2477</v>
      </c>
      <c r="AT864" t="s">
        <v>91</v>
      </c>
      <c r="AU864">
        <v>2022</v>
      </c>
      <c r="AV864">
        <v>14</v>
      </c>
      <c r="AW864">
        <v>12</v>
      </c>
      <c r="AX864" t="s">
        <v>74</v>
      </c>
      <c r="AY864" t="s">
        <v>74</v>
      </c>
      <c r="AZ864" t="s">
        <v>74</v>
      </c>
      <c r="BA864" t="s">
        <v>74</v>
      </c>
      <c r="BB864" t="s">
        <v>74</v>
      </c>
      <c r="BC864" t="s">
        <v>74</v>
      </c>
      <c r="BD864">
        <v>7211</v>
      </c>
      <c r="BE864" t="s">
        <v>14779</v>
      </c>
      <c r="BF864" t="str">
        <f>HYPERLINK("http://dx.doi.org/10.3390/su14127211","http://dx.doi.org/10.3390/su14127211")</f>
        <v>http://dx.doi.org/10.3390/su14127211</v>
      </c>
      <c r="BG864" t="s">
        <v>74</v>
      </c>
      <c r="BH864" t="s">
        <v>74</v>
      </c>
      <c r="BI864">
        <v>20</v>
      </c>
      <c r="BJ864" t="s">
        <v>2479</v>
      </c>
      <c r="BK864" t="s">
        <v>147</v>
      </c>
      <c r="BL864" t="s">
        <v>2480</v>
      </c>
      <c r="BM864" t="s">
        <v>14780</v>
      </c>
      <c r="BN864" t="s">
        <v>74</v>
      </c>
      <c r="BO864" t="s">
        <v>10146</v>
      </c>
      <c r="BP864" t="s">
        <v>74</v>
      </c>
      <c r="BQ864" t="s">
        <v>74</v>
      </c>
      <c r="BR864" t="s">
        <v>97</v>
      </c>
      <c r="BS864" t="s">
        <v>14781</v>
      </c>
      <c r="BT864" t="str">
        <f>HYPERLINK("https%3A%2F%2Fwww.webofscience.com%2Fwos%2Fwoscc%2Ffull-record%2FWOS:000816819700001","View Full Record in Web of Science")</f>
        <v>View Full Record in Web of Science</v>
      </c>
    </row>
    <row r="865" spans="1:72" x14ac:dyDescent="0.25">
      <c r="A865" t="s">
        <v>72</v>
      </c>
      <c r="B865" t="s">
        <v>14782</v>
      </c>
      <c r="C865" t="s">
        <v>74</v>
      </c>
      <c r="D865" t="s">
        <v>74</v>
      </c>
      <c r="E865" t="s">
        <v>74</v>
      </c>
      <c r="F865" t="s">
        <v>14783</v>
      </c>
      <c r="G865" t="s">
        <v>74</v>
      </c>
      <c r="H865" t="s">
        <v>74</v>
      </c>
      <c r="I865" t="s">
        <v>14784</v>
      </c>
      <c r="J865" t="s">
        <v>2463</v>
      </c>
      <c r="K865" t="s">
        <v>74</v>
      </c>
      <c r="L865" t="s">
        <v>74</v>
      </c>
      <c r="M865" t="s">
        <v>77</v>
      </c>
      <c r="N865" t="s">
        <v>78</v>
      </c>
      <c r="O865" t="s">
        <v>74</v>
      </c>
      <c r="P865" t="s">
        <v>74</v>
      </c>
      <c r="Q865" t="s">
        <v>74</v>
      </c>
      <c r="R865" t="s">
        <v>74</v>
      </c>
      <c r="S865" t="s">
        <v>74</v>
      </c>
      <c r="T865" t="s">
        <v>14785</v>
      </c>
      <c r="U865" t="s">
        <v>14786</v>
      </c>
      <c r="V865" t="s">
        <v>14787</v>
      </c>
      <c r="W865" t="s">
        <v>14788</v>
      </c>
      <c r="X865" t="s">
        <v>14789</v>
      </c>
      <c r="Y865" t="s">
        <v>14790</v>
      </c>
      <c r="Z865" t="s">
        <v>14791</v>
      </c>
      <c r="AA865" t="s">
        <v>74</v>
      </c>
      <c r="AB865" t="s">
        <v>14792</v>
      </c>
      <c r="AC865" t="s">
        <v>14793</v>
      </c>
      <c r="AD865" t="s">
        <v>14794</v>
      </c>
      <c r="AE865" t="s">
        <v>14795</v>
      </c>
      <c r="AF865" t="s">
        <v>74</v>
      </c>
      <c r="AG865">
        <v>70</v>
      </c>
      <c r="AH865">
        <v>3</v>
      </c>
      <c r="AI865">
        <v>3</v>
      </c>
      <c r="AJ865">
        <v>10</v>
      </c>
      <c r="AK865">
        <v>23</v>
      </c>
      <c r="AL865" t="s">
        <v>2473</v>
      </c>
      <c r="AM865" t="s">
        <v>2102</v>
      </c>
      <c r="AN865" t="s">
        <v>2474</v>
      </c>
      <c r="AO865" t="s">
        <v>74</v>
      </c>
      <c r="AP865" t="s">
        <v>2475</v>
      </c>
      <c r="AQ865" t="s">
        <v>74</v>
      </c>
      <c r="AR865" t="s">
        <v>2476</v>
      </c>
      <c r="AS865" t="s">
        <v>2477</v>
      </c>
      <c r="AT865" t="s">
        <v>91</v>
      </c>
      <c r="AU865">
        <v>2022</v>
      </c>
      <c r="AV865">
        <v>14</v>
      </c>
      <c r="AW865">
        <v>12</v>
      </c>
      <c r="AX865" t="s">
        <v>74</v>
      </c>
      <c r="AY865" t="s">
        <v>74</v>
      </c>
      <c r="AZ865" t="s">
        <v>74</v>
      </c>
      <c r="BA865" t="s">
        <v>74</v>
      </c>
      <c r="BB865" t="s">
        <v>74</v>
      </c>
      <c r="BC865" t="s">
        <v>74</v>
      </c>
      <c r="BD865">
        <v>7491</v>
      </c>
      <c r="BE865" t="s">
        <v>14796</v>
      </c>
      <c r="BF865" t="str">
        <f>HYPERLINK("http://dx.doi.org/10.3390/su14127491","http://dx.doi.org/10.3390/su14127491")</f>
        <v>http://dx.doi.org/10.3390/su14127491</v>
      </c>
      <c r="BG865" t="s">
        <v>74</v>
      </c>
      <c r="BH865" t="s">
        <v>74</v>
      </c>
      <c r="BI865">
        <v>14</v>
      </c>
      <c r="BJ865" t="s">
        <v>2479</v>
      </c>
      <c r="BK865" t="s">
        <v>147</v>
      </c>
      <c r="BL865" t="s">
        <v>2480</v>
      </c>
      <c r="BM865" t="s">
        <v>14797</v>
      </c>
      <c r="BN865" t="s">
        <v>74</v>
      </c>
      <c r="BO865" t="s">
        <v>2482</v>
      </c>
      <c r="BP865" t="s">
        <v>74</v>
      </c>
      <c r="BQ865" t="s">
        <v>74</v>
      </c>
      <c r="BR865" t="s">
        <v>97</v>
      </c>
      <c r="BS865" t="s">
        <v>14798</v>
      </c>
      <c r="BT865" t="str">
        <f>HYPERLINK("https%3A%2F%2Fwww.webofscience.com%2Fwos%2Fwoscc%2Ffull-record%2FWOS:000816756300001","View Full Record in Web of Science")</f>
        <v>View Full Record in Web of Science</v>
      </c>
    </row>
    <row r="866" spans="1:72" x14ac:dyDescent="0.25">
      <c r="A866" t="s">
        <v>72</v>
      </c>
      <c r="B866" t="s">
        <v>14799</v>
      </c>
      <c r="C866" t="s">
        <v>74</v>
      </c>
      <c r="D866" t="s">
        <v>74</v>
      </c>
      <c r="E866" t="s">
        <v>74</v>
      </c>
      <c r="F866" t="s">
        <v>14800</v>
      </c>
      <c r="G866" t="s">
        <v>74</v>
      </c>
      <c r="H866" t="s">
        <v>74</v>
      </c>
      <c r="I866" t="s">
        <v>14801</v>
      </c>
      <c r="J866" t="s">
        <v>6846</v>
      </c>
      <c r="K866" t="s">
        <v>74</v>
      </c>
      <c r="L866" t="s">
        <v>74</v>
      </c>
      <c r="M866" t="s">
        <v>77</v>
      </c>
      <c r="N866" t="s">
        <v>78</v>
      </c>
      <c r="O866" t="s">
        <v>74</v>
      </c>
      <c r="P866" t="s">
        <v>74</v>
      </c>
      <c r="Q866" t="s">
        <v>74</v>
      </c>
      <c r="R866" t="s">
        <v>74</v>
      </c>
      <c r="S866" t="s">
        <v>74</v>
      </c>
      <c r="T866" t="s">
        <v>14802</v>
      </c>
      <c r="U866" t="s">
        <v>14803</v>
      </c>
      <c r="V866" t="s">
        <v>14804</v>
      </c>
      <c r="W866" t="s">
        <v>14805</v>
      </c>
      <c r="X866" t="s">
        <v>14806</v>
      </c>
      <c r="Y866" t="s">
        <v>14807</v>
      </c>
      <c r="Z866" t="s">
        <v>14808</v>
      </c>
      <c r="AA866" t="s">
        <v>74</v>
      </c>
      <c r="AB866" t="s">
        <v>74</v>
      </c>
      <c r="AC866" t="s">
        <v>14809</v>
      </c>
      <c r="AD866" t="s">
        <v>14810</v>
      </c>
      <c r="AE866" t="s">
        <v>14811</v>
      </c>
      <c r="AF866" t="s">
        <v>74</v>
      </c>
      <c r="AG866">
        <v>77</v>
      </c>
      <c r="AH866">
        <v>3</v>
      </c>
      <c r="AI866">
        <v>3</v>
      </c>
      <c r="AJ866">
        <v>35</v>
      </c>
      <c r="AK866">
        <v>56</v>
      </c>
      <c r="AL866" t="s">
        <v>1099</v>
      </c>
      <c r="AM866" t="s">
        <v>305</v>
      </c>
      <c r="AN866" t="s">
        <v>1100</v>
      </c>
      <c r="AO866" t="s">
        <v>6857</v>
      </c>
      <c r="AP866" t="s">
        <v>6858</v>
      </c>
      <c r="AQ866" t="s">
        <v>74</v>
      </c>
      <c r="AR866" t="s">
        <v>6859</v>
      </c>
      <c r="AS866" t="s">
        <v>6860</v>
      </c>
      <c r="AT866" t="s">
        <v>3472</v>
      </c>
      <c r="AU866">
        <v>2023</v>
      </c>
      <c r="AV866">
        <v>29</v>
      </c>
      <c r="AW866">
        <v>1</v>
      </c>
      <c r="AX866" t="s">
        <v>74</v>
      </c>
      <c r="AY866" t="s">
        <v>74</v>
      </c>
      <c r="AZ866" t="s">
        <v>860</v>
      </c>
      <c r="BA866" t="s">
        <v>74</v>
      </c>
      <c r="BB866">
        <v>114</v>
      </c>
      <c r="BC866">
        <v>135</v>
      </c>
      <c r="BD866" t="s">
        <v>74</v>
      </c>
      <c r="BE866" t="s">
        <v>14812</v>
      </c>
      <c r="BF866" t="str">
        <f>HYPERLINK("http://dx.doi.org/10.1080/13602381.2022.2076446","http://dx.doi.org/10.1080/13602381.2022.2076446")</f>
        <v>http://dx.doi.org/10.1080/13602381.2022.2076446</v>
      </c>
      <c r="BG866" t="s">
        <v>74</v>
      </c>
      <c r="BH866" t="s">
        <v>12534</v>
      </c>
      <c r="BI866">
        <v>22</v>
      </c>
      <c r="BJ866" t="s">
        <v>93</v>
      </c>
      <c r="BK866" t="s">
        <v>94</v>
      </c>
      <c r="BL866" t="s">
        <v>95</v>
      </c>
      <c r="BM866" t="s">
        <v>14813</v>
      </c>
      <c r="BN866" t="s">
        <v>74</v>
      </c>
      <c r="BO866" t="s">
        <v>74</v>
      </c>
      <c r="BP866" t="s">
        <v>74</v>
      </c>
      <c r="BQ866" t="s">
        <v>74</v>
      </c>
      <c r="BR866" t="s">
        <v>97</v>
      </c>
      <c r="BS866" t="s">
        <v>14814</v>
      </c>
      <c r="BT866" t="str">
        <f>HYPERLINK("https%3A%2F%2Fwww.webofscience.com%2Fwos%2Fwoscc%2Ffull-record%2FWOS:000798131400001","View Full Record in Web of Science")</f>
        <v>View Full Record in Web of Science</v>
      </c>
    </row>
    <row r="867" spans="1:72" x14ac:dyDescent="0.25">
      <c r="A867" t="s">
        <v>72</v>
      </c>
      <c r="B867" t="s">
        <v>14815</v>
      </c>
      <c r="C867" t="s">
        <v>74</v>
      </c>
      <c r="D867" t="s">
        <v>74</v>
      </c>
      <c r="E867" t="s">
        <v>74</v>
      </c>
      <c r="F867" t="s">
        <v>14816</v>
      </c>
      <c r="G867" t="s">
        <v>74</v>
      </c>
      <c r="H867" t="s">
        <v>74</v>
      </c>
      <c r="I867" t="s">
        <v>14817</v>
      </c>
      <c r="J867" t="s">
        <v>1600</v>
      </c>
      <c r="K867" t="s">
        <v>74</v>
      </c>
      <c r="L867" t="s">
        <v>74</v>
      </c>
      <c r="M867" t="s">
        <v>77</v>
      </c>
      <c r="N867" t="s">
        <v>10095</v>
      </c>
      <c r="O867" t="s">
        <v>74</v>
      </c>
      <c r="P867" t="s">
        <v>74</v>
      </c>
      <c r="Q867" t="s">
        <v>74</v>
      </c>
      <c r="R867" t="s">
        <v>74</v>
      </c>
      <c r="S867" t="s">
        <v>74</v>
      </c>
      <c r="T867" t="s">
        <v>14818</v>
      </c>
      <c r="U867" t="s">
        <v>14819</v>
      </c>
      <c r="V867" t="s">
        <v>14820</v>
      </c>
      <c r="W867" t="s">
        <v>14821</v>
      </c>
      <c r="X867" t="s">
        <v>14822</v>
      </c>
      <c r="Y867" t="s">
        <v>14823</v>
      </c>
      <c r="Z867" t="s">
        <v>14824</v>
      </c>
      <c r="AA867" t="s">
        <v>74</v>
      </c>
      <c r="AB867" t="s">
        <v>74</v>
      </c>
      <c r="AC867" t="s">
        <v>14825</v>
      </c>
      <c r="AD867" t="s">
        <v>14826</v>
      </c>
      <c r="AE867" t="s">
        <v>14827</v>
      </c>
      <c r="AF867" t="s">
        <v>74</v>
      </c>
      <c r="AG867">
        <v>94</v>
      </c>
      <c r="AH867">
        <v>3</v>
      </c>
      <c r="AI867">
        <v>3</v>
      </c>
      <c r="AJ867">
        <v>35</v>
      </c>
      <c r="AK867">
        <v>88</v>
      </c>
      <c r="AL867" t="s">
        <v>1099</v>
      </c>
      <c r="AM867" t="s">
        <v>305</v>
      </c>
      <c r="AN867" t="s">
        <v>1100</v>
      </c>
      <c r="AO867" t="s">
        <v>1610</v>
      </c>
      <c r="AP867" t="s">
        <v>1611</v>
      </c>
      <c r="AQ867" t="s">
        <v>74</v>
      </c>
      <c r="AR867" t="s">
        <v>1612</v>
      </c>
      <c r="AS867" t="s">
        <v>1613</v>
      </c>
      <c r="AT867" t="s">
        <v>74</v>
      </c>
      <c r="AU867" t="s">
        <v>74</v>
      </c>
      <c r="AV867" t="s">
        <v>74</v>
      </c>
      <c r="AW867" t="s">
        <v>74</v>
      </c>
      <c r="AX867" t="s">
        <v>74</v>
      </c>
      <c r="AY867" t="s">
        <v>74</v>
      </c>
      <c r="AZ867" t="s">
        <v>74</v>
      </c>
      <c r="BA867" t="s">
        <v>74</v>
      </c>
      <c r="BB867" t="s">
        <v>74</v>
      </c>
      <c r="BC867" t="s">
        <v>74</v>
      </c>
      <c r="BD867" t="s">
        <v>74</v>
      </c>
      <c r="BE867" t="s">
        <v>14828</v>
      </c>
      <c r="BF867" t="str">
        <f>HYPERLINK("http://dx.doi.org/10.1080/09585192.2022.2078992","http://dx.doi.org/10.1080/09585192.2022.2078992")</f>
        <v>http://dx.doi.org/10.1080/09585192.2022.2078992</v>
      </c>
      <c r="BG867" t="s">
        <v>74</v>
      </c>
      <c r="BH867" t="s">
        <v>12534</v>
      </c>
      <c r="BI867">
        <v>25</v>
      </c>
      <c r="BJ867" t="s">
        <v>442</v>
      </c>
      <c r="BK867" t="s">
        <v>94</v>
      </c>
      <c r="BL867" t="s">
        <v>95</v>
      </c>
      <c r="BM867" t="s">
        <v>14829</v>
      </c>
      <c r="BN867" t="s">
        <v>74</v>
      </c>
      <c r="BO867" t="s">
        <v>74</v>
      </c>
      <c r="BP867" t="s">
        <v>74</v>
      </c>
      <c r="BQ867" t="s">
        <v>74</v>
      </c>
      <c r="BR867" t="s">
        <v>97</v>
      </c>
      <c r="BS867" t="s">
        <v>14830</v>
      </c>
      <c r="BT867" t="str">
        <f>HYPERLINK("https%3A%2F%2Fwww.webofscience.com%2Fwos%2Fwoscc%2Ffull-record%2FWOS:000799851500001","View Full Record in Web of Science")</f>
        <v>View Full Record in Web of Science</v>
      </c>
    </row>
    <row r="868" spans="1:72" x14ac:dyDescent="0.25">
      <c r="A868" t="s">
        <v>72</v>
      </c>
      <c r="B868" t="s">
        <v>14831</v>
      </c>
      <c r="C868" t="s">
        <v>74</v>
      </c>
      <c r="D868" t="s">
        <v>74</v>
      </c>
      <c r="E868" t="s">
        <v>74</v>
      </c>
      <c r="F868" t="s">
        <v>14832</v>
      </c>
      <c r="G868" t="s">
        <v>74</v>
      </c>
      <c r="H868" t="s">
        <v>74</v>
      </c>
      <c r="I868" t="s">
        <v>14833</v>
      </c>
      <c r="J868" t="s">
        <v>3184</v>
      </c>
      <c r="K868" t="s">
        <v>74</v>
      </c>
      <c r="L868" t="s">
        <v>74</v>
      </c>
      <c r="M868" t="s">
        <v>77</v>
      </c>
      <c r="N868" t="s">
        <v>78</v>
      </c>
      <c r="O868" t="s">
        <v>74</v>
      </c>
      <c r="P868" t="s">
        <v>74</v>
      </c>
      <c r="Q868" t="s">
        <v>74</v>
      </c>
      <c r="R868" t="s">
        <v>74</v>
      </c>
      <c r="S868" t="s">
        <v>74</v>
      </c>
      <c r="T868" t="s">
        <v>14834</v>
      </c>
      <c r="U868" t="s">
        <v>14835</v>
      </c>
      <c r="V868" t="s">
        <v>14836</v>
      </c>
      <c r="W868" t="s">
        <v>14837</v>
      </c>
      <c r="X868" t="s">
        <v>14838</v>
      </c>
      <c r="Y868" t="s">
        <v>14839</v>
      </c>
      <c r="Z868" t="s">
        <v>14840</v>
      </c>
      <c r="AA868" t="s">
        <v>14841</v>
      </c>
      <c r="AB868" t="s">
        <v>14842</v>
      </c>
      <c r="AC868" t="s">
        <v>74</v>
      </c>
      <c r="AD868" t="s">
        <v>74</v>
      </c>
      <c r="AE868" t="s">
        <v>74</v>
      </c>
      <c r="AF868" t="s">
        <v>74</v>
      </c>
      <c r="AG868">
        <v>93</v>
      </c>
      <c r="AH868">
        <v>3</v>
      </c>
      <c r="AI868">
        <v>3</v>
      </c>
      <c r="AJ868">
        <v>9</v>
      </c>
      <c r="AK868">
        <v>13</v>
      </c>
      <c r="AL868" t="s">
        <v>3195</v>
      </c>
      <c r="AM868" t="s">
        <v>3196</v>
      </c>
      <c r="AN868" t="s">
        <v>3197</v>
      </c>
      <c r="AO868" t="s">
        <v>3198</v>
      </c>
      <c r="AP868" t="s">
        <v>74</v>
      </c>
      <c r="AQ868" t="s">
        <v>74</v>
      </c>
      <c r="AR868" t="s">
        <v>3199</v>
      </c>
      <c r="AS868" t="s">
        <v>3200</v>
      </c>
      <c r="AT868" t="s">
        <v>14843</v>
      </c>
      <c r="AU868">
        <v>2022</v>
      </c>
      <c r="AV868">
        <v>13</v>
      </c>
      <c r="AW868" t="s">
        <v>74</v>
      </c>
      <c r="AX868" t="s">
        <v>74</v>
      </c>
      <c r="AY868" t="s">
        <v>74</v>
      </c>
      <c r="AZ868" t="s">
        <v>74</v>
      </c>
      <c r="BA868" t="s">
        <v>74</v>
      </c>
      <c r="BB868" t="s">
        <v>74</v>
      </c>
      <c r="BC868" t="s">
        <v>74</v>
      </c>
      <c r="BD868">
        <v>685621</v>
      </c>
      <c r="BE868" t="s">
        <v>14844</v>
      </c>
      <c r="BF868" t="str">
        <f>HYPERLINK("http://dx.doi.org/10.3389/fpsyg.2022.685621","http://dx.doi.org/10.3389/fpsyg.2022.685621")</f>
        <v>http://dx.doi.org/10.3389/fpsyg.2022.685621</v>
      </c>
      <c r="BG868" t="s">
        <v>74</v>
      </c>
      <c r="BH868" t="s">
        <v>74</v>
      </c>
      <c r="BI868">
        <v>9</v>
      </c>
      <c r="BJ868" t="s">
        <v>3203</v>
      </c>
      <c r="BK868" t="s">
        <v>94</v>
      </c>
      <c r="BL868" t="s">
        <v>460</v>
      </c>
      <c r="BM868" t="s">
        <v>14845</v>
      </c>
      <c r="BN868">
        <v>35664153</v>
      </c>
      <c r="BO868" t="s">
        <v>4398</v>
      </c>
      <c r="BP868" t="s">
        <v>74</v>
      </c>
      <c r="BQ868" t="s">
        <v>74</v>
      </c>
      <c r="BR868" t="s">
        <v>97</v>
      </c>
      <c r="BS868" t="s">
        <v>14846</v>
      </c>
      <c r="BT868" t="str">
        <f>HYPERLINK("https%3A%2F%2Fwww.webofscience.com%2Fwos%2Fwoscc%2Ffull-record%2FWOS:000804815200001","View Full Record in Web of Science")</f>
        <v>View Full Record in Web of Science</v>
      </c>
    </row>
    <row r="869" spans="1:72" x14ac:dyDescent="0.25">
      <c r="A869" t="s">
        <v>72</v>
      </c>
      <c r="B869" t="s">
        <v>14847</v>
      </c>
      <c r="C869" t="s">
        <v>74</v>
      </c>
      <c r="D869" t="s">
        <v>74</v>
      </c>
      <c r="E869" t="s">
        <v>74</v>
      </c>
      <c r="F869" t="s">
        <v>14848</v>
      </c>
      <c r="G869" t="s">
        <v>74</v>
      </c>
      <c r="H869" t="s">
        <v>74</v>
      </c>
      <c r="I869" t="s">
        <v>14849</v>
      </c>
      <c r="J869" t="s">
        <v>14850</v>
      </c>
      <c r="K869" t="s">
        <v>74</v>
      </c>
      <c r="L869" t="s">
        <v>74</v>
      </c>
      <c r="M869" t="s">
        <v>77</v>
      </c>
      <c r="N869" t="s">
        <v>78</v>
      </c>
      <c r="O869" t="s">
        <v>74</v>
      </c>
      <c r="P869" t="s">
        <v>74</v>
      </c>
      <c r="Q869" t="s">
        <v>74</v>
      </c>
      <c r="R869" t="s">
        <v>74</v>
      </c>
      <c r="S869" t="s">
        <v>74</v>
      </c>
      <c r="T869" t="s">
        <v>14851</v>
      </c>
      <c r="U869" t="s">
        <v>14852</v>
      </c>
      <c r="V869" t="s">
        <v>14853</v>
      </c>
      <c r="W869" t="s">
        <v>14854</v>
      </c>
      <c r="X869" t="s">
        <v>14855</v>
      </c>
      <c r="Y869" t="s">
        <v>14856</v>
      </c>
      <c r="Z869" t="s">
        <v>14857</v>
      </c>
      <c r="AA869" t="s">
        <v>74</v>
      </c>
      <c r="AB869" t="s">
        <v>14858</v>
      </c>
      <c r="AC869" t="s">
        <v>14859</v>
      </c>
      <c r="AD869" t="s">
        <v>14859</v>
      </c>
      <c r="AE869" t="s">
        <v>14860</v>
      </c>
      <c r="AF869" t="s">
        <v>74</v>
      </c>
      <c r="AG869">
        <v>67</v>
      </c>
      <c r="AH869">
        <v>3</v>
      </c>
      <c r="AI869">
        <v>3</v>
      </c>
      <c r="AJ869">
        <v>16</v>
      </c>
      <c r="AK869">
        <v>38</v>
      </c>
      <c r="AL869" t="s">
        <v>1099</v>
      </c>
      <c r="AM869" t="s">
        <v>305</v>
      </c>
      <c r="AN869" t="s">
        <v>1100</v>
      </c>
      <c r="AO869" t="s">
        <v>14861</v>
      </c>
      <c r="AP869" t="s">
        <v>14862</v>
      </c>
      <c r="AQ869" t="s">
        <v>74</v>
      </c>
      <c r="AR869" t="s">
        <v>14863</v>
      </c>
      <c r="AS869" t="s">
        <v>14864</v>
      </c>
      <c r="AT869" t="s">
        <v>1717</v>
      </c>
      <c r="AU869">
        <v>2023</v>
      </c>
      <c r="AV869">
        <v>30</v>
      </c>
      <c r="AW869">
        <v>1</v>
      </c>
      <c r="AX869" t="s">
        <v>74</v>
      </c>
      <c r="AY869" t="s">
        <v>74</v>
      </c>
      <c r="AZ869" t="s">
        <v>860</v>
      </c>
      <c r="BA869" t="s">
        <v>74</v>
      </c>
      <c r="BB869">
        <v>42</v>
      </c>
      <c r="BC869">
        <v>66</v>
      </c>
      <c r="BD869" t="s">
        <v>74</v>
      </c>
      <c r="BE869" t="s">
        <v>14865</v>
      </c>
      <c r="BF869" t="str">
        <f>HYPERLINK("http://dx.doi.org/10.1080/13662716.2022.2072711","http://dx.doi.org/10.1080/13662716.2022.2072711")</f>
        <v>http://dx.doi.org/10.1080/13662716.2022.2072711</v>
      </c>
      <c r="BG869" t="s">
        <v>74</v>
      </c>
      <c r="BH869" t="s">
        <v>12534</v>
      </c>
      <c r="BI869">
        <v>25</v>
      </c>
      <c r="BJ869" t="s">
        <v>7947</v>
      </c>
      <c r="BK869" t="s">
        <v>94</v>
      </c>
      <c r="BL869" t="s">
        <v>95</v>
      </c>
      <c r="BM869" t="s">
        <v>14866</v>
      </c>
      <c r="BN869" t="s">
        <v>74</v>
      </c>
      <c r="BO869" t="s">
        <v>408</v>
      </c>
      <c r="BP869" t="s">
        <v>74</v>
      </c>
      <c r="BQ869" t="s">
        <v>74</v>
      </c>
      <c r="BR869" t="s">
        <v>97</v>
      </c>
      <c r="BS869" t="s">
        <v>14867</v>
      </c>
      <c r="BT869" t="str">
        <f>HYPERLINK("https%3A%2F%2Fwww.webofscience.com%2Fwos%2Fwoscc%2Ffull-record%2FWOS:000791894500001","View Full Record in Web of Science")</f>
        <v>View Full Record in Web of Science</v>
      </c>
    </row>
    <row r="870" spans="1:72" x14ac:dyDescent="0.25">
      <c r="A870" t="s">
        <v>72</v>
      </c>
      <c r="B870" t="s">
        <v>14868</v>
      </c>
      <c r="C870" t="s">
        <v>74</v>
      </c>
      <c r="D870" t="s">
        <v>74</v>
      </c>
      <c r="E870" t="s">
        <v>74</v>
      </c>
      <c r="F870" t="s">
        <v>14869</v>
      </c>
      <c r="G870" t="s">
        <v>74</v>
      </c>
      <c r="H870" t="s">
        <v>74</v>
      </c>
      <c r="I870" t="s">
        <v>14870</v>
      </c>
      <c r="J870" t="s">
        <v>4603</v>
      </c>
      <c r="K870" t="s">
        <v>74</v>
      </c>
      <c r="L870" t="s">
        <v>74</v>
      </c>
      <c r="M870" t="s">
        <v>77</v>
      </c>
      <c r="N870" t="s">
        <v>78</v>
      </c>
      <c r="O870" t="s">
        <v>74</v>
      </c>
      <c r="P870" t="s">
        <v>74</v>
      </c>
      <c r="Q870" t="s">
        <v>74</v>
      </c>
      <c r="R870" t="s">
        <v>74</v>
      </c>
      <c r="S870" t="s">
        <v>74</v>
      </c>
      <c r="T870" t="s">
        <v>14871</v>
      </c>
      <c r="U870" t="s">
        <v>14872</v>
      </c>
      <c r="V870" t="s">
        <v>14873</v>
      </c>
      <c r="W870" t="s">
        <v>14874</v>
      </c>
      <c r="X870" t="s">
        <v>14875</v>
      </c>
      <c r="Y870" t="s">
        <v>14876</v>
      </c>
      <c r="Z870" t="s">
        <v>9339</v>
      </c>
      <c r="AA870" t="s">
        <v>74</v>
      </c>
      <c r="AB870" t="s">
        <v>14877</v>
      </c>
      <c r="AC870" t="s">
        <v>74</v>
      </c>
      <c r="AD870" t="s">
        <v>74</v>
      </c>
      <c r="AE870" t="s">
        <v>74</v>
      </c>
      <c r="AF870" t="s">
        <v>74</v>
      </c>
      <c r="AG870">
        <v>81</v>
      </c>
      <c r="AH870">
        <v>3</v>
      </c>
      <c r="AI870">
        <v>3</v>
      </c>
      <c r="AJ870">
        <v>19</v>
      </c>
      <c r="AK870">
        <v>50</v>
      </c>
      <c r="AL870" t="s">
        <v>665</v>
      </c>
      <c r="AM870" t="s">
        <v>666</v>
      </c>
      <c r="AN870" t="s">
        <v>667</v>
      </c>
      <c r="AO870" t="s">
        <v>4613</v>
      </c>
      <c r="AP870" t="s">
        <v>4614</v>
      </c>
      <c r="AQ870" t="s">
        <v>74</v>
      </c>
      <c r="AR870" t="s">
        <v>4615</v>
      </c>
      <c r="AS870" t="s">
        <v>4616</v>
      </c>
      <c r="AT870" t="s">
        <v>14878</v>
      </c>
      <c r="AU870">
        <v>2022</v>
      </c>
      <c r="AV870">
        <v>44</v>
      </c>
      <c r="AW870">
        <v>6</v>
      </c>
      <c r="AX870" t="s">
        <v>74</v>
      </c>
      <c r="AY870" t="s">
        <v>74</v>
      </c>
      <c r="AZ870" t="s">
        <v>74</v>
      </c>
      <c r="BA870" t="s">
        <v>74</v>
      </c>
      <c r="BB870">
        <v>1355</v>
      </c>
      <c r="BC870">
        <v>1371</v>
      </c>
      <c r="BD870" t="s">
        <v>74</v>
      </c>
      <c r="BE870" t="s">
        <v>14879</v>
      </c>
      <c r="BF870" t="str">
        <f>HYPERLINK("http://dx.doi.org/10.1108/ER-01-2021-0032","http://dx.doi.org/10.1108/ER-01-2021-0032")</f>
        <v>http://dx.doi.org/10.1108/ER-01-2021-0032</v>
      </c>
      <c r="BG870" t="s">
        <v>74</v>
      </c>
      <c r="BH870" t="s">
        <v>12534</v>
      </c>
      <c r="BI870">
        <v>17</v>
      </c>
      <c r="BJ870" t="s">
        <v>673</v>
      </c>
      <c r="BK870" t="s">
        <v>94</v>
      </c>
      <c r="BL870" t="s">
        <v>95</v>
      </c>
      <c r="BM870" t="s">
        <v>14880</v>
      </c>
      <c r="BN870" t="s">
        <v>74</v>
      </c>
      <c r="BO870" t="s">
        <v>74</v>
      </c>
      <c r="BP870" t="s">
        <v>74</v>
      </c>
      <c r="BQ870" t="s">
        <v>74</v>
      </c>
      <c r="BR870" t="s">
        <v>97</v>
      </c>
      <c r="BS870" t="s">
        <v>14881</v>
      </c>
      <c r="BT870" t="str">
        <f>HYPERLINK("https%3A%2F%2Fwww.webofscience.com%2Fwos%2Fwoscc%2Ffull-record%2FWOS:000791138800001","View Full Record in Web of Science")</f>
        <v>View Full Record in Web of Science</v>
      </c>
    </row>
    <row r="871" spans="1:72" x14ac:dyDescent="0.25">
      <c r="A871" t="s">
        <v>72</v>
      </c>
      <c r="B871" t="s">
        <v>14882</v>
      </c>
      <c r="C871" t="s">
        <v>74</v>
      </c>
      <c r="D871" t="s">
        <v>74</v>
      </c>
      <c r="E871" t="s">
        <v>74</v>
      </c>
      <c r="F871" t="s">
        <v>14883</v>
      </c>
      <c r="G871" t="s">
        <v>74</v>
      </c>
      <c r="H871" t="s">
        <v>74</v>
      </c>
      <c r="I871" t="s">
        <v>14884</v>
      </c>
      <c r="J871" t="s">
        <v>14885</v>
      </c>
      <c r="K871" t="s">
        <v>74</v>
      </c>
      <c r="L871" t="s">
        <v>74</v>
      </c>
      <c r="M871" t="s">
        <v>77</v>
      </c>
      <c r="N871" t="s">
        <v>78</v>
      </c>
      <c r="O871" t="s">
        <v>74</v>
      </c>
      <c r="P871" t="s">
        <v>74</v>
      </c>
      <c r="Q871" t="s">
        <v>74</v>
      </c>
      <c r="R871" t="s">
        <v>74</v>
      </c>
      <c r="S871" t="s">
        <v>74</v>
      </c>
      <c r="T871" t="s">
        <v>14886</v>
      </c>
      <c r="U871" t="s">
        <v>14887</v>
      </c>
      <c r="V871" t="s">
        <v>14888</v>
      </c>
      <c r="W871" t="s">
        <v>14889</v>
      </c>
      <c r="X871" t="s">
        <v>14890</v>
      </c>
      <c r="Y871" t="s">
        <v>14891</v>
      </c>
      <c r="Z871" t="s">
        <v>14892</v>
      </c>
      <c r="AA871" t="s">
        <v>74</v>
      </c>
      <c r="AB871" t="s">
        <v>14893</v>
      </c>
      <c r="AC871" t="s">
        <v>9255</v>
      </c>
      <c r="AD871" t="s">
        <v>9256</v>
      </c>
      <c r="AE871" t="s">
        <v>14894</v>
      </c>
      <c r="AF871" t="s">
        <v>74</v>
      </c>
      <c r="AG871">
        <v>141</v>
      </c>
      <c r="AH871">
        <v>3</v>
      </c>
      <c r="AI871">
        <v>3</v>
      </c>
      <c r="AJ871">
        <v>20</v>
      </c>
      <c r="AK871">
        <v>49</v>
      </c>
      <c r="AL871" t="s">
        <v>665</v>
      </c>
      <c r="AM871" t="s">
        <v>666</v>
      </c>
      <c r="AN871" t="s">
        <v>667</v>
      </c>
      <c r="AO871" t="s">
        <v>14895</v>
      </c>
      <c r="AP871" t="s">
        <v>74</v>
      </c>
      <c r="AQ871" t="s">
        <v>74</v>
      </c>
      <c r="AR871" t="s">
        <v>14896</v>
      </c>
      <c r="AS871" t="s">
        <v>14897</v>
      </c>
      <c r="AT871" t="s">
        <v>7456</v>
      </c>
      <c r="AU871">
        <v>2023</v>
      </c>
      <c r="AV871">
        <v>37</v>
      </c>
      <c r="AW871">
        <v>4</v>
      </c>
      <c r="AX871" t="s">
        <v>74</v>
      </c>
      <c r="AY871" t="s">
        <v>74</v>
      </c>
      <c r="AZ871" t="s">
        <v>74</v>
      </c>
      <c r="BA871" t="s">
        <v>74</v>
      </c>
      <c r="BB871">
        <v>446</v>
      </c>
      <c r="BC871">
        <v>463</v>
      </c>
      <c r="BD871" t="s">
        <v>74</v>
      </c>
      <c r="BE871" t="s">
        <v>14898</v>
      </c>
      <c r="BF871" t="str">
        <f>HYPERLINK("http://dx.doi.org/10.1108/JSM-07-2021-0276","http://dx.doi.org/10.1108/JSM-07-2021-0276")</f>
        <v>http://dx.doi.org/10.1108/JSM-07-2021-0276</v>
      </c>
      <c r="BG871" t="s">
        <v>74</v>
      </c>
      <c r="BH871" t="s">
        <v>11990</v>
      </c>
      <c r="BI871">
        <v>18</v>
      </c>
      <c r="BJ871" t="s">
        <v>337</v>
      </c>
      <c r="BK871" t="s">
        <v>94</v>
      </c>
      <c r="BL871" t="s">
        <v>95</v>
      </c>
      <c r="BM871" t="s">
        <v>14899</v>
      </c>
      <c r="BN871" t="s">
        <v>74</v>
      </c>
      <c r="BO871" t="s">
        <v>74</v>
      </c>
      <c r="BP871" t="s">
        <v>74</v>
      </c>
      <c r="BQ871" t="s">
        <v>74</v>
      </c>
      <c r="BR871" t="s">
        <v>97</v>
      </c>
      <c r="BS871" t="s">
        <v>14900</v>
      </c>
      <c r="BT871" t="str">
        <f>HYPERLINK("https%3A%2F%2Fwww.webofscience.com%2Fwos%2Fwoscc%2Ffull-record%2FWOS:000782616300001","View Full Record in Web of Science")</f>
        <v>View Full Record in Web of Science</v>
      </c>
    </row>
    <row r="872" spans="1:72" x14ac:dyDescent="0.25">
      <c r="A872" t="s">
        <v>72</v>
      </c>
      <c r="B872" t="s">
        <v>14901</v>
      </c>
      <c r="C872" t="s">
        <v>74</v>
      </c>
      <c r="D872" t="s">
        <v>74</v>
      </c>
      <c r="E872" t="s">
        <v>74</v>
      </c>
      <c r="F872" t="s">
        <v>14902</v>
      </c>
      <c r="G872" t="s">
        <v>74</v>
      </c>
      <c r="H872" t="s">
        <v>74</v>
      </c>
      <c r="I872" t="s">
        <v>14903</v>
      </c>
      <c r="J872" t="s">
        <v>3184</v>
      </c>
      <c r="K872" t="s">
        <v>74</v>
      </c>
      <c r="L872" t="s">
        <v>74</v>
      </c>
      <c r="M872" t="s">
        <v>77</v>
      </c>
      <c r="N872" t="s">
        <v>78</v>
      </c>
      <c r="O872" t="s">
        <v>74</v>
      </c>
      <c r="P872" t="s">
        <v>74</v>
      </c>
      <c r="Q872" t="s">
        <v>74</v>
      </c>
      <c r="R872" t="s">
        <v>74</v>
      </c>
      <c r="S872" t="s">
        <v>74</v>
      </c>
      <c r="T872" t="s">
        <v>14904</v>
      </c>
      <c r="U872" t="s">
        <v>14905</v>
      </c>
      <c r="V872" t="s">
        <v>14906</v>
      </c>
      <c r="W872" t="s">
        <v>14907</v>
      </c>
      <c r="X872" t="s">
        <v>14908</v>
      </c>
      <c r="Y872" t="s">
        <v>14909</v>
      </c>
      <c r="Z872" t="s">
        <v>14910</v>
      </c>
      <c r="AA872" t="s">
        <v>14911</v>
      </c>
      <c r="AB872" t="s">
        <v>14912</v>
      </c>
      <c r="AC872" t="s">
        <v>14913</v>
      </c>
      <c r="AD872" t="s">
        <v>14914</v>
      </c>
      <c r="AE872" t="s">
        <v>14915</v>
      </c>
      <c r="AF872" t="s">
        <v>74</v>
      </c>
      <c r="AG872">
        <v>90</v>
      </c>
      <c r="AH872">
        <v>3</v>
      </c>
      <c r="AI872">
        <v>3</v>
      </c>
      <c r="AJ872">
        <v>16</v>
      </c>
      <c r="AK872">
        <v>45</v>
      </c>
      <c r="AL872" t="s">
        <v>3195</v>
      </c>
      <c r="AM872" t="s">
        <v>3196</v>
      </c>
      <c r="AN872" t="s">
        <v>3197</v>
      </c>
      <c r="AO872" t="s">
        <v>3198</v>
      </c>
      <c r="AP872" t="s">
        <v>74</v>
      </c>
      <c r="AQ872" t="s">
        <v>74</v>
      </c>
      <c r="AR872" t="s">
        <v>3199</v>
      </c>
      <c r="AS872" t="s">
        <v>3200</v>
      </c>
      <c r="AT872" t="s">
        <v>7986</v>
      </c>
      <c r="AU872">
        <v>2022</v>
      </c>
      <c r="AV872">
        <v>13</v>
      </c>
      <c r="AW872" t="s">
        <v>74</v>
      </c>
      <c r="AX872" t="s">
        <v>74</v>
      </c>
      <c r="AY872" t="s">
        <v>74</v>
      </c>
      <c r="AZ872" t="s">
        <v>74</v>
      </c>
      <c r="BA872" t="s">
        <v>74</v>
      </c>
      <c r="BB872" t="s">
        <v>74</v>
      </c>
      <c r="BC872" t="s">
        <v>74</v>
      </c>
      <c r="BD872">
        <v>831060</v>
      </c>
      <c r="BE872" t="s">
        <v>14916</v>
      </c>
      <c r="BF872" t="str">
        <f>HYPERLINK("http://dx.doi.org/10.3389/fpsyg.2022.831060","http://dx.doi.org/10.3389/fpsyg.2022.831060")</f>
        <v>http://dx.doi.org/10.3389/fpsyg.2022.831060</v>
      </c>
      <c r="BG872" t="s">
        <v>74</v>
      </c>
      <c r="BH872" t="s">
        <v>74</v>
      </c>
      <c r="BI872">
        <v>12</v>
      </c>
      <c r="BJ872" t="s">
        <v>3203</v>
      </c>
      <c r="BK872" t="s">
        <v>94</v>
      </c>
      <c r="BL872" t="s">
        <v>460</v>
      </c>
      <c r="BM872" t="s">
        <v>14917</v>
      </c>
      <c r="BN872">
        <v>35465551</v>
      </c>
      <c r="BO872" t="s">
        <v>4398</v>
      </c>
      <c r="BP872" t="s">
        <v>74</v>
      </c>
      <c r="BQ872" t="s">
        <v>74</v>
      </c>
      <c r="BR872" t="s">
        <v>97</v>
      </c>
      <c r="BS872" t="s">
        <v>14918</v>
      </c>
      <c r="BT872" t="str">
        <f>HYPERLINK("https%3A%2F%2Fwww.webofscience.com%2Fwos%2Fwoscc%2Ffull-record%2FWOS:000792008300001","View Full Record in Web of Science")</f>
        <v>View Full Record in Web of Science</v>
      </c>
    </row>
    <row r="873" spans="1:72" x14ac:dyDescent="0.25">
      <c r="A873" t="s">
        <v>72</v>
      </c>
      <c r="B873" t="s">
        <v>14919</v>
      </c>
      <c r="C873" t="s">
        <v>74</v>
      </c>
      <c r="D873" t="s">
        <v>74</v>
      </c>
      <c r="E873" t="s">
        <v>74</v>
      </c>
      <c r="F873" t="s">
        <v>14920</v>
      </c>
      <c r="G873" t="s">
        <v>74</v>
      </c>
      <c r="H873" t="s">
        <v>74</v>
      </c>
      <c r="I873" t="s">
        <v>14921</v>
      </c>
      <c r="J873" t="s">
        <v>2502</v>
      </c>
      <c r="K873" t="s">
        <v>74</v>
      </c>
      <c r="L873" t="s">
        <v>74</v>
      </c>
      <c r="M873" t="s">
        <v>77</v>
      </c>
      <c r="N873" t="s">
        <v>10095</v>
      </c>
      <c r="O873" t="s">
        <v>74</v>
      </c>
      <c r="P873" t="s">
        <v>74</v>
      </c>
      <c r="Q873" t="s">
        <v>74</v>
      </c>
      <c r="R873" t="s">
        <v>74</v>
      </c>
      <c r="S873" t="s">
        <v>74</v>
      </c>
      <c r="T873" t="s">
        <v>14922</v>
      </c>
      <c r="U873" t="s">
        <v>14923</v>
      </c>
      <c r="V873" t="s">
        <v>14924</v>
      </c>
      <c r="W873" t="s">
        <v>14925</v>
      </c>
      <c r="X873" t="s">
        <v>14926</v>
      </c>
      <c r="Y873" t="s">
        <v>14927</v>
      </c>
      <c r="Z873" t="s">
        <v>14928</v>
      </c>
      <c r="AA873" t="s">
        <v>74</v>
      </c>
      <c r="AB873" t="s">
        <v>14929</v>
      </c>
      <c r="AC873" t="s">
        <v>14930</v>
      </c>
      <c r="AD873" t="s">
        <v>14931</v>
      </c>
      <c r="AE873" t="s">
        <v>14932</v>
      </c>
      <c r="AF873" t="s">
        <v>74</v>
      </c>
      <c r="AG873">
        <v>53</v>
      </c>
      <c r="AH873">
        <v>3</v>
      </c>
      <c r="AI873">
        <v>3</v>
      </c>
      <c r="AJ873">
        <v>19</v>
      </c>
      <c r="AK873">
        <v>52</v>
      </c>
      <c r="AL873" t="s">
        <v>665</v>
      </c>
      <c r="AM873" t="s">
        <v>666</v>
      </c>
      <c r="AN873" t="s">
        <v>667</v>
      </c>
      <c r="AO873" t="s">
        <v>2510</v>
      </c>
      <c r="AP873" t="s">
        <v>2511</v>
      </c>
      <c r="AQ873" t="s">
        <v>74</v>
      </c>
      <c r="AR873" t="s">
        <v>2512</v>
      </c>
      <c r="AS873" t="s">
        <v>2513</v>
      </c>
      <c r="AT873" t="s">
        <v>74</v>
      </c>
      <c r="AU873" t="s">
        <v>74</v>
      </c>
      <c r="AV873" t="s">
        <v>74</v>
      </c>
      <c r="AW873" t="s">
        <v>74</v>
      </c>
      <c r="AX873" t="s">
        <v>74</v>
      </c>
      <c r="AY873" t="s">
        <v>74</v>
      </c>
      <c r="AZ873" t="s">
        <v>74</v>
      </c>
      <c r="BA873" t="s">
        <v>74</v>
      </c>
      <c r="BB873" t="s">
        <v>74</v>
      </c>
      <c r="BC873" t="s">
        <v>74</v>
      </c>
      <c r="BD873" t="s">
        <v>74</v>
      </c>
      <c r="BE873" t="s">
        <v>14933</v>
      </c>
      <c r="BF873" t="str">
        <f>HYPERLINK("http://dx.doi.org/10.1108/PR-04-2021-0280","http://dx.doi.org/10.1108/PR-04-2021-0280")</f>
        <v>http://dx.doi.org/10.1108/PR-04-2021-0280</v>
      </c>
      <c r="BG873" t="s">
        <v>74</v>
      </c>
      <c r="BH873" t="s">
        <v>11990</v>
      </c>
      <c r="BI873">
        <v>23</v>
      </c>
      <c r="BJ873" t="s">
        <v>2515</v>
      </c>
      <c r="BK873" t="s">
        <v>94</v>
      </c>
      <c r="BL873" t="s">
        <v>227</v>
      </c>
      <c r="BM873" t="s">
        <v>14934</v>
      </c>
      <c r="BN873" t="s">
        <v>74</v>
      </c>
      <c r="BO873" t="s">
        <v>74</v>
      </c>
      <c r="BP873" t="s">
        <v>74</v>
      </c>
      <c r="BQ873" t="s">
        <v>74</v>
      </c>
      <c r="BR873" t="s">
        <v>97</v>
      </c>
      <c r="BS873" t="s">
        <v>14935</v>
      </c>
      <c r="BT873" t="str">
        <f>HYPERLINK("https%3A%2F%2Fwww.webofscience.com%2Fwos%2Fwoscc%2Ffull-record%2FWOS:000776442500001","View Full Record in Web of Science")</f>
        <v>View Full Record in Web of Science</v>
      </c>
    </row>
    <row r="874" spans="1:72" x14ac:dyDescent="0.25">
      <c r="A874" t="s">
        <v>72</v>
      </c>
      <c r="B874" t="s">
        <v>14936</v>
      </c>
      <c r="C874" t="s">
        <v>74</v>
      </c>
      <c r="D874" t="s">
        <v>74</v>
      </c>
      <c r="E874" t="s">
        <v>74</v>
      </c>
      <c r="F874" t="s">
        <v>14937</v>
      </c>
      <c r="G874" t="s">
        <v>74</v>
      </c>
      <c r="H874" t="s">
        <v>74</v>
      </c>
      <c r="I874" t="s">
        <v>14938</v>
      </c>
      <c r="J874" t="s">
        <v>1290</v>
      </c>
      <c r="K874" t="s">
        <v>74</v>
      </c>
      <c r="L874" t="s">
        <v>74</v>
      </c>
      <c r="M874" t="s">
        <v>77</v>
      </c>
      <c r="N874" t="s">
        <v>78</v>
      </c>
      <c r="O874" t="s">
        <v>74</v>
      </c>
      <c r="P874" t="s">
        <v>74</v>
      </c>
      <c r="Q874" t="s">
        <v>74</v>
      </c>
      <c r="R874" t="s">
        <v>74</v>
      </c>
      <c r="S874" t="s">
        <v>74</v>
      </c>
      <c r="T874" t="s">
        <v>14939</v>
      </c>
      <c r="U874" t="s">
        <v>14940</v>
      </c>
      <c r="V874" t="s">
        <v>14941</v>
      </c>
      <c r="W874" t="s">
        <v>14942</v>
      </c>
      <c r="X874" t="s">
        <v>14943</v>
      </c>
      <c r="Y874" t="s">
        <v>14944</v>
      </c>
      <c r="Z874" t="s">
        <v>14945</v>
      </c>
      <c r="AA874" t="s">
        <v>74</v>
      </c>
      <c r="AB874" t="s">
        <v>14946</v>
      </c>
      <c r="AC874" t="s">
        <v>6177</v>
      </c>
      <c r="AD874" t="s">
        <v>6178</v>
      </c>
      <c r="AE874" t="s">
        <v>14947</v>
      </c>
      <c r="AF874" t="s">
        <v>74</v>
      </c>
      <c r="AG874">
        <v>68</v>
      </c>
      <c r="AH874">
        <v>3</v>
      </c>
      <c r="AI874">
        <v>3</v>
      </c>
      <c r="AJ874">
        <v>11</v>
      </c>
      <c r="AK874">
        <v>34</v>
      </c>
      <c r="AL874" t="s">
        <v>665</v>
      </c>
      <c r="AM874" t="s">
        <v>666</v>
      </c>
      <c r="AN874" t="s">
        <v>667</v>
      </c>
      <c r="AO874" t="s">
        <v>1300</v>
      </c>
      <c r="AP874" t="s">
        <v>1301</v>
      </c>
      <c r="AQ874" t="s">
        <v>74</v>
      </c>
      <c r="AR874" t="s">
        <v>1302</v>
      </c>
      <c r="AS874" t="s">
        <v>1303</v>
      </c>
      <c r="AT874" t="s">
        <v>14948</v>
      </c>
      <c r="AU874">
        <v>2022</v>
      </c>
      <c r="AV874">
        <v>34</v>
      </c>
      <c r="AW874">
        <v>6</v>
      </c>
      <c r="AX874" t="s">
        <v>74</v>
      </c>
      <c r="AY874" t="s">
        <v>74</v>
      </c>
      <c r="AZ874" t="s">
        <v>74</v>
      </c>
      <c r="BA874" t="s">
        <v>74</v>
      </c>
      <c r="BB874">
        <v>2071</v>
      </c>
      <c r="BC874">
        <v>2091</v>
      </c>
      <c r="BD874" t="s">
        <v>74</v>
      </c>
      <c r="BE874" t="s">
        <v>14949</v>
      </c>
      <c r="BF874" t="str">
        <f>HYPERLINK("http://dx.doi.org/10.1108/IJCHM-09-2021-1123","http://dx.doi.org/10.1108/IJCHM-09-2021-1123")</f>
        <v>http://dx.doi.org/10.1108/IJCHM-09-2021-1123</v>
      </c>
      <c r="BG874" t="s">
        <v>74</v>
      </c>
      <c r="BH874" t="s">
        <v>7969</v>
      </c>
      <c r="BI874">
        <v>21</v>
      </c>
      <c r="BJ874" t="s">
        <v>1305</v>
      </c>
      <c r="BK874" t="s">
        <v>94</v>
      </c>
      <c r="BL874" t="s">
        <v>1306</v>
      </c>
      <c r="BM874" t="s">
        <v>14950</v>
      </c>
      <c r="BN874" t="s">
        <v>74</v>
      </c>
      <c r="BO874" t="s">
        <v>74</v>
      </c>
      <c r="BP874" t="s">
        <v>74</v>
      </c>
      <c r="BQ874" t="s">
        <v>74</v>
      </c>
      <c r="BR874" t="s">
        <v>97</v>
      </c>
      <c r="BS874" t="s">
        <v>14951</v>
      </c>
      <c r="BT874" t="str">
        <f>HYPERLINK("https%3A%2F%2Fwww.webofscience.com%2Fwos%2Fwoscc%2Ffull-record%2FWOS:000776652600001","View Full Record in Web of Science")</f>
        <v>View Full Record in Web of Science</v>
      </c>
    </row>
    <row r="875" spans="1:72" x14ac:dyDescent="0.25">
      <c r="A875" t="s">
        <v>72</v>
      </c>
      <c r="B875" t="s">
        <v>14952</v>
      </c>
      <c r="C875" t="s">
        <v>74</v>
      </c>
      <c r="D875" t="s">
        <v>74</v>
      </c>
      <c r="E875" t="s">
        <v>74</v>
      </c>
      <c r="F875" t="s">
        <v>14953</v>
      </c>
      <c r="G875" t="s">
        <v>74</v>
      </c>
      <c r="H875" t="s">
        <v>74</v>
      </c>
      <c r="I875" t="s">
        <v>14954</v>
      </c>
      <c r="J875" t="s">
        <v>14955</v>
      </c>
      <c r="K875" t="s">
        <v>74</v>
      </c>
      <c r="L875" t="s">
        <v>74</v>
      </c>
      <c r="M875" t="s">
        <v>77</v>
      </c>
      <c r="N875" t="s">
        <v>78</v>
      </c>
      <c r="O875" t="s">
        <v>74</v>
      </c>
      <c r="P875" t="s">
        <v>74</v>
      </c>
      <c r="Q875" t="s">
        <v>74</v>
      </c>
      <c r="R875" t="s">
        <v>74</v>
      </c>
      <c r="S875" t="s">
        <v>74</v>
      </c>
      <c r="T875" t="s">
        <v>14956</v>
      </c>
      <c r="U875" t="s">
        <v>14957</v>
      </c>
      <c r="V875" t="s">
        <v>14958</v>
      </c>
      <c r="W875" t="s">
        <v>14959</v>
      </c>
      <c r="X875" t="s">
        <v>14960</v>
      </c>
      <c r="Y875" t="s">
        <v>14961</v>
      </c>
      <c r="Z875" t="s">
        <v>14962</v>
      </c>
      <c r="AA875" t="s">
        <v>14963</v>
      </c>
      <c r="AB875" t="s">
        <v>14964</v>
      </c>
      <c r="AC875" t="s">
        <v>14965</v>
      </c>
      <c r="AD875" t="s">
        <v>14966</v>
      </c>
      <c r="AE875" t="s">
        <v>14967</v>
      </c>
      <c r="AF875" t="s">
        <v>74</v>
      </c>
      <c r="AG875">
        <v>91</v>
      </c>
      <c r="AH875">
        <v>3</v>
      </c>
      <c r="AI875">
        <v>3</v>
      </c>
      <c r="AJ875">
        <v>11</v>
      </c>
      <c r="AK875">
        <v>28</v>
      </c>
      <c r="AL875" t="s">
        <v>218</v>
      </c>
      <c r="AM875" t="s">
        <v>219</v>
      </c>
      <c r="AN875" t="s">
        <v>220</v>
      </c>
      <c r="AO875" t="s">
        <v>14968</v>
      </c>
      <c r="AP875" t="s">
        <v>14969</v>
      </c>
      <c r="AQ875" t="s">
        <v>74</v>
      </c>
      <c r="AR875" t="s">
        <v>14970</v>
      </c>
      <c r="AS875" t="s">
        <v>14971</v>
      </c>
      <c r="AT875" t="s">
        <v>892</v>
      </c>
      <c r="AU875">
        <v>2023</v>
      </c>
      <c r="AV875">
        <v>72</v>
      </c>
      <c r="AW875">
        <v>1</v>
      </c>
      <c r="AX875" t="s">
        <v>74</v>
      </c>
      <c r="AY875" t="s">
        <v>74</v>
      </c>
      <c r="AZ875" t="s">
        <v>74</v>
      </c>
      <c r="BA875" t="s">
        <v>74</v>
      </c>
      <c r="BB875">
        <v>348</v>
      </c>
      <c r="BC875">
        <v>388</v>
      </c>
      <c r="BD875" t="s">
        <v>74</v>
      </c>
      <c r="BE875" t="s">
        <v>14972</v>
      </c>
      <c r="BF875" t="str">
        <f>HYPERLINK("http://dx.doi.org/10.1111/apps.12381","http://dx.doi.org/10.1111/apps.12381")</f>
        <v>http://dx.doi.org/10.1111/apps.12381</v>
      </c>
      <c r="BG875" t="s">
        <v>74</v>
      </c>
      <c r="BH875" t="s">
        <v>7969</v>
      </c>
      <c r="BI875">
        <v>41</v>
      </c>
      <c r="BJ875" t="s">
        <v>692</v>
      </c>
      <c r="BK875" t="s">
        <v>94</v>
      </c>
      <c r="BL875" t="s">
        <v>460</v>
      </c>
      <c r="BM875" t="s">
        <v>14973</v>
      </c>
      <c r="BN875" t="s">
        <v>74</v>
      </c>
      <c r="BO875" t="s">
        <v>14974</v>
      </c>
      <c r="BP875" t="s">
        <v>74</v>
      </c>
      <c r="BQ875" t="s">
        <v>74</v>
      </c>
      <c r="BR875" t="s">
        <v>97</v>
      </c>
      <c r="BS875" t="s">
        <v>14975</v>
      </c>
      <c r="BT875" t="str">
        <f>HYPERLINK("https%3A%2F%2Fwww.webofscience.com%2Fwos%2Fwoscc%2Ffull-record%2FWOS:000772204600001","View Full Record in Web of Science")</f>
        <v>View Full Record in Web of Science</v>
      </c>
    </row>
    <row r="876" spans="1:72" x14ac:dyDescent="0.25">
      <c r="A876" t="s">
        <v>72</v>
      </c>
      <c r="B876" t="s">
        <v>14976</v>
      </c>
      <c r="C876" t="s">
        <v>74</v>
      </c>
      <c r="D876" t="s">
        <v>74</v>
      </c>
      <c r="E876" t="s">
        <v>74</v>
      </c>
      <c r="F876" t="s">
        <v>14977</v>
      </c>
      <c r="G876" t="s">
        <v>74</v>
      </c>
      <c r="H876" t="s">
        <v>74</v>
      </c>
      <c r="I876" t="s">
        <v>14978</v>
      </c>
      <c r="J876" t="s">
        <v>3184</v>
      </c>
      <c r="K876" t="s">
        <v>74</v>
      </c>
      <c r="L876" t="s">
        <v>74</v>
      </c>
      <c r="M876" t="s">
        <v>77</v>
      </c>
      <c r="N876" t="s">
        <v>78</v>
      </c>
      <c r="O876" t="s">
        <v>74</v>
      </c>
      <c r="P876" t="s">
        <v>74</v>
      </c>
      <c r="Q876" t="s">
        <v>74</v>
      </c>
      <c r="R876" t="s">
        <v>74</v>
      </c>
      <c r="S876" t="s">
        <v>74</v>
      </c>
      <c r="T876" t="s">
        <v>14979</v>
      </c>
      <c r="U876" t="s">
        <v>14980</v>
      </c>
      <c r="V876" t="s">
        <v>14981</v>
      </c>
      <c r="W876" t="s">
        <v>14982</v>
      </c>
      <c r="X876" t="s">
        <v>14983</v>
      </c>
      <c r="Y876" t="s">
        <v>14984</v>
      </c>
      <c r="Z876" t="s">
        <v>14985</v>
      </c>
      <c r="AA876" t="s">
        <v>14986</v>
      </c>
      <c r="AB876" t="s">
        <v>74</v>
      </c>
      <c r="AC876" t="s">
        <v>74</v>
      </c>
      <c r="AD876" t="s">
        <v>74</v>
      </c>
      <c r="AE876" t="s">
        <v>74</v>
      </c>
      <c r="AF876" t="s">
        <v>74</v>
      </c>
      <c r="AG876">
        <v>161</v>
      </c>
      <c r="AH876">
        <v>3</v>
      </c>
      <c r="AI876">
        <v>3</v>
      </c>
      <c r="AJ876">
        <v>8</v>
      </c>
      <c r="AK876">
        <v>29</v>
      </c>
      <c r="AL876" t="s">
        <v>3195</v>
      </c>
      <c r="AM876" t="s">
        <v>3196</v>
      </c>
      <c r="AN876" t="s">
        <v>3197</v>
      </c>
      <c r="AO876" t="s">
        <v>3198</v>
      </c>
      <c r="AP876" t="s">
        <v>74</v>
      </c>
      <c r="AQ876" t="s">
        <v>74</v>
      </c>
      <c r="AR876" t="s">
        <v>3199</v>
      </c>
      <c r="AS876" t="s">
        <v>3200</v>
      </c>
      <c r="AT876" t="s">
        <v>457</v>
      </c>
      <c r="AU876">
        <v>2022</v>
      </c>
      <c r="AV876">
        <v>13</v>
      </c>
      <c r="AW876" t="s">
        <v>74</v>
      </c>
      <c r="AX876" t="s">
        <v>74</v>
      </c>
      <c r="AY876" t="s">
        <v>74</v>
      </c>
      <c r="AZ876" t="s">
        <v>74</v>
      </c>
      <c r="BA876" t="s">
        <v>74</v>
      </c>
      <c r="BB876" t="s">
        <v>74</v>
      </c>
      <c r="BC876" t="s">
        <v>74</v>
      </c>
      <c r="BD876">
        <v>831593</v>
      </c>
      <c r="BE876" t="s">
        <v>14987</v>
      </c>
      <c r="BF876" t="str">
        <f>HYPERLINK("http://dx.doi.org/10.3389/fpsyg.2022.831593","http://dx.doi.org/10.3389/fpsyg.2022.831593")</f>
        <v>http://dx.doi.org/10.3389/fpsyg.2022.831593</v>
      </c>
      <c r="BG876" t="s">
        <v>74</v>
      </c>
      <c r="BH876" t="s">
        <v>74</v>
      </c>
      <c r="BI876">
        <v>15</v>
      </c>
      <c r="BJ876" t="s">
        <v>3203</v>
      </c>
      <c r="BK876" t="s">
        <v>94</v>
      </c>
      <c r="BL876" t="s">
        <v>460</v>
      </c>
      <c r="BM876" t="s">
        <v>14988</v>
      </c>
      <c r="BN876">
        <v>35369131</v>
      </c>
      <c r="BO876" t="s">
        <v>4398</v>
      </c>
      <c r="BP876" t="s">
        <v>74</v>
      </c>
      <c r="BQ876" t="s">
        <v>74</v>
      </c>
      <c r="BR876" t="s">
        <v>97</v>
      </c>
      <c r="BS876" t="s">
        <v>14989</v>
      </c>
      <c r="BT876" t="str">
        <f>HYPERLINK("https%3A%2F%2Fwww.webofscience.com%2Fwos%2Fwoscc%2Ffull-record%2FWOS:000777753000001","View Full Record in Web of Science")</f>
        <v>View Full Record in Web of Science</v>
      </c>
    </row>
    <row r="877" spans="1:72" x14ac:dyDescent="0.25">
      <c r="A877" t="s">
        <v>72</v>
      </c>
      <c r="B877" t="s">
        <v>14990</v>
      </c>
      <c r="C877" t="s">
        <v>74</v>
      </c>
      <c r="D877" t="s">
        <v>74</v>
      </c>
      <c r="E877" t="s">
        <v>74</v>
      </c>
      <c r="F877" t="s">
        <v>14991</v>
      </c>
      <c r="G877" t="s">
        <v>74</v>
      </c>
      <c r="H877" t="s">
        <v>74</v>
      </c>
      <c r="I877" t="s">
        <v>14992</v>
      </c>
      <c r="J877" t="s">
        <v>14993</v>
      </c>
      <c r="K877" t="s">
        <v>74</v>
      </c>
      <c r="L877" t="s">
        <v>74</v>
      </c>
      <c r="M877" t="s">
        <v>77</v>
      </c>
      <c r="N877" t="s">
        <v>78</v>
      </c>
      <c r="O877" t="s">
        <v>74</v>
      </c>
      <c r="P877" t="s">
        <v>74</v>
      </c>
      <c r="Q877" t="s">
        <v>74</v>
      </c>
      <c r="R877" t="s">
        <v>74</v>
      </c>
      <c r="S877" t="s">
        <v>74</v>
      </c>
      <c r="T877" t="s">
        <v>14994</v>
      </c>
      <c r="U877" t="s">
        <v>14995</v>
      </c>
      <c r="V877" t="s">
        <v>14996</v>
      </c>
      <c r="W877" t="s">
        <v>14997</v>
      </c>
      <c r="X877" t="s">
        <v>5399</v>
      </c>
      <c r="Y877" t="s">
        <v>14998</v>
      </c>
      <c r="Z877" t="s">
        <v>14999</v>
      </c>
      <c r="AA877" t="s">
        <v>74</v>
      </c>
      <c r="AB877" t="s">
        <v>74</v>
      </c>
      <c r="AC877" t="s">
        <v>15000</v>
      </c>
      <c r="AD877" t="s">
        <v>15001</v>
      </c>
      <c r="AE877" t="s">
        <v>15002</v>
      </c>
      <c r="AF877" t="s">
        <v>74</v>
      </c>
      <c r="AG877">
        <v>74</v>
      </c>
      <c r="AH877">
        <v>3</v>
      </c>
      <c r="AI877">
        <v>3</v>
      </c>
      <c r="AJ877">
        <v>43</v>
      </c>
      <c r="AK877">
        <v>118</v>
      </c>
      <c r="AL877" t="s">
        <v>1533</v>
      </c>
      <c r="AM877" t="s">
        <v>1534</v>
      </c>
      <c r="AN877" t="s">
        <v>1535</v>
      </c>
      <c r="AO877" t="s">
        <v>15003</v>
      </c>
      <c r="AP877" t="s">
        <v>15004</v>
      </c>
      <c r="AQ877" t="s">
        <v>74</v>
      </c>
      <c r="AR877" t="s">
        <v>15005</v>
      </c>
      <c r="AS877" t="s">
        <v>15006</v>
      </c>
      <c r="AT877" t="s">
        <v>792</v>
      </c>
      <c r="AU877">
        <v>2022</v>
      </c>
      <c r="AV877">
        <v>29</v>
      </c>
      <c r="AW877">
        <v>34</v>
      </c>
      <c r="AX877" t="s">
        <v>74</v>
      </c>
      <c r="AY877" t="s">
        <v>74</v>
      </c>
      <c r="AZ877" t="s">
        <v>860</v>
      </c>
      <c r="BA877" t="s">
        <v>74</v>
      </c>
      <c r="BB877">
        <v>52189</v>
      </c>
      <c r="BC877">
        <v>52203</v>
      </c>
      <c r="BD877" t="s">
        <v>74</v>
      </c>
      <c r="BE877" t="s">
        <v>15007</v>
      </c>
      <c r="BF877" t="str">
        <f>HYPERLINK("http://dx.doi.org/10.1007/s11356-022-19541-z","http://dx.doi.org/10.1007/s11356-022-19541-z")</f>
        <v>http://dx.doi.org/10.1007/s11356-022-19541-z</v>
      </c>
      <c r="BG877" t="s">
        <v>74</v>
      </c>
      <c r="BH877" t="s">
        <v>7969</v>
      </c>
      <c r="BI877">
        <v>15</v>
      </c>
      <c r="BJ877" t="s">
        <v>5336</v>
      </c>
      <c r="BK877" t="s">
        <v>283</v>
      </c>
      <c r="BL877" t="s">
        <v>5337</v>
      </c>
      <c r="BM877" t="s">
        <v>15008</v>
      </c>
      <c r="BN877">
        <v>35260982</v>
      </c>
      <c r="BO877" t="s">
        <v>74</v>
      </c>
      <c r="BP877" t="s">
        <v>74</v>
      </c>
      <c r="BQ877" t="s">
        <v>74</v>
      </c>
      <c r="BR877" t="s">
        <v>97</v>
      </c>
      <c r="BS877" t="s">
        <v>15009</v>
      </c>
      <c r="BT877" t="str">
        <f>HYPERLINK("https%3A%2F%2Fwww.webofscience.com%2Fwos%2Fwoscc%2Ffull-record%2FWOS:000766064400021","View Full Record in Web of Science")</f>
        <v>View Full Record in Web of Science</v>
      </c>
    </row>
    <row r="878" spans="1:72" x14ac:dyDescent="0.25">
      <c r="A878" t="s">
        <v>72</v>
      </c>
      <c r="B878" t="s">
        <v>15010</v>
      </c>
      <c r="C878" t="s">
        <v>74</v>
      </c>
      <c r="D878" t="s">
        <v>74</v>
      </c>
      <c r="E878" t="s">
        <v>74</v>
      </c>
      <c r="F878" t="s">
        <v>15011</v>
      </c>
      <c r="G878" t="s">
        <v>74</v>
      </c>
      <c r="H878" t="s">
        <v>74</v>
      </c>
      <c r="I878" t="s">
        <v>15012</v>
      </c>
      <c r="J878" t="s">
        <v>15013</v>
      </c>
      <c r="K878" t="s">
        <v>74</v>
      </c>
      <c r="L878" t="s">
        <v>74</v>
      </c>
      <c r="M878" t="s">
        <v>77</v>
      </c>
      <c r="N878" t="s">
        <v>78</v>
      </c>
      <c r="O878" t="s">
        <v>74</v>
      </c>
      <c r="P878" t="s">
        <v>74</v>
      </c>
      <c r="Q878" t="s">
        <v>74</v>
      </c>
      <c r="R878" t="s">
        <v>74</v>
      </c>
      <c r="S878" t="s">
        <v>74</v>
      </c>
      <c r="T878" t="s">
        <v>15014</v>
      </c>
      <c r="U878" t="s">
        <v>15015</v>
      </c>
      <c r="V878" t="s">
        <v>15016</v>
      </c>
      <c r="W878" t="s">
        <v>15017</v>
      </c>
      <c r="X878" t="s">
        <v>15018</v>
      </c>
      <c r="Y878" t="s">
        <v>15019</v>
      </c>
      <c r="Z878" t="s">
        <v>15020</v>
      </c>
      <c r="AA878" t="s">
        <v>15021</v>
      </c>
      <c r="AB878" t="s">
        <v>15022</v>
      </c>
      <c r="AC878" t="s">
        <v>74</v>
      </c>
      <c r="AD878" t="s">
        <v>74</v>
      </c>
      <c r="AE878" t="s">
        <v>74</v>
      </c>
      <c r="AF878" t="s">
        <v>74</v>
      </c>
      <c r="AG878">
        <v>117</v>
      </c>
      <c r="AH878">
        <v>3</v>
      </c>
      <c r="AI878">
        <v>3</v>
      </c>
      <c r="AJ878">
        <v>12</v>
      </c>
      <c r="AK878">
        <v>27</v>
      </c>
      <c r="AL878" t="s">
        <v>602</v>
      </c>
      <c r="AM878" t="s">
        <v>160</v>
      </c>
      <c r="AN878" t="s">
        <v>603</v>
      </c>
      <c r="AO878" t="s">
        <v>15023</v>
      </c>
      <c r="AP878" t="s">
        <v>15024</v>
      </c>
      <c r="AQ878" t="s">
        <v>74</v>
      </c>
      <c r="AR878" t="s">
        <v>15025</v>
      </c>
      <c r="AS878" t="s">
        <v>15026</v>
      </c>
      <c r="AT878" t="s">
        <v>91</v>
      </c>
      <c r="AU878">
        <v>2022</v>
      </c>
      <c r="AV878">
        <v>64</v>
      </c>
      <c r="AW878" t="s">
        <v>74</v>
      </c>
      <c r="AX878" t="s">
        <v>74</v>
      </c>
      <c r="AY878" t="s">
        <v>74</v>
      </c>
      <c r="AZ878" t="s">
        <v>74</v>
      </c>
      <c r="BA878" t="s">
        <v>74</v>
      </c>
      <c r="BB878" t="s">
        <v>74</v>
      </c>
      <c r="BC878" t="s">
        <v>74</v>
      </c>
      <c r="BD878">
        <v>102478</v>
      </c>
      <c r="BE878" t="s">
        <v>15027</v>
      </c>
      <c r="BF878" t="str">
        <f>HYPERLINK("http://dx.doi.org/10.1016/j.ijinfomgt.2022.102478","http://dx.doi.org/10.1016/j.ijinfomgt.2022.102478")</f>
        <v>http://dx.doi.org/10.1016/j.ijinfomgt.2022.102478</v>
      </c>
      <c r="BG878" t="s">
        <v>74</v>
      </c>
      <c r="BH878" t="s">
        <v>9259</v>
      </c>
      <c r="BI878">
        <v>13</v>
      </c>
      <c r="BJ878" t="s">
        <v>7086</v>
      </c>
      <c r="BK878" t="s">
        <v>94</v>
      </c>
      <c r="BL878" t="s">
        <v>7086</v>
      </c>
      <c r="BM878" t="s">
        <v>15028</v>
      </c>
      <c r="BN878" t="s">
        <v>74</v>
      </c>
      <c r="BO878" t="s">
        <v>74</v>
      </c>
      <c r="BP878" t="s">
        <v>74</v>
      </c>
      <c r="BQ878" t="s">
        <v>74</v>
      </c>
      <c r="BR878" t="s">
        <v>97</v>
      </c>
      <c r="BS878" t="s">
        <v>15029</v>
      </c>
      <c r="BT878" t="str">
        <f>HYPERLINK("https%3A%2F%2Fwww.webofscience.com%2Fwos%2Fwoscc%2Ffull-record%2FWOS:000791308400009","View Full Record in Web of Science")</f>
        <v>View Full Record in Web of Science</v>
      </c>
    </row>
    <row r="879" spans="1:72" x14ac:dyDescent="0.25">
      <c r="A879" t="s">
        <v>72</v>
      </c>
      <c r="B879" t="s">
        <v>15030</v>
      </c>
      <c r="C879" t="s">
        <v>74</v>
      </c>
      <c r="D879" t="s">
        <v>74</v>
      </c>
      <c r="E879" t="s">
        <v>74</v>
      </c>
      <c r="F879" t="s">
        <v>15031</v>
      </c>
      <c r="G879" t="s">
        <v>74</v>
      </c>
      <c r="H879" t="s">
        <v>74</v>
      </c>
      <c r="I879" t="s">
        <v>15032</v>
      </c>
      <c r="J879" t="s">
        <v>4325</v>
      </c>
      <c r="K879" t="s">
        <v>74</v>
      </c>
      <c r="L879" t="s">
        <v>74</v>
      </c>
      <c r="M879" t="s">
        <v>77</v>
      </c>
      <c r="N879" t="s">
        <v>78</v>
      </c>
      <c r="O879" t="s">
        <v>74</v>
      </c>
      <c r="P879" t="s">
        <v>74</v>
      </c>
      <c r="Q879" t="s">
        <v>74</v>
      </c>
      <c r="R879" t="s">
        <v>74</v>
      </c>
      <c r="S879" t="s">
        <v>74</v>
      </c>
      <c r="T879" t="s">
        <v>15033</v>
      </c>
      <c r="U879" t="s">
        <v>15034</v>
      </c>
      <c r="V879" t="s">
        <v>15035</v>
      </c>
      <c r="W879" t="s">
        <v>15036</v>
      </c>
      <c r="X879" t="s">
        <v>15037</v>
      </c>
      <c r="Y879" t="s">
        <v>15038</v>
      </c>
      <c r="Z879" t="s">
        <v>15039</v>
      </c>
      <c r="AA879" t="s">
        <v>74</v>
      </c>
      <c r="AB879" t="s">
        <v>74</v>
      </c>
      <c r="AC879" t="s">
        <v>15040</v>
      </c>
      <c r="AD879" t="s">
        <v>575</v>
      </c>
      <c r="AE879" t="s">
        <v>15041</v>
      </c>
      <c r="AF879" t="s">
        <v>74</v>
      </c>
      <c r="AG879">
        <v>82</v>
      </c>
      <c r="AH879">
        <v>3</v>
      </c>
      <c r="AI879">
        <v>3</v>
      </c>
      <c r="AJ879">
        <v>30</v>
      </c>
      <c r="AK879">
        <v>76</v>
      </c>
      <c r="AL879" t="s">
        <v>218</v>
      </c>
      <c r="AM879" t="s">
        <v>219</v>
      </c>
      <c r="AN879" t="s">
        <v>220</v>
      </c>
      <c r="AO879" t="s">
        <v>4332</v>
      </c>
      <c r="AP879" t="s">
        <v>4333</v>
      </c>
      <c r="AQ879" t="s">
        <v>74</v>
      </c>
      <c r="AR879" t="s">
        <v>4334</v>
      </c>
      <c r="AS879" t="s">
        <v>4335</v>
      </c>
      <c r="AT879" t="s">
        <v>200</v>
      </c>
      <c r="AU879">
        <v>2022</v>
      </c>
      <c r="AV879">
        <v>31</v>
      </c>
      <c r="AW879">
        <v>1</v>
      </c>
      <c r="AX879" t="s">
        <v>74</v>
      </c>
      <c r="AY879" t="s">
        <v>74</v>
      </c>
      <c r="AZ879" t="s">
        <v>74</v>
      </c>
      <c r="BA879" t="s">
        <v>74</v>
      </c>
      <c r="BB879">
        <v>64</v>
      </c>
      <c r="BC879">
        <v>76</v>
      </c>
      <c r="BD879" t="s">
        <v>74</v>
      </c>
      <c r="BE879" t="s">
        <v>15042</v>
      </c>
      <c r="BF879" t="str">
        <f>HYPERLINK("http://dx.doi.org/10.1111/caim.12482","http://dx.doi.org/10.1111/caim.12482")</f>
        <v>http://dx.doi.org/10.1111/caim.12482</v>
      </c>
      <c r="BG879" t="s">
        <v>74</v>
      </c>
      <c r="BH879" t="s">
        <v>9259</v>
      </c>
      <c r="BI879">
        <v>13</v>
      </c>
      <c r="BJ879" t="s">
        <v>442</v>
      </c>
      <c r="BK879" t="s">
        <v>94</v>
      </c>
      <c r="BL879" t="s">
        <v>95</v>
      </c>
      <c r="BM879" t="s">
        <v>15043</v>
      </c>
      <c r="BN879" t="s">
        <v>74</v>
      </c>
      <c r="BO879" t="s">
        <v>74</v>
      </c>
      <c r="BP879" t="s">
        <v>74</v>
      </c>
      <c r="BQ879" t="s">
        <v>74</v>
      </c>
      <c r="BR879" t="s">
        <v>97</v>
      </c>
      <c r="BS879" t="s">
        <v>15044</v>
      </c>
      <c r="BT879" t="str">
        <f>HYPERLINK("https%3A%2F%2Fwww.webofscience.com%2Fwos%2Fwoscc%2Ffull-record%2FWOS:000746129800001","View Full Record in Web of Science")</f>
        <v>View Full Record in Web of Science</v>
      </c>
    </row>
    <row r="880" spans="1:72" x14ac:dyDescent="0.25">
      <c r="A880" t="s">
        <v>72</v>
      </c>
      <c r="B880" t="s">
        <v>15045</v>
      </c>
      <c r="C880" t="s">
        <v>74</v>
      </c>
      <c r="D880" t="s">
        <v>74</v>
      </c>
      <c r="E880" t="s">
        <v>74</v>
      </c>
      <c r="F880" t="s">
        <v>15046</v>
      </c>
      <c r="G880" t="s">
        <v>74</v>
      </c>
      <c r="H880" t="s">
        <v>74</v>
      </c>
      <c r="I880" t="s">
        <v>15047</v>
      </c>
      <c r="J880" t="s">
        <v>3184</v>
      </c>
      <c r="K880" t="s">
        <v>74</v>
      </c>
      <c r="L880" t="s">
        <v>74</v>
      </c>
      <c r="M880" t="s">
        <v>77</v>
      </c>
      <c r="N880" t="s">
        <v>78</v>
      </c>
      <c r="O880" t="s">
        <v>74</v>
      </c>
      <c r="P880" t="s">
        <v>74</v>
      </c>
      <c r="Q880" t="s">
        <v>74</v>
      </c>
      <c r="R880" t="s">
        <v>74</v>
      </c>
      <c r="S880" t="s">
        <v>74</v>
      </c>
      <c r="T880" t="s">
        <v>15048</v>
      </c>
      <c r="U880" t="s">
        <v>15049</v>
      </c>
      <c r="V880" t="s">
        <v>15050</v>
      </c>
      <c r="W880" t="s">
        <v>15051</v>
      </c>
      <c r="X880" t="s">
        <v>15052</v>
      </c>
      <c r="Y880" t="s">
        <v>15053</v>
      </c>
      <c r="Z880" t="s">
        <v>15054</v>
      </c>
      <c r="AA880" t="s">
        <v>15055</v>
      </c>
      <c r="AB880" t="s">
        <v>74</v>
      </c>
      <c r="AC880" t="s">
        <v>15056</v>
      </c>
      <c r="AD880" t="s">
        <v>15057</v>
      </c>
      <c r="AE880" t="s">
        <v>15058</v>
      </c>
      <c r="AF880" t="s">
        <v>74</v>
      </c>
      <c r="AG880">
        <v>75</v>
      </c>
      <c r="AH880">
        <v>3</v>
      </c>
      <c r="AI880">
        <v>3</v>
      </c>
      <c r="AJ880">
        <v>32</v>
      </c>
      <c r="AK880">
        <v>107</v>
      </c>
      <c r="AL880" t="s">
        <v>3195</v>
      </c>
      <c r="AM880" t="s">
        <v>3196</v>
      </c>
      <c r="AN880" t="s">
        <v>3197</v>
      </c>
      <c r="AO880" t="s">
        <v>3198</v>
      </c>
      <c r="AP880" t="s">
        <v>74</v>
      </c>
      <c r="AQ880" t="s">
        <v>74</v>
      </c>
      <c r="AR880" t="s">
        <v>3199</v>
      </c>
      <c r="AS880" t="s">
        <v>3200</v>
      </c>
      <c r="AT880" t="s">
        <v>9271</v>
      </c>
      <c r="AU880">
        <v>2022</v>
      </c>
      <c r="AV880">
        <v>12</v>
      </c>
      <c r="AW880" t="s">
        <v>74</v>
      </c>
      <c r="AX880" t="s">
        <v>74</v>
      </c>
      <c r="AY880" t="s">
        <v>74</v>
      </c>
      <c r="AZ880" t="s">
        <v>74</v>
      </c>
      <c r="BA880" t="s">
        <v>74</v>
      </c>
      <c r="BB880" t="s">
        <v>74</v>
      </c>
      <c r="BC880" t="s">
        <v>74</v>
      </c>
      <c r="BD880">
        <v>745991</v>
      </c>
      <c r="BE880" t="s">
        <v>15059</v>
      </c>
      <c r="BF880" t="str">
        <f>HYPERLINK("http://dx.doi.org/10.3389/fpsyg.2021.745991","http://dx.doi.org/10.3389/fpsyg.2021.745991")</f>
        <v>http://dx.doi.org/10.3389/fpsyg.2021.745991</v>
      </c>
      <c r="BG880" t="s">
        <v>74</v>
      </c>
      <c r="BH880" t="s">
        <v>74</v>
      </c>
      <c r="BI880">
        <v>12</v>
      </c>
      <c r="BJ880" t="s">
        <v>3203</v>
      </c>
      <c r="BK880" t="s">
        <v>94</v>
      </c>
      <c r="BL880" t="s">
        <v>460</v>
      </c>
      <c r="BM880" t="s">
        <v>15060</v>
      </c>
      <c r="BN880">
        <v>35126229</v>
      </c>
      <c r="BO880" t="s">
        <v>3205</v>
      </c>
      <c r="BP880" t="s">
        <v>74</v>
      </c>
      <c r="BQ880" t="s">
        <v>74</v>
      </c>
      <c r="BR880" t="s">
        <v>97</v>
      </c>
      <c r="BS880" t="s">
        <v>15061</v>
      </c>
      <c r="BT880" t="str">
        <f>HYPERLINK("https%3A%2F%2Fwww.webofscience.com%2Fwos%2Fwoscc%2Ffull-record%2FWOS:000751268900001","View Full Record in Web of Science")</f>
        <v>View Full Record in Web of Science</v>
      </c>
    </row>
    <row r="881" spans="1:72" x14ac:dyDescent="0.25">
      <c r="A881" t="s">
        <v>72</v>
      </c>
      <c r="B881" t="s">
        <v>15062</v>
      </c>
      <c r="C881" t="s">
        <v>74</v>
      </c>
      <c r="D881" t="s">
        <v>74</v>
      </c>
      <c r="E881" t="s">
        <v>74</v>
      </c>
      <c r="F881" t="s">
        <v>15063</v>
      </c>
      <c r="G881" t="s">
        <v>74</v>
      </c>
      <c r="H881" t="s">
        <v>74</v>
      </c>
      <c r="I881" t="s">
        <v>15064</v>
      </c>
      <c r="J881" t="s">
        <v>3184</v>
      </c>
      <c r="K881" t="s">
        <v>74</v>
      </c>
      <c r="L881" t="s">
        <v>74</v>
      </c>
      <c r="M881" t="s">
        <v>77</v>
      </c>
      <c r="N881" t="s">
        <v>78</v>
      </c>
      <c r="O881" t="s">
        <v>74</v>
      </c>
      <c r="P881" t="s">
        <v>74</v>
      </c>
      <c r="Q881" t="s">
        <v>74</v>
      </c>
      <c r="R881" t="s">
        <v>74</v>
      </c>
      <c r="S881" t="s">
        <v>74</v>
      </c>
      <c r="T881" t="s">
        <v>15065</v>
      </c>
      <c r="U881" t="s">
        <v>15066</v>
      </c>
      <c r="V881" t="s">
        <v>15067</v>
      </c>
      <c r="W881" t="s">
        <v>15068</v>
      </c>
      <c r="X881" t="s">
        <v>15069</v>
      </c>
      <c r="Y881" t="s">
        <v>15070</v>
      </c>
      <c r="Z881" t="s">
        <v>15071</v>
      </c>
      <c r="AA881" t="s">
        <v>74</v>
      </c>
      <c r="AB881" t="s">
        <v>74</v>
      </c>
      <c r="AC881" t="s">
        <v>15072</v>
      </c>
      <c r="AD881" t="s">
        <v>15073</v>
      </c>
      <c r="AE881" t="s">
        <v>15074</v>
      </c>
      <c r="AF881" t="s">
        <v>74</v>
      </c>
      <c r="AG881">
        <v>99</v>
      </c>
      <c r="AH881">
        <v>3</v>
      </c>
      <c r="AI881">
        <v>3</v>
      </c>
      <c r="AJ881">
        <v>11</v>
      </c>
      <c r="AK881">
        <v>58</v>
      </c>
      <c r="AL881" t="s">
        <v>3195</v>
      </c>
      <c r="AM881" t="s">
        <v>3196</v>
      </c>
      <c r="AN881" t="s">
        <v>3197</v>
      </c>
      <c r="AO881" t="s">
        <v>3198</v>
      </c>
      <c r="AP881" t="s">
        <v>74</v>
      </c>
      <c r="AQ881" t="s">
        <v>74</v>
      </c>
      <c r="AR881" t="s">
        <v>3199</v>
      </c>
      <c r="AS881" t="s">
        <v>3200</v>
      </c>
      <c r="AT881" t="s">
        <v>15075</v>
      </c>
      <c r="AU881">
        <v>2022</v>
      </c>
      <c r="AV881">
        <v>12</v>
      </c>
      <c r="AW881" t="s">
        <v>74</v>
      </c>
      <c r="AX881" t="s">
        <v>74</v>
      </c>
      <c r="AY881" t="s">
        <v>74</v>
      </c>
      <c r="AZ881" t="s">
        <v>74</v>
      </c>
      <c r="BA881" t="s">
        <v>74</v>
      </c>
      <c r="BB881" t="s">
        <v>74</v>
      </c>
      <c r="BC881" t="s">
        <v>74</v>
      </c>
      <c r="BD881">
        <v>803681</v>
      </c>
      <c r="BE881" t="s">
        <v>15076</v>
      </c>
      <c r="BF881" t="str">
        <f>HYPERLINK("http://dx.doi.org/10.3389/fpsyg.2021.803681","http://dx.doi.org/10.3389/fpsyg.2021.803681")</f>
        <v>http://dx.doi.org/10.3389/fpsyg.2021.803681</v>
      </c>
      <c r="BG881" t="s">
        <v>74</v>
      </c>
      <c r="BH881" t="s">
        <v>74</v>
      </c>
      <c r="BI881">
        <v>16</v>
      </c>
      <c r="BJ881" t="s">
        <v>3203</v>
      </c>
      <c r="BK881" t="s">
        <v>94</v>
      </c>
      <c r="BL881" t="s">
        <v>460</v>
      </c>
      <c r="BM881" t="s">
        <v>15077</v>
      </c>
      <c r="BN881">
        <v>35126255</v>
      </c>
      <c r="BO881" t="s">
        <v>4398</v>
      </c>
      <c r="BP881" t="s">
        <v>74</v>
      </c>
      <c r="BQ881" t="s">
        <v>74</v>
      </c>
      <c r="BR881" t="s">
        <v>97</v>
      </c>
      <c r="BS881" t="s">
        <v>15078</v>
      </c>
      <c r="BT881" t="str">
        <f>HYPERLINK("https%3A%2F%2Fwww.webofscience.com%2Fwos%2Fwoscc%2Ffull-record%2FWOS:000751434200001","View Full Record in Web of Science")</f>
        <v>View Full Record in Web of Science</v>
      </c>
    </row>
    <row r="882" spans="1:72" x14ac:dyDescent="0.25">
      <c r="A882" t="s">
        <v>72</v>
      </c>
      <c r="B882" t="s">
        <v>15079</v>
      </c>
      <c r="C882" t="s">
        <v>74</v>
      </c>
      <c r="D882" t="s">
        <v>74</v>
      </c>
      <c r="E882" t="s">
        <v>74</v>
      </c>
      <c r="F882" t="s">
        <v>15080</v>
      </c>
      <c r="G882" t="s">
        <v>74</v>
      </c>
      <c r="H882" t="s">
        <v>74</v>
      </c>
      <c r="I882" t="s">
        <v>15081</v>
      </c>
      <c r="J882" t="s">
        <v>485</v>
      </c>
      <c r="K882" t="s">
        <v>74</v>
      </c>
      <c r="L882" t="s">
        <v>74</v>
      </c>
      <c r="M882" t="s">
        <v>77</v>
      </c>
      <c r="N882" t="s">
        <v>78</v>
      </c>
      <c r="O882" t="s">
        <v>74</v>
      </c>
      <c r="P882" t="s">
        <v>74</v>
      </c>
      <c r="Q882" t="s">
        <v>74</v>
      </c>
      <c r="R882" t="s">
        <v>74</v>
      </c>
      <c r="S882" t="s">
        <v>74</v>
      </c>
      <c r="T882" t="s">
        <v>15082</v>
      </c>
      <c r="U882" t="s">
        <v>15083</v>
      </c>
      <c r="V882" t="s">
        <v>15084</v>
      </c>
      <c r="W882" t="s">
        <v>15085</v>
      </c>
      <c r="X882" t="s">
        <v>15086</v>
      </c>
      <c r="Y882" t="s">
        <v>15087</v>
      </c>
      <c r="Z882" t="s">
        <v>15088</v>
      </c>
      <c r="AA882" t="s">
        <v>15089</v>
      </c>
      <c r="AB882" t="s">
        <v>15090</v>
      </c>
      <c r="AC882" t="s">
        <v>74</v>
      </c>
      <c r="AD882" t="s">
        <v>74</v>
      </c>
      <c r="AE882" t="s">
        <v>74</v>
      </c>
      <c r="AF882" t="s">
        <v>74</v>
      </c>
      <c r="AG882">
        <v>181</v>
      </c>
      <c r="AH882">
        <v>3</v>
      </c>
      <c r="AI882">
        <v>3</v>
      </c>
      <c r="AJ882">
        <v>44</v>
      </c>
      <c r="AK882">
        <v>108</v>
      </c>
      <c r="AL882" t="s">
        <v>218</v>
      </c>
      <c r="AM882" t="s">
        <v>219</v>
      </c>
      <c r="AN882" t="s">
        <v>220</v>
      </c>
      <c r="AO882" t="s">
        <v>493</v>
      </c>
      <c r="AP882" t="s">
        <v>557</v>
      </c>
      <c r="AQ882" t="s">
        <v>74</v>
      </c>
      <c r="AR882" t="s">
        <v>494</v>
      </c>
      <c r="AS882" t="s">
        <v>495</v>
      </c>
      <c r="AT882" t="s">
        <v>91</v>
      </c>
      <c r="AU882">
        <v>2022</v>
      </c>
      <c r="AV882">
        <v>95</v>
      </c>
      <c r="AW882">
        <v>2</v>
      </c>
      <c r="AX882" t="s">
        <v>74</v>
      </c>
      <c r="AY882" t="s">
        <v>74</v>
      </c>
      <c r="AZ882" t="s">
        <v>74</v>
      </c>
      <c r="BA882" t="s">
        <v>74</v>
      </c>
      <c r="BB882">
        <v>358</v>
      </c>
      <c r="BC882">
        <v>404</v>
      </c>
      <c r="BD882" t="s">
        <v>74</v>
      </c>
      <c r="BE882" t="s">
        <v>15091</v>
      </c>
      <c r="BF882" t="str">
        <f>HYPERLINK("http://dx.doi.org/10.1111/joop.12380","http://dx.doi.org/10.1111/joop.12380")</f>
        <v>http://dx.doi.org/10.1111/joop.12380</v>
      </c>
      <c r="BG882" t="s">
        <v>74</v>
      </c>
      <c r="BH882" t="s">
        <v>9259</v>
      </c>
      <c r="BI882">
        <v>47</v>
      </c>
      <c r="BJ882" t="s">
        <v>202</v>
      </c>
      <c r="BK882" t="s">
        <v>94</v>
      </c>
      <c r="BL882" t="s">
        <v>203</v>
      </c>
      <c r="BM882" t="s">
        <v>15092</v>
      </c>
      <c r="BN882" t="s">
        <v>74</v>
      </c>
      <c r="BO882" t="s">
        <v>4225</v>
      </c>
      <c r="BP882" t="s">
        <v>74</v>
      </c>
      <c r="BQ882" t="s">
        <v>74</v>
      </c>
      <c r="BR882" t="s">
        <v>97</v>
      </c>
      <c r="BS882" t="s">
        <v>15093</v>
      </c>
      <c r="BT882" t="str">
        <f>HYPERLINK("https%3A%2F%2Fwww.webofscience.com%2Fwos%2Fwoscc%2Ffull-record%2FWOS:000743836400001","View Full Record in Web of Science")</f>
        <v>View Full Record in Web of Science</v>
      </c>
    </row>
    <row r="883" spans="1:72" x14ac:dyDescent="0.25">
      <c r="A883" t="s">
        <v>72</v>
      </c>
      <c r="B883" t="s">
        <v>15094</v>
      </c>
      <c r="C883" t="s">
        <v>74</v>
      </c>
      <c r="D883" t="s">
        <v>74</v>
      </c>
      <c r="E883" t="s">
        <v>74</v>
      </c>
      <c r="F883" t="s">
        <v>15095</v>
      </c>
      <c r="G883" t="s">
        <v>74</v>
      </c>
      <c r="H883" t="s">
        <v>74</v>
      </c>
      <c r="I883" t="s">
        <v>15096</v>
      </c>
      <c r="J883" t="s">
        <v>2463</v>
      </c>
      <c r="K883" t="s">
        <v>74</v>
      </c>
      <c r="L883" t="s">
        <v>74</v>
      </c>
      <c r="M883" t="s">
        <v>77</v>
      </c>
      <c r="N883" t="s">
        <v>78</v>
      </c>
      <c r="O883" t="s">
        <v>74</v>
      </c>
      <c r="P883" t="s">
        <v>74</v>
      </c>
      <c r="Q883" t="s">
        <v>74</v>
      </c>
      <c r="R883" t="s">
        <v>74</v>
      </c>
      <c r="S883" t="s">
        <v>74</v>
      </c>
      <c r="T883" t="s">
        <v>15097</v>
      </c>
      <c r="U883" t="s">
        <v>15098</v>
      </c>
      <c r="V883" t="s">
        <v>15099</v>
      </c>
      <c r="W883" t="s">
        <v>15100</v>
      </c>
      <c r="X883" t="s">
        <v>15101</v>
      </c>
      <c r="Y883" t="s">
        <v>15102</v>
      </c>
      <c r="Z883" t="s">
        <v>15103</v>
      </c>
      <c r="AA883" t="s">
        <v>74</v>
      </c>
      <c r="AB883" t="s">
        <v>15104</v>
      </c>
      <c r="AC883" t="s">
        <v>74</v>
      </c>
      <c r="AD883" t="s">
        <v>74</v>
      </c>
      <c r="AE883" t="s">
        <v>74</v>
      </c>
      <c r="AF883" t="s">
        <v>74</v>
      </c>
      <c r="AG883">
        <v>42</v>
      </c>
      <c r="AH883">
        <v>3</v>
      </c>
      <c r="AI883">
        <v>3</v>
      </c>
      <c r="AJ883">
        <v>5</v>
      </c>
      <c r="AK883">
        <v>32</v>
      </c>
      <c r="AL883" t="s">
        <v>2473</v>
      </c>
      <c r="AM883" t="s">
        <v>2102</v>
      </c>
      <c r="AN883" t="s">
        <v>2474</v>
      </c>
      <c r="AO883" t="s">
        <v>74</v>
      </c>
      <c r="AP883" t="s">
        <v>2475</v>
      </c>
      <c r="AQ883" t="s">
        <v>74</v>
      </c>
      <c r="AR883" t="s">
        <v>2476</v>
      </c>
      <c r="AS883" t="s">
        <v>2477</v>
      </c>
      <c r="AT883" t="s">
        <v>892</v>
      </c>
      <c r="AU883">
        <v>2022</v>
      </c>
      <c r="AV883">
        <v>14</v>
      </c>
      <c r="AW883">
        <v>1</v>
      </c>
      <c r="AX883" t="s">
        <v>74</v>
      </c>
      <c r="AY883" t="s">
        <v>74</v>
      </c>
      <c r="AZ883" t="s">
        <v>74</v>
      </c>
      <c r="BA883" t="s">
        <v>74</v>
      </c>
      <c r="BB883" t="s">
        <v>74</v>
      </c>
      <c r="BC883" t="s">
        <v>74</v>
      </c>
      <c r="BD883">
        <v>306</v>
      </c>
      <c r="BE883" t="s">
        <v>15105</v>
      </c>
      <c r="BF883" t="str">
        <f>HYPERLINK("http://dx.doi.org/10.3390/su14010306","http://dx.doi.org/10.3390/su14010306")</f>
        <v>http://dx.doi.org/10.3390/su14010306</v>
      </c>
      <c r="BG883" t="s">
        <v>74</v>
      </c>
      <c r="BH883" t="s">
        <v>74</v>
      </c>
      <c r="BI883">
        <v>18</v>
      </c>
      <c r="BJ883" t="s">
        <v>2479</v>
      </c>
      <c r="BK883" t="s">
        <v>147</v>
      </c>
      <c r="BL883" t="s">
        <v>2480</v>
      </c>
      <c r="BM883" t="s">
        <v>15106</v>
      </c>
      <c r="BN883" t="s">
        <v>74</v>
      </c>
      <c r="BO883" t="s">
        <v>2482</v>
      </c>
      <c r="BP883" t="s">
        <v>74</v>
      </c>
      <c r="BQ883" t="s">
        <v>74</v>
      </c>
      <c r="BR883" t="s">
        <v>97</v>
      </c>
      <c r="BS883" t="s">
        <v>15107</v>
      </c>
      <c r="BT883" t="str">
        <f>HYPERLINK("https%3A%2F%2Fwww.webofscience.com%2Fwos%2Fwoscc%2Ffull-record%2FWOS:000741448500001","View Full Record in Web of Science")</f>
        <v>View Full Record in Web of Science</v>
      </c>
    </row>
    <row r="884" spans="1:72" x14ac:dyDescent="0.25">
      <c r="A884" t="s">
        <v>72</v>
      </c>
      <c r="B884" t="s">
        <v>15108</v>
      </c>
      <c r="C884" t="s">
        <v>74</v>
      </c>
      <c r="D884" t="s">
        <v>74</v>
      </c>
      <c r="E884" t="s">
        <v>74</v>
      </c>
      <c r="F884" t="s">
        <v>15109</v>
      </c>
      <c r="G884" t="s">
        <v>74</v>
      </c>
      <c r="H884" t="s">
        <v>74</v>
      </c>
      <c r="I884" t="s">
        <v>15110</v>
      </c>
      <c r="J884" t="s">
        <v>2228</v>
      </c>
      <c r="K884" t="s">
        <v>74</v>
      </c>
      <c r="L884" t="s">
        <v>74</v>
      </c>
      <c r="M884" t="s">
        <v>77</v>
      </c>
      <c r="N884" t="s">
        <v>10095</v>
      </c>
      <c r="O884" t="s">
        <v>74</v>
      </c>
      <c r="P884" t="s">
        <v>74</v>
      </c>
      <c r="Q884" t="s">
        <v>74</v>
      </c>
      <c r="R884" t="s">
        <v>74</v>
      </c>
      <c r="S884" t="s">
        <v>74</v>
      </c>
      <c r="T884" t="s">
        <v>15111</v>
      </c>
      <c r="U884" t="s">
        <v>15112</v>
      </c>
      <c r="V884" t="s">
        <v>15113</v>
      </c>
      <c r="W884" t="s">
        <v>15114</v>
      </c>
      <c r="X884" t="s">
        <v>15115</v>
      </c>
      <c r="Y884" t="s">
        <v>15116</v>
      </c>
      <c r="Z884" t="s">
        <v>15117</v>
      </c>
      <c r="AA884" t="s">
        <v>74</v>
      </c>
      <c r="AB884" t="s">
        <v>74</v>
      </c>
      <c r="AC884" t="s">
        <v>15118</v>
      </c>
      <c r="AD884" t="s">
        <v>891</v>
      </c>
      <c r="AE884" t="s">
        <v>15119</v>
      </c>
      <c r="AF884" t="s">
        <v>74</v>
      </c>
      <c r="AG884">
        <v>108</v>
      </c>
      <c r="AH884">
        <v>3</v>
      </c>
      <c r="AI884">
        <v>3</v>
      </c>
      <c r="AJ884">
        <v>7</v>
      </c>
      <c r="AK884">
        <v>41</v>
      </c>
      <c r="AL884" t="s">
        <v>1099</v>
      </c>
      <c r="AM884" t="s">
        <v>305</v>
      </c>
      <c r="AN884" t="s">
        <v>1100</v>
      </c>
      <c r="AO884" t="s">
        <v>2239</v>
      </c>
      <c r="AP884" t="s">
        <v>2240</v>
      </c>
      <c r="AQ884" t="s">
        <v>74</v>
      </c>
      <c r="AR884" t="s">
        <v>2241</v>
      </c>
      <c r="AS884" t="s">
        <v>2242</v>
      </c>
      <c r="AT884" t="s">
        <v>74</v>
      </c>
      <c r="AU884" t="s">
        <v>74</v>
      </c>
      <c r="AV884" t="s">
        <v>74</v>
      </c>
      <c r="AW884" t="s">
        <v>74</v>
      </c>
      <c r="AX884" t="s">
        <v>74</v>
      </c>
      <c r="AY884" t="s">
        <v>74</v>
      </c>
      <c r="AZ884" t="s">
        <v>74</v>
      </c>
      <c r="BA884" t="s">
        <v>74</v>
      </c>
      <c r="BB884" t="s">
        <v>74</v>
      </c>
      <c r="BC884" t="s">
        <v>74</v>
      </c>
      <c r="BD884" t="s">
        <v>74</v>
      </c>
      <c r="BE884" t="s">
        <v>15120</v>
      </c>
      <c r="BF884" t="str">
        <f>HYPERLINK("http://dx.doi.org/10.1080/14719037.2021.1999668","http://dx.doi.org/10.1080/14719037.2021.1999668")</f>
        <v>http://dx.doi.org/10.1080/14719037.2021.1999668</v>
      </c>
      <c r="BG884" t="s">
        <v>74</v>
      </c>
      <c r="BH884" t="s">
        <v>12650</v>
      </c>
      <c r="BI884">
        <v>25</v>
      </c>
      <c r="BJ884" t="s">
        <v>2245</v>
      </c>
      <c r="BK884" t="s">
        <v>94</v>
      </c>
      <c r="BL884" t="s">
        <v>2246</v>
      </c>
      <c r="BM884" t="s">
        <v>15121</v>
      </c>
      <c r="BN884" t="s">
        <v>74</v>
      </c>
      <c r="BO884" t="s">
        <v>74</v>
      </c>
      <c r="BP884" t="s">
        <v>74</v>
      </c>
      <c r="BQ884" t="s">
        <v>74</v>
      </c>
      <c r="BR884" t="s">
        <v>97</v>
      </c>
      <c r="BS884" t="s">
        <v>15122</v>
      </c>
      <c r="BT884" t="str">
        <f>HYPERLINK("https%3A%2F%2Fwww.webofscience.com%2Fwos%2Fwoscc%2Ffull-record%2FWOS:000717364800001","View Full Record in Web of Science")</f>
        <v>View Full Record in Web of Science</v>
      </c>
    </row>
    <row r="885" spans="1:72" x14ac:dyDescent="0.25">
      <c r="A885" t="s">
        <v>72</v>
      </c>
      <c r="B885" t="s">
        <v>15123</v>
      </c>
      <c r="C885" t="s">
        <v>74</v>
      </c>
      <c r="D885" t="s">
        <v>74</v>
      </c>
      <c r="E885" t="s">
        <v>74</v>
      </c>
      <c r="F885" t="s">
        <v>15124</v>
      </c>
      <c r="G885" t="s">
        <v>74</v>
      </c>
      <c r="H885" t="s">
        <v>74</v>
      </c>
      <c r="I885" t="s">
        <v>15125</v>
      </c>
      <c r="J885" t="s">
        <v>15126</v>
      </c>
      <c r="K885" t="s">
        <v>74</v>
      </c>
      <c r="L885" t="s">
        <v>74</v>
      </c>
      <c r="M885" t="s">
        <v>77</v>
      </c>
      <c r="N885" t="s">
        <v>78</v>
      </c>
      <c r="O885" t="s">
        <v>74</v>
      </c>
      <c r="P885" t="s">
        <v>74</v>
      </c>
      <c r="Q885" t="s">
        <v>74</v>
      </c>
      <c r="R885" t="s">
        <v>74</v>
      </c>
      <c r="S885" t="s">
        <v>74</v>
      </c>
      <c r="T885" t="s">
        <v>15127</v>
      </c>
      <c r="U885" t="s">
        <v>15128</v>
      </c>
      <c r="V885" t="s">
        <v>15129</v>
      </c>
      <c r="W885" t="s">
        <v>15130</v>
      </c>
      <c r="X885" t="s">
        <v>15131</v>
      </c>
      <c r="Y885" t="s">
        <v>15132</v>
      </c>
      <c r="Z885" t="s">
        <v>15133</v>
      </c>
      <c r="AA885" t="s">
        <v>74</v>
      </c>
      <c r="AB885" t="s">
        <v>15134</v>
      </c>
      <c r="AC885" t="s">
        <v>15135</v>
      </c>
      <c r="AD885" t="s">
        <v>15136</v>
      </c>
      <c r="AE885" t="s">
        <v>15137</v>
      </c>
      <c r="AF885" t="s">
        <v>74</v>
      </c>
      <c r="AG885">
        <v>108</v>
      </c>
      <c r="AH885">
        <v>3</v>
      </c>
      <c r="AI885">
        <v>3</v>
      </c>
      <c r="AJ885">
        <v>17</v>
      </c>
      <c r="AK885">
        <v>54</v>
      </c>
      <c r="AL885" t="s">
        <v>665</v>
      </c>
      <c r="AM885" t="s">
        <v>666</v>
      </c>
      <c r="AN885" t="s">
        <v>667</v>
      </c>
      <c r="AO885" t="s">
        <v>15138</v>
      </c>
      <c r="AP885" t="s">
        <v>15139</v>
      </c>
      <c r="AQ885" t="s">
        <v>74</v>
      </c>
      <c r="AR885" t="s">
        <v>15140</v>
      </c>
      <c r="AS885" t="s">
        <v>15141</v>
      </c>
      <c r="AT885" t="s">
        <v>15142</v>
      </c>
      <c r="AU885">
        <v>2023</v>
      </c>
      <c r="AV885">
        <v>30</v>
      </c>
      <c r="AW885">
        <v>2</v>
      </c>
      <c r="AX885" t="s">
        <v>74</v>
      </c>
      <c r="AY885" t="s">
        <v>74</v>
      </c>
      <c r="AZ885" t="s">
        <v>74</v>
      </c>
      <c r="BA885" t="s">
        <v>74</v>
      </c>
      <c r="BB885">
        <v>623</v>
      </c>
      <c r="BC885">
        <v>646</v>
      </c>
      <c r="BD885" t="s">
        <v>74</v>
      </c>
      <c r="BE885" t="s">
        <v>15143</v>
      </c>
      <c r="BF885" t="str">
        <f>HYPERLINK("http://dx.doi.org/10.1108/ECAM-01-2021-0093","http://dx.doi.org/10.1108/ECAM-01-2021-0093")</f>
        <v>http://dx.doi.org/10.1108/ECAM-01-2021-0093</v>
      </c>
      <c r="BG885" t="s">
        <v>74</v>
      </c>
      <c r="BH885" t="s">
        <v>12650</v>
      </c>
      <c r="BI885">
        <v>24</v>
      </c>
      <c r="BJ885" t="s">
        <v>15144</v>
      </c>
      <c r="BK885" t="s">
        <v>147</v>
      </c>
      <c r="BL885" t="s">
        <v>3833</v>
      </c>
      <c r="BM885" t="s">
        <v>15145</v>
      </c>
      <c r="BN885" t="s">
        <v>74</v>
      </c>
      <c r="BO885" t="s">
        <v>74</v>
      </c>
      <c r="BP885" t="s">
        <v>74</v>
      </c>
      <c r="BQ885" t="s">
        <v>74</v>
      </c>
      <c r="BR885" t="s">
        <v>97</v>
      </c>
      <c r="BS885" t="s">
        <v>15146</v>
      </c>
      <c r="BT885" t="str">
        <f>HYPERLINK("https%3A%2F%2Fwww.webofscience.com%2Fwos%2Fwoscc%2Ffull-record%2FWOS:000718361300001","View Full Record in Web of Science")</f>
        <v>View Full Record in Web of Science</v>
      </c>
    </row>
    <row r="886" spans="1:72" x14ac:dyDescent="0.25">
      <c r="A886" t="s">
        <v>72</v>
      </c>
      <c r="B886" t="s">
        <v>15147</v>
      </c>
      <c r="C886" t="s">
        <v>74</v>
      </c>
      <c r="D886" t="s">
        <v>74</v>
      </c>
      <c r="E886" t="s">
        <v>74</v>
      </c>
      <c r="F886" t="s">
        <v>15148</v>
      </c>
      <c r="G886" t="s">
        <v>74</v>
      </c>
      <c r="H886" t="s">
        <v>74</v>
      </c>
      <c r="I886" t="s">
        <v>15149</v>
      </c>
      <c r="J886" t="s">
        <v>3184</v>
      </c>
      <c r="K886" t="s">
        <v>74</v>
      </c>
      <c r="L886" t="s">
        <v>74</v>
      </c>
      <c r="M886" t="s">
        <v>77</v>
      </c>
      <c r="N886" t="s">
        <v>78</v>
      </c>
      <c r="O886" t="s">
        <v>74</v>
      </c>
      <c r="P886" t="s">
        <v>74</v>
      </c>
      <c r="Q886" t="s">
        <v>74</v>
      </c>
      <c r="R886" t="s">
        <v>74</v>
      </c>
      <c r="S886" t="s">
        <v>74</v>
      </c>
      <c r="T886" t="s">
        <v>15150</v>
      </c>
      <c r="U886" t="s">
        <v>15151</v>
      </c>
      <c r="V886" t="s">
        <v>15152</v>
      </c>
      <c r="W886" t="s">
        <v>15153</v>
      </c>
      <c r="X886" t="s">
        <v>15154</v>
      </c>
      <c r="Y886" t="s">
        <v>15155</v>
      </c>
      <c r="Z886" t="s">
        <v>15156</v>
      </c>
      <c r="AA886" t="s">
        <v>74</v>
      </c>
      <c r="AB886" t="s">
        <v>74</v>
      </c>
      <c r="AC886" t="s">
        <v>74</v>
      </c>
      <c r="AD886" t="s">
        <v>74</v>
      </c>
      <c r="AE886" t="s">
        <v>74</v>
      </c>
      <c r="AF886" t="s">
        <v>74</v>
      </c>
      <c r="AG886">
        <v>56</v>
      </c>
      <c r="AH886">
        <v>3</v>
      </c>
      <c r="AI886">
        <v>3</v>
      </c>
      <c r="AJ886">
        <v>9</v>
      </c>
      <c r="AK886">
        <v>37</v>
      </c>
      <c r="AL886" t="s">
        <v>3195</v>
      </c>
      <c r="AM886" t="s">
        <v>3196</v>
      </c>
      <c r="AN886" t="s">
        <v>3197</v>
      </c>
      <c r="AO886" t="s">
        <v>3198</v>
      </c>
      <c r="AP886" t="s">
        <v>74</v>
      </c>
      <c r="AQ886" t="s">
        <v>74</v>
      </c>
      <c r="AR886" t="s">
        <v>3199</v>
      </c>
      <c r="AS886" t="s">
        <v>3200</v>
      </c>
      <c r="AT886" t="s">
        <v>15157</v>
      </c>
      <c r="AU886">
        <v>2021</v>
      </c>
      <c r="AV886">
        <v>12</v>
      </c>
      <c r="AW886" t="s">
        <v>74</v>
      </c>
      <c r="AX886" t="s">
        <v>74</v>
      </c>
      <c r="AY886" t="s">
        <v>74</v>
      </c>
      <c r="AZ886" t="s">
        <v>74</v>
      </c>
      <c r="BA886" t="s">
        <v>74</v>
      </c>
      <c r="BB886" t="s">
        <v>74</v>
      </c>
      <c r="BC886" t="s">
        <v>74</v>
      </c>
      <c r="BD886">
        <v>734014</v>
      </c>
      <c r="BE886" t="s">
        <v>15158</v>
      </c>
      <c r="BF886" t="str">
        <f>HYPERLINK("http://dx.doi.org/10.3389/fpsyg.2021.734014","http://dx.doi.org/10.3389/fpsyg.2021.734014")</f>
        <v>http://dx.doi.org/10.3389/fpsyg.2021.734014</v>
      </c>
      <c r="BG886" t="s">
        <v>74</v>
      </c>
      <c r="BH886" t="s">
        <v>74</v>
      </c>
      <c r="BI886">
        <v>11</v>
      </c>
      <c r="BJ886" t="s">
        <v>3203</v>
      </c>
      <c r="BK886" t="s">
        <v>94</v>
      </c>
      <c r="BL886" t="s">
        <v>460</v>
      </c>
      <c r="BM886" t="s">
        <v>15159</v>
      </c>
      <c r="BN886">
        <v>34803812</v>
      </c>
      <c r="BO886" t="s">
        <v>4398</v>
      </c>
      <c r="BP886" t="s">
        <v>74</v>
      </c>
      <c r="BQ886" t="s">
        <v>74</v>
      </c>
      <c r="BR886" t="s">
        <v>97</v>
      </c>
      <c r="BS886" t="s">
        <v>15160</v>
      </c>
      <c r="BT886" t="str">
        <f>HYPERLINK("https%3A%2F%2Fwww.webofscience.com%2Fwos%2Fwoscc%2Ffull-record%2FWOS:000719826600001","View Full Record in Web of Science")</f>
        <v>View Full Record in Web of Science</v>
      </c>
    </row>
    <row r="887" spans="1:72" x14ac:dyDescent="0.25">
      <c r="A887" t="s">
        <v>72</v>
      </c>
      <c r="B887" t="s">
        <v>15161</v>
      </c>
      <c r="C887" t="s">
        <v>74</v>
      </c>
      <c r="D887" t="s">
        <v>74</v>
      </c>
      <c r="E887" t="s">
        <v>74</v>
      </c>
      <c r="F887" t="s">
        <v>15162</v>
      </c>
      <c r="G887" t="s">
        <v>74</v>
      </c>
      <c r="H887" t="s">
        <v>74</v>
      </c>
      <c r="I887" t="s">
        <v>15163</v>
      </c>
      <c r="J887" t="s">
        <v>2502</v>
      </c>
      <c r="K887" t="s">
        <v>74</v>
      </c>
      <c r="L887" t="s">
        <v>74</v>
      </c>
      <c r="M887" t="s">
        <v>77</v>
      </c>
      <c r="N887" t="s">
        <v>78</v>
      </c>
      <c r="O887" t="s">
        <v>74</v>
      </c>
      <c r="P887" t="s">
        <v>74</v>
      </c>
      <c r="Q887" t="s">
        <v>74</v>
      </c>
      <c r="R887" t="s">
        <v>74</v>
      </c>
      <c r="S887" t="s">
        <v>74</v>
      </c>
      <c r="T887" t="s">
        <v>15164</v>
      </c>
      <c r="U887" t="s">
        <v>15165</v>
      </c>
      <c r="V887" t="s">
        <v>15166</v>
      </c>
      <c r="W887" t="s">
        <v>15167</v>
      </c>
      <c r="X887" t="s">
        <v>6801</v>
      </c>
      <c r="Y887" t="s">
        <v>15168</v>
      </c>
      <c r="Z887" t="s">
        <v>6803</v>
      </c>
      <c r="AA887" t="s">
        <v>6804</v>
      </c>
      <c r="AB887" t="s">
        <v>6805</v>
      </c>
      <c r="AC887" t="s">
        <v>74</v>
      </c>
      <c r="AD887" t="s">
        <v>74</v>
      </c>
      <c r="AE887" t="s">
        <v>74</v>
      </c>
      <c r="AF887" t="s">
        <v>74</v>
      </c>
      <c r="AG887">
        <v>78</v>
      </c>
      <c r="AH887">
        <v>3</v>
      </c>
      <c r="AI887">
        <v>3</v>
      </c>
      <c r="AJ887">
        <v>27</v>
      </c>
      <c r="AK887">
        <v>50</v>
      </c>
      <c r="AL887" t="s">
        <v>665</v>
      </c>
      <c r="AM887" t="s">
        <v>666</v>
      </c>
      <c r="AN887" t="s">
        <v>667</v>
      </c>
      <c r="AO887" t="s">
        <v>2510</v>
      </c>
      <c r="AP887" t="s">
        <v>2511</v>
      </c>
      <c r="AQ887" t="s">
        <v>74</v>
      </c>
      <c r="AR887" t="s">
        <v>2512</v>
      </c>
      <c r="AS887" t="s">
        <v>2513</v>
      </c>
      <c r="AT887" t="s">
        <v>15169</v>
      </c>
      <c r="AU887">
        <v>2023</v>
      </c>
      <c r="AV887">
        <v>52</v>
      </c>
      <c r="AW887">
        <v>1</v>
      </c>
      <c r="AX887" t="s">
        <v>74</v>
      </c>
      <c r="AY887" t="s">
        <v>74</v>
      </c>
      <c r="AZ887" t="s">
        <v>74</v>
      </c>
      <c r="BA887" t="s">
        <v>74</v>
      </c>
      <c r="BB887">
        <v>382</v>
      </c>
      <c r="BC887">
        <v>399</v>
      </c>
      <c r="BD887" t="s">
        <v>74</v>
      </c>
      <c r="BE887" t="s">
        <v>15170</v>
      </c>
      <c r="BF887" t="str">
        <f>HYPERLINK("http://dx.doi.org/10.1108/PR-02-2021-0105","http://dx.doi.org/10.1108/PR-02-2021-0105")</f>
        <v>http://dx.doi.org/10.1108/PR-02-2021-0105</v>
      </c>
      <c r="BG887" t="s">
        <v>74</v>
      </c>
      <c r="BH887" t="s">
        <v>7655</v>
      </c>
      <c r="BI887">
        <v>18</v>
      </c>
      <c r="BJ887" t="s">
        <v>2515</v>
      </c>
      <c r="BK887" t="s">
        <v>94</v>
      </c>
      <c r="BL887" t="s">
        <v>227</v>
      </c>
      <c r="BM887" t="s">
        <v>15171</v>
      </c>
      <c r="BN887" t="s">
        <v>74</v>
      </c>
      <c r="BO887" t="s">
        <v>408</v>
      </c>
      <c r="BP887" t="s">
        <v>74</v>
      </c>
      <c r="BQ887" t="s">
        <v>74</v>
      </c>
      <c r="BR887" t="s">
        <v>97</v>
      </c>
      <c r="BS887" t="s">
        <v>15172</v>
      </c>
      <c r="BT887" t="str">
        <f>HYPERLINK("https%3A%2F%2Fwww.webofscience.com%2Fwos%2Fwoscc%2Ffull-record%2FWOS:000712438900001","View Full Record in Web of Science")</f>
        <v>View Full Record in Web of Science</v>
      </c>
    </row>
    <row r="888" spans="1:72" x14ac:dyDescent="0.25">
      <c r="A888" t="s">
        <v>72</v>
      </c>
      <c r="B888" t="s">
        <v>5943</v>
      </c>
      <c r="C888" t="s">
        <v>74</v>
      </c>
      <c r="D888" t="s">
        <v>74</v>
      </c>
      <c r="E888" t="s">
        <v>74</v>
      </c>
      <c r="F888" t="s">
        <v>5944</v>
      </c>
      <c r="G888" t="s">
        <v>74</v>
      </c>
      <c r="H888" t="s">
        <v>74</v>
      </c>
      <c r="I888" t="s">
        <v>15173</v>
      </c>
      <c r="J888" t="s">
        <v>4325</v>
      </c>
      <c r="K888" t="s">
        <v>74</v>
      </c>
      <c r="L888" t="s">
        <v>74</v>
      </c>
      <c r="M888" t="s">
        <v>77</v>
      </c>
      <c r="N888" t="s">
        <v>78</v>
      </c>
      <c r="O888" t="s">
        <v>74</v>
      </c>
      <c r="P888" t="s">
        <v>74</v>
      </c>
      <c r="Q888" t="s">
        <v>74</v>
      </c>
      <c r="R888" t="s">
        <v>74</v>
      </c>
      <c r="S888" t="s">
        <v>74</v>
      </c>
      <c r="T888" t="s">
        <v>15174</v>
      </c>
      <c r="U888" t="s">
        <v>15175</v>
      </c>
      <c r="V888" t="s">
        <v>15176</v>
      </c>
      <c r="W888" t="s">
        <v>15177</v>
      </c>
      <c r="X888" t="s">
        <v>5950</v>
      </c>
      <c r="Y888" t="s">
        <v>7715</v>
      </c>
      <c r="Z888" t="s">
        <v>7716</v>
      </c>
      <c r="AA888" t="s">
        <v>5953</v>
      </c>
      <c r="AB888" t="s">
        <v>7717</v>
      </c>
      <c r="AC888" t="s">
        <v>74</v>
      </c>
      <c r="AD888" t="s">
        <v>74</v>
      </c>
      <c r="AE888" t="s">
        <v>74</v>
      </c>
      <c r="AF888" t="s">
        <v>74</v>
      </c>
      <c r="AG888">
        <v>119</v>
      </c>
      <c r="AH888">
        <v>3</v>
      </c>
      <c r="AI888">
        <v>3</v>
      </c>
      <c r="AJ888">
        <v>3</v>
      </c>
      <c r="AK888">
        <v>17</v>
      </c>
      <c r="AL888" t="s">
        <v>218</v>
      </c>
      <c r="AM888" t="s">
        <v>219</v>
      </c>
      <c r="AN888" t="s">
        <v>220</v>
      </c>
      <c r="AO888" t="s">
        <v>4332</v>
      </c>
      <c r="AP888" t="s">
        <v>4333</v>
      </c>
      <c r="AQ888" t="s">
        <v>74</v>
      </c>
      <c r="AR888" t="s">
        <v>4334</v>
      </c>
      <c r="AS888" t="s">
        <v>4335</v>
      </c>
      <c r="AT888" t="s">
        <v>375</v>
      </c>
      <c r="AU888">
        <v>2021</v>
      </c>
      <c r="AV888">
        <v>30</v>
      </c>
      <c r="AW888">
        <v>4</v>
      </c>
      <c r="AX888" t="s">
        <v>74</v>
      </c>
      <c r="AY888" t="s">
        <v>74</v>
      </c>
      <c r="AZ888" t="s">
        <v>74</v>
      </c>
      <c r="BA888" t="s">
        <v>74</v>
      </c>
      <c r="BB888">
        <v>680</v>
      </c>
      <c r="BC888">
        <v>696</v>
      </c>
      <c r="BD888" t="s">
        <v>74</v>
      </c>
      <c r="BE888" t="s">
        <v>15178</v>
      </c>
      <c r="BF888" t="str">
        <f>HYPERLINK("http://dx.doi.org/10.1111/caim.12467","http://dx.doi.org/10.1111/caim.12467")</f>
        <v>http://dx.doi.org/10.1111/caim.12467</v>
      </c>
      <c r="BG888" t="s">
        <v>74</v>
      </c>
      <c r="BH888" t="s">
        <v>7655</v>
      </c>
      <c r="BI888">
        <v>17</v>
      </c>
      <c r="BJ888" t="s">
        <v>442</v>
      </c>
      <c r="BK888" t="s">
        <v>94</v>
      </c>
      <c r="BL888" t="s">
        <v>95</v>
      </c>
      <c r="BM888" t="s">
        <v>10922</v>
      </c>
      <c r="BN888" t="s">
        <v>74</v>
      </c>
      <c r="BO888" t="s">
        <v>74</v>
      </c>
      <c r="BP888" t="s">
        <v>74</v>
      </c>
      <c r="BQ888" t="s">
        <v>74</v>
      </c>
      <c r="BR888" t="s">
        <v>97</v>
      </c>
      <c r="BS888" t="s">
        <v>15179</v>
      </c>
      <c r="BT888" t="str">
        <f>HYPERLINK("https%3A%2F%2Fwww.webofscience.com%2Fwos%2Fwoscc%2Ffull-record%2FWOS:000709599300001","View Full Record in Web of Science")</f>
        <v>View Full Record in Web of Science</v>
      </c>
    </row>
    <row r="889" spans="1:72" x14ac:dyDescent="0.25">
      <c r="A889" t="s">
        <v>72</v>
      </c>
      <c r="B889" t="s">
        <v>15180</v>
      </c>
      <c r="C889" t="s">
        <v>74</v>
      </c>
      <c r="D889" t="s">
        <v>74</v>
      </c>
      <c r="E889" t="s">
        <v>74</v>
      </c>
      <c r="F889" t="s">
        <v>15181</v>
      </c>
      <c r="G889" t="s">
        <v>74</v>
      </c>
      <c r="H889" t="s">
        <v>74</v>
      </c>
      <c r="I889" t="s">
        <v>15182</v>
      </c>
      <c r="J889" t="s">
        <v>2463</v>
      </c>
      <c r="K889" t="s">
        <v>74</v>
      </c>
      <c r="L889" t="s">
        <v>74</v>
      </c>
      <c r="M889" t="s">
        <v>77</v>
      </c>
      <c r="N889" t="s">
        <v>78</v>
      </c>
      <c r="O889" t="s">
        <v>74</v>
      </c>
      <c r="P889" t="s">
        <v>74</v>
      </c>
      <c r="Q889" t="s">
        <v>74</v>
      </c>
      <c r="R889" t="s">
        <v>74</v>
      </c>
      <c r="S889" t="s">
        <v>74</v>
      </c>
      <c r="T889" t="s">
        <v>15183</v>
      </c>
      <c r="U889" t="s">
        <v>15184</v>
      </c>
      <c r="V889" t="s">
        <v>15185</v>
      </c>
      <c r="W889" t="s">
        <v>15186</v>
      </c>
      <c r="X889" t="s">
        <v>2507</v>
      </c>
      <c r="Y889" t="s">
        <v>15187</v>
      </c>
      <c r="Z889" t="s">
        <v>15188</v>
      </c>
      <c r="AA889" t="s">
        <v>74</v>
      </c>
      <c r="AB889" t="s">
        <v>15189</v>
      </c>
      <c r="AC889" t="s">
        <v>74</v>
      </c>
      <c r="AD889" t="s">
        <v>74</v>
      </c>
      <c r="AE889" t="s">
        <v>74</v>
      </c>
      <c r="AF889" t="s">
        <v>74</v>
      </c>
      <c r="AG889">
        <v>61</v>
      </c>
      <c r="AH889">
        <v>3</v>
      </c>
      <c r="AI889">
        <v>3</v>
      </c>
      <c r="AJ889">
        <v>16</v>
      </c>
      <c r="AK889">
        <v>47</v>
      </c>
      <c r="AL889" t="s">
        <v>2473</v>
      </c>
      <c r="AM889" t="s">
        <v>2102</v>
      </c>
      <c r="AN889" t="s">
        <v>2474</v>
      </c>
      <c r="AO889" t="s">
        <v>74</v>
      </c>
      <c r="AP889" t="s">
        <v>2475</v>
      </c>
      <c r="AQ889" t="s">
        <v>74</v>
      </c>
      <c r="AR889" t="s">
        <v>2476</v>
      </c>
      <c r="AS889" t="s">
        <v>2477</v>
      </c>
      <c r="AT889" t="s">
        <v>256</v>
      </c>
      <c r="AU889">
        <v>2021</v>
      </c>
      <c r="AV889">
        <v>13</v>
      </c>
      <c r="AW889">
        <v>19</v>
      </c>
      <c r="AX889" t="s">
        <v>74</v>
      </c>
      <c r="AY889" t="s">
        <v>74</v>
      </c>
      <c r="AZ889" t="s">
        <v>74</v>
      </c>
      <c r="BA889" t="s">
        <v>74</v>
      </c>
      <c r="BB889" t="s">
        <v>74</v>
      </c>
      <c r="BC889" t="s">
        <v>74</v>
      </c>
      <c r="BD889">
        <v>10802</v>
      </c>
      <c r="BE889" t="s">
        <v>15190</v>
      </c>
      <c r="BF889" t="str">
        <f>HYPERLINK("http://dx.doi.org/10.3390/su131910802","http://dx.doi.org/10.3390/su131910802")</f>
        <v>http://dx.doi.org/10.3390/su131910802</v>
      </c>
      <c r="BG889" t="s">
        <v>74</v>
      </c>
      <c r="BH889" t="s">
        <v>74</v>
      </c>
      <c r="BI889">
        <v>12</v>
      </c>
      <c r="BJ889" t="s">
        <v>2479</v>
      </c>
      <c r="BK889" t="s">
        <v>147</v>
      </c>
      <c r="BL889" t="s">
        <v>2480</v>
      </c>
      <c r="BM889" t="s">
        <v>15191</v>
      </c>
      <c r="BN889" t="s">
        <v>74</v>
      </c>
      <c r="BO889" t="s">
        <v>2482</v>
      </c>
      <c r="BP889" t="s">
        <v>74</v>
      </c>
      <c r="BQ889" t="s">
        <v>74</v>
      </c>
      <c r="BR889" t="s">
        <v>97</v>
      </c>
      <c r="BS889" t="s">
        <v>15192</v>
      </c>
      <c r="BT889" t="str">
        <f>HYPERLINK("https%3A%2F%2Fwww.webofscience.com%2Fwos%2Fwoscc%2Ffull-record%2FWOS:000709540900001","View Full Record in Web of Science")</f>
        <v>View Full Record in Web of Science</v>
      </c>
    </row>
    <row r="890" spans="1:72" x14ac:dyDescent="0.25">
      <c r="A890" t="s">
        <v>72</v>
      </c>
      <c r="B890" t="s">
        <v>15193</v>
      </c>
      <c r="C890" t="s">
        <v>74</v>
      </c>
      <c r="D890" t="s">
        <v>74</v>
      </c>
      <c r="E890" t="s">
        <v>74</v>
      </c>
      <c r="F890" t="s">
        <v>15194</v>
      </c>
      <c r="G890" t="s">
        <v>74</v>
      </c>
      <c r="H890" t="s">
        <v>74</v>
      </c>
      <c r="I890" t="s">
        <v>15195</v>
      </c>
      <c r="J890" t="s">
        <v>15196</v>
      </c>
      <c r="K890" t="s">
        <v>74</v>
      </c>
      <c r="L890" t="s">
        <v>74</v>
      </c>
      <c r="M890" t="s">
        <v>77</v>
      </c>
      <c r="N890" t="s">
        <v>78</v>
      </c>
      <c r="O890" t="s">
        <v>74</v>
      </c>
      <c r="P890" t="s">
        <v>74</v>
      </c>
      <c r="Q890" t="s">
        <v>74</v>
      </c>
      <c r="R890" t="s">
        <v>74</v>
      </c>
      <c r="S890" t="s">
        <v>74</v>
      </c>
      <c r="T890" t="s">
        <v>15197</v>
      </c>
      <c r="U890" t="s">
        <v>15198</v>
      </c>
      <c r="V890" t="s">
        <v>15199</v>
      </c>
      <c r="W890" t="s">
        <v>15200</v>
      </c>
      <c r="X890" t="s">
        <v>15201</v>
      </c>
      <c r="Y890" t="s">
        <v>15202</v>
      </c>
      <c r="Z890" t="s">
        <v>15203</v>
      </c>
      <c r="AA890" t="s">
        <v>74</v>
      </c>
      <c r="AB890" t="s">
        <v>74</v>
      </c>
      <c r="AC890" t="s">
        <v>15204</v>
      </c>
      <c r="AD890" t="s">
        <v>575</v>
      </c>
      <c r="AE890" t="s">
        <v>15205</v>
      </c>
      <c r="AF890" t="s">
        <v>74</v>
      </c>
      <c r="AG890">
        <v>64</v>
      </c>
      <c r="AH890">
        <v>3</v>
      </c>
      <c r="AI890">
        <v>3</v>
      </c>
      <c r="AJ890">
        <v>9</v>
      </c>
      <c r="AK890">
        <v>40</v>
      </c>
      <c r="AL890" t="s">
        <v>1099</v>
      </c>
      <c r="AM890" t="s">
        <v>305</v>
      </c>
      <c r="AN890" t="s">
        <v>1100</v>
      </c>
      <c r="AO890" t="s">
        <v>15206</v>
      </c>
      <c r="AP890" t="s">
        <v>15207</v>
      </c>
      <c r="AQ890" t="s">
        <v>74</v>
      </c>
      <c r="AR890" t="s">
        <v>15208</v>
      </c>
      <c r="AS890" t="s">
        <v>15209</v>
      </c>
      <c r="AT890" t="s">
        <v>11567</v>
      </c>
      <c r="AU890">
        <v>2022</v>
      </c>
      <c r="AV890">
        <v>58</v>
      </c>
      <c r="AW890">
        <v>8</v>
      </c>
      <c r="AX890" t="s">
        <v>74</v>
      </c>
      <c r="AY890" t="s">
        <v>74</v>
      </c>
      <c r="AZ890" t="s">
        <v>74</v>
      </c>
      <c r="BA890" t="s">
        <v>74</v>
      </c>
      <c r="BB890">
        <v>2326</v>
      </c>
      <c r="BC890">
        <v>2341</v>
      </c>
      <c r="BD890" t="s">
        <v>74</v>
      </c>
      <c r="BE890" t="s">
        <v>15210</v>
      </c>
      <c r="BF890" t="str">
        <f>HYPERLINK("http://dx.doi.org/10.1080/1540496X.2021.1977121","http://dx.doi.org/10.1080/1540496X.2021.1977121")</f>
        <v>http://dx.doi.org/10.1080/1540496X.2021.1977121</v>
      </c>
      <c r="BG890" t="s">
        <v>74</v>
      </c>
      <c r="BH890" t="s">
        <v>6758</v>
      </c>
      <c r="BI890">
        <v>16</v>
      </c>
      <c r="BJ890" t="s">
        <v>15211</v>
      </c>
      <c r="BK890" t="s">
        <v>94</v>
      </c>
      <c r="BL890" t="s">
        <v>15212</v>
      </c>
      <c r="BM890" t="s">
        <v>15213</v>
      </c>
      <c r="BN890" t="s">
        <v>74</v>
      </c>
      <c r="BO890" t="s">
        <v>74</v>
      </c>
      <c r="BP890" t="s">
        <v>74</v>
      </c>
      <c r="BQ890" t="s">
        <v>74</v>
      </c>
      <c r="BR890" t="s">
        <v>97</v>
      </c>
      <c r="BS890" t="s">
        <v>15214</v>
      </c>
      <c r="BT890" t="str">
        <f>HYPERLINK("https%3A%2F%2Fwww.webofscience.com%2Fwos%2Fwoscc%2Ffull-record%2FWOS:000704252700001","View Full Record in Web of Science")</f>
        <v>View Full Record in Web of Science</v>
      </c>
    </row>
    <row r="891" spans="1:72" x14ac:dyDescent="0.25">
      <c r="A891" t="s">
        <v>72</v>
      </c>
      <c r="B891" t="s">
        <v>15215</v>
      </c>
      <c r="C891" t="s">
        <v>74</v>
      </c>
      <c r="D891" t="s">
        <v>74</v>
      </c>
      <c r="E891" t="s">
        <v>74</v>
      </c>
      <c r="F891" t="s">
        <v>15216</v>
      </c>
      <c r="G891" t="s">
        <v>74</v>
      </c>
      <c r="H891" t="s">
        <v>74</v>
      </c>
      <c r="I891" t="s">
        <v>15217</v>
      </c>
      <c r="J891" t="s">
        <v>9332</v>
      </c>
      <c r="K891" t="s">
        <v>74</v>
      </c>
      <c r="L891" t="s">
        <v>74</v>
      </c>
      <c r="M891" t="s">
        <v>77</v>
      </c>
      <c r="N891" t="s">
        <v>10095</v>
      </c>
      <c r="O891" t="s">
        <v>74</v>
      </c>
      <c r="P891" t="s">
        <v>74</v>
      </c>
      <c r="Q891" t="s">
        <v>74</v>
      </c>
      <c r="R891" t="s">
        <v>74</v>
      </c>
      <c r="S891" t="s">
        <v>74</v>
      </c>
      <c r="T891" t="s">
        <v>15218</v>
      </c>
      <c r="U891" t="s">
        <v>15219</v>
      </c>
      <c r="V891" t="s">
        <v>15220</v>
      </c>
      <c r="W891" t="s">
        <v>15221</v>
      </c>
      <c r="X891" t="s">
        <v>15222</v>
      </c>
      <c r="Y891" t="s">
        <v>15223</v>
      </c>
      <c r="Z891" t="s">
        <v>15224</v>
      </c>
      <c r="AA891" t="s">
        <v>15225</v>
      </c>
      <c r="AB891" t="s">
        <v>15226</v>
      </c>
      <c r="AC891" t="s">
        <v>15227</v>
      </c>
      <c r="AD891" t="s">
        <v>15228</v>
      </c>
      <c r="AE891" t="s">
        <v>15229</v>
      </c>
      <c r="AF891" t="s">
        <v>74</v>
      </c>
      <c r="AG891">
        <v>51</v>
      </c>
      <c r="AH891">
        <v>3</v>
      </c>
      <c r="AI891">
        <v>3</v>
      </c>
      <c r="AJ891">
        <v>22</v>
      </c>
      <c r="AK891">
        <v>65</v>
      </c>
      <c r="AL891" t="s">
        <v>766</v>
      </c>
      <c r="AM891" t="s">
        <v>330</v>
      </c>
      <c r="AN891" t="s">
        <v>1452</v>
      </c>
      <c r="AO891" t="s">
        <v>9344</v>
      </c>
      <c r="AP891" t="s">
        <v>9345</v>
      </c>
      <c r="AQ891" t="s">
        <v>74</v>
      </c>
      <c r="AR891" t="s">
        <v>9346</v>
      </c>
      <c r="AS891" t="s">
        <v>9347</v>
      </c>
      <c r="AT891" t="s">
        <v>74</v>
      </c>
      <c r="AU891" t="s">
        <v>74</v>
      </c>
      <c r="AV891" t="s">
        <v>74</v>
      </c>
      <c r="AW891" t="s">
        <v>74</v>
      </c>
      <c r="AX891" t="s">
        <v>74</v>
      </c>
      <c r="AY891" t="s">
        <v>74</v>
      </c>
      <c r="AZ891" t="s">
        <v>74</v>
      </c>
      <c r="BA891" t="s">
        <v>74</v>
      </c>
      <c r="BB891" t="s">
        <v>74</v>
      </c>
      <c r="BC891" t="s">
        <v>74</v>
      </c>
      <c r="BD891" t="s">
        <v>74</v>
      </c>
      <c r="BE891" t="s">
        <v>15230</v>
      </c>
      <c r="BF891" t="str">
        <f>HYPERLINK("http://dx.doi.org/10.1007/s12144-021-02233-1","http://dx.doi.org/10.1007/s12144-021-02233-1")</f>
        <v>http://dx.doi.org/10.1007/s12144-021-02233-1</v>
      </c>
      <c r="BG891" t="s">
        <v>74</v>
      </c>
      <c r="BH891" t="s">
        <v>7676</v>
      </c>
      <c r="BI891">
        <v>14</v>
      </c>
      <c r="BJ891" t="s">
        <v>3203</v>
      </c>
      <c r="BK891" t="s">
        <v>94</v>
      </c>
      <c r="BL891" t="s">
        <v>460</v>
      </c>
      <c r="BM891" t="s">
        <v>15231</v>
      </c>
      <c r="BN891" t="s">
        <v>74</v>
      </c>
      <c r="BO891" t="s">
        <v>74</v>
      </c>
      <c r="BP891" t="s">
        <v>74</v>
      </c>
      <c r="BQ891" t="s">
        <v>74</v>
      </c>
      <c r="BR891" t="s">
        <v>97</v>
      </c>
      <c r="BS891" t="s">
        <v>15232</v>
      </c>
      <c r="BT891" t="str">
        <f>HYPERLINK("https%3A%2F%2Fwww.webofscience.com%2Fwos%2Fwoscc%2Ffull-record%2FWOS:000690696700001","View Full Record in Web of Science")</f>
        <v>View Full Record in Web of Science</v>
      </c>
    </row>
    <row r="892" spans="1:72" x14ac:dyDescent="0.25">
      <c r="A892" t="s">
        <v>72</v>
      </c>
      <c r="B892" t="s">
        <v>15233</v>
      </c>
      <c r="C892" t="s">
        <v>74</v>
      </c>
      <c r="D892" t="s">
        <v>74</v>
      </c>
      <c r="E892" t="s">
        <v>74</v>
      </c>
      <c r="F892" t="s">
        <v>15234</v>
      </c>
      <c r="G892" t="s">
        <v>74</v>
      </c>
      <c r="H892" t="s">
        <v>74</v>
      </c>
      <c r="I892" t="s">
        <v>15235</v>
      </c>
      <c r="J892" t="s">
        <v>15236</v>
      </c>
      <c r="K892" t="s">
        <v>74</v>
      </c>
      <c r="L892" t="s">
        <v>74</v>
      </c>
      <c r="M892" t="s">
        <v>77</v>
      </c>
      <c r="N892" t="s">
        <v>78</v>
      </c>
      <c r="O892" t="s">
        <v>74</v>
      </c>
      <c r="P892" t="s">
        <v>74</v>
      </c>
      <c r="Q892" t="s">
        <v>74</v>
      </c>
      <c r="R892" t="s">
        <v>74</v>
      </c>
      <c r="S892" t="s">
        <v>74</v>
      </c>
      <c r="T892" t="s">
        <v>15237</v>
      </c>
      <c r="U892" t="s">
        <v>15238</v>
      </c>
      <c r="V892" t="s">
        <v>15239</v>
      </c>
      <c r="W892" t="s">
        <v>15240</v>
      </c>
      <c r="X892" t="s">
        <v>2491</v>
      </c>
      <c r="Y892" t="s">
        <v>15241</v>
      </c>
      <c r="Z892" t="s">
        <v>15242</v>
      </c>
      <c r="AA892" t="s">
        <v>15243</v>
      </c>
      <c r="AB892" t="s">
        <v>15244</v>
      </c>
      <c r="AC892" t="s">
        <v>15245</v>
      </c>
      <c r="AD892" t="s">
        <v>15246</v>
      </c>
      <c r="AE892" t="s">
        <v>15247</v>
      </c>
      <c r="AF892" t="s">
        <v>74</v>
      </c>
      <c r="AG892">
        <v>90</v>
      </c>
      <c r="AH892">
        <v>3</v>
      </c>
      <c r="AI892">
        <v>3</v>
      </c>
      <c r="AJ892">
        <v>5</v>
      </c>
      <c r="AK892">
        <v>24</v>
      </c>
      <c r="AL892" t="s">
        <v>665</v>
      </c>
      <c r="AM892" t="s">
        <v>666</v>
      </c>
      <c r="AN892" t="s">
        <v>667</v>
      </c>
      <c r="AO892" t="s">
        <v>15248</v>
      </c>
      <c r="AP892" t="s">
        <v>15249</v>
      </c>
      <c r="AQ892" t="s">
        <v>74</v>
      </c>
      <c r="AR892" t="s">
        <v>15250</v>
      </c>
      <c r="AS892" t="s">
        <v>15251</v>
      </c>
      <c r="AT892" t="s">
        <v>15252</v>
      </c>
      <c r="AU892">
        <v>2022</v>
      </c>
      <c r="AV892">
        <v>33</v>
      </c>
      <c r="AW892">
        <v>2</v>
      </c>
      <c r="AX892" t="s">
        <v>74</v>
      </c>
      <c r="AY892" t="s">
        <v>74</v>
      </c>
      <c r="AZ892" t="s">
        <v>74</v>
      </c>
      <c r="BA892" t="s">
        <v>74</v>
      </c>
      <c r="BB892">
        <v>287</v>
      </c>
      <c r="BC892">
        <v>307</v>
      </c>
      <c r="BD892" t="s">
        <v>74</v>
      </c>
      <c r="BE892" t="s">
        <v>15253</v>
      </c>
      <c r="BF892" t="str">
        <f>HYPERLINK("http://dx.doi.org/10.1108/JMTM-02-2021-0054","http://dx.doi.org/10.1108/JMTM-02-2021-0054")</f>
        <v>http://dx.doi.org/10.1108/JMTM-02-2021-0054</v>
      </c>
      <c r="BG892" t="s">
        <v>74</v>
      </c>
      <c r="BH892" t="s">
        <v>7676</v>
      </c>
      <c r="BI892">
        <v>21</v>
      </c>
      <c r="BJ892" t="s">
        <v>15254</v>
      </c>
      <c r="BK892" t="s">
        <v>147</v>
      </c>
      <c r="BL892" t="s">
        <v>3833</v>
      </c>
      <c r="BM892" t="s">
        <v>15255</v>
      </c>
      <c r="BN892" t="s">
        <v>74</v>
      </c>
      <c r="BO892" t="s">
        <v>74</v>
      </c>
      <c r="BP892" t="s">
        <v>74</v>
      </c>
      <c r="BQ892" t="s">
        <v>74</v>
      </c>
      <c r="BR892" t="s">
        <v>97</v>
      </c>
      <c r="BS892" t="s">
        <v>15256</v>
      </c>
      <c r="BT892" t="str">
        <f>HYPERLINK("https%3A%2F%2Fwww.webofscience.com%2Fwos%2Fwoscc%2Ffull-record%2FWOS:000688118000001","View Full Record in Web of Science")</f>
        <v>View Full Record in Web of Science</v>
      </c>
    </row>
    <row r="893" spans="1:72" x14ac:dyDescent="0.25">
      <c r="A893" t="s">
        <v>72</v>
      </c>
      <c r="B893" t="s">
        <v>15257</v>
      </c>
      <c r="C893" t="s">
        <v>74</v>
      </c>
      <c r="D893" t="s">
        <v>74</v>
      </c>
      <c r="E893" t="s">
        <v>74</v>
      </c>
      <c r="F893" t="s">
        <v>15258</v>
      </c>
      <c r="G893" t="s">
        <v>74</v>
      </c>
      <c r="H893" t="s">
        <v>74</v>
      </c>
      <c r="I893" t="s">
        <v>15259</v>
      </c>
      <c r="J893" t="s">
        <v>3931</v>
      </c>
      <c r="K893" t="s">
        <v>74</v>
      </c>
      <c r="L893" t="s">
        <v>74</v>
      </c>
      <c r="M893" t="s">
        <v>77</v>
      </c>
      <c r="N893" t="s">
        <v>78</v>
      </c>
      <c r="O893" t="s">
        <v>74</v>
      </c>
      <c r="P893" t="s">
        <v>74</v>
      </c>
      <c r="Q893" t="s">
        <v>74</v>
      </c>
      <c r="R893" t="s">
        <v>74</v>
      </c>
      <c r="S893" t="s">
        <v>74</v>
      </c>
      <c r="T893" t="s">
        <v>15260</v>
      </c>
      <c r="U893" t="s">
        <v>15261</v>
      </c>
      <c r="V893" t="s">
        <v>15262</v>
      </c>
      <c r="W893" t="s">
        <v>15263</v>
      </c>
      <c r="X893" t="s">
        <v>4632</v>
      </c>
      <c r="Y893" t="s">
        <v>15264</v>
      </c>
      <c r="Z893" t="s">
        <v>15265</v>
      </c>
      <c r="AA893" t="s">
        <v>15266</v>
      </c>
      <c r="AB893" t="s">
        <v>15267</v>
      </c>
      <c r="AC893" t="s">
        <v>74</v>
      </c>
      <c r="AD893" t="s">
        <v>74</v>
      </c>
      <c r="AE893" t="s">
        <v>74</v>
      </c>
      <c r="AF893" t="s">
        <v>74</v>
      </c>
      <c r="AG893">
        <v>74</v>
      </c>
      <c r="AH893">
        <v>3</v>
      </c>
      <c r="AI893">
        <v>3</v>
      </c>
      <c r="AJ893">
        <v>6</v>
      </c>
      <c r="AK893">
        <v>47</v>
      </c>
      <c r="AL893" t="s">
        <v>665</v>
      </c>
      <c r="AM893" t="s">
        <v>666</v>
      </c>
      <c r="AN893" t="s">
        <v>667</v>
      </c>
      <c r="AO893" t="s">
        <v>3939</v>
      </c>
      <c r="AP893" t="s">
        <v>3940</v>
      </c>
      <c r="AQ893" t="s">
        <v>74</v>
      </c>
      <c r="AR893" t="s">
        <v>3941</v>
      </c>
      <c r="AS893" t="s">
        <v>3942</v>
      </c>
      <c r="AT893" t="s">
        <v>15268</v>
      </c>
      <c r="AU893">
        <v>2021</v>
      </c>
      <c r="AV893">
        <v>42</v>
      </c>
      <c r="AW893">
        <v>8</v>
      </c>
      <c r="AX893" t="s">
        <v>74</v>
      </c>
      <c r="AY893" t="s">
        <v>74</v>
      </c>
      <c r="AZ893" t="s">
        <v>74</v>
      </c>
      <c r="BA893" t="s">
        <v>74</v>
      </c>
      <c r="BB893">
        <v>1168</v>
      </c>
      <c r="BC893">
        <v>1184</v>
      </c>
      <c r="BD893" t="s">
        <v>74</v>
      </c>
      <c r="BE893" t="s">
        <v>15269</v>
      </c>
      <c r="BF893" t="str">
        <f>HYPERLINK("http://dx.doi.org/10.1108/LODJ-07-2020-0318","http://dx.doi.org/10.1108/LODJ-07-2020-0318")</f>
        <v>http://dx.doi.org/10.1108/LODJ-07-2020-0318</v>
      </c>
      <c r="BG893" t="s">
        <v>74</v>
      </c>
      <c r="BH893" t="s">
        <v>7676</v>
      </c>
      <c r="BI893">
        <v>17</v>
      </c>
      <c r="BJ893" t="s">
        <v>442</v>
      </c>
      <c r="BK893" t="s">
        <v>94</v>
      </c>
      <c r="BL893" t="s">
        <v>95</v>
      </c>
      <c r="BM893" t="s">
        <v>15270</v>
      </c>
      <c r="BN893" t="s">
        <v>74</v>
      </c>
      <c r="BO893" t="s">
        <v>74</v>
      </c>
      <c r="BP893" t="s">
        <v>74</v>
      </c>
      <c r="BQ893" t="s">
        <v>74</v>
      </c>
      <c r="BR893" t="s">
        <v>97</v>
      </c>
      <c r="BS893" t="s">
        <v>15271</v>
      </c>
      <c r="BT893" t="str">
        <f>HYPERLINK("https%3A%2F%2Fwww.webofscience.com%2Fwos%2Fwoscc%2Ffull-record%2FWOS:000685030100001","View Full Record in Web of Science")</f>
        <v>View Full Record in Web of Science</v>
      </c>
    </row>
    <row r="894" spans="1:72" x14ac:dyDescent="0.25">
      <c r="A894" t="s">
        <v>72</v>
      </c>
      <c r="B894" t="s">
        <v>15272</v>
      </c>
      <c r="C894" t="s">
        <v>74</v>
      </c>
      <c r="D894" t="s">
        <v>74</v>
      </c>
      <c r="E894" t="s">
        <v>74</v>
      </c>
      <c r="F894" t="s">
        <v>15273</v>
      </c>
      <c r="G894" t="s">
        <v>74</v>
      </c>
      <c r="H894" t="s">
        <v>74</v>
      </c>
      <c r="I894" t="s">
        <v>15274</v>
      </c>
      <c r="J894" t="s">
        <v>2463</v>
      </c>
      <c r="K894" t="s">
        <v>74</v>
      </c>
      <c r="L894" t="s">
        <v>74</v>
      </c>
      <c r="M894" t="s">
        <v>77</v>
      </c>
      <c r="N894" t="s">
        <v>78</v>
      </c>
      <c r="O894" t="s">
        <v>74</v>
      </c>
      <c r="P894" t="s">
        <v>74</v>
      </c>
      <c r="Q894" t="s">
        <v>74</v>
      </c>
      <c r="R894" t="s">
        <v>74</v>
      </c>
      <c r="S894" t="s">
        <v>74</v>
      </c>
      <c r="T894" t="s">
        <v>15275</v>
      </c>
      <c r="U894" t="s">
        <v>15276</v>
      </c>
      <c r="V894" t="s">
        <v>15277</v>
      </c>
      <c r="W894" t="s">
        <v>15278</v>
      </c>
      <c r="X894" t="s">
        <v>15279</v>
      </c>
      <c r="Y894" t="s">
        <v>15280</v>
      </c>
      <c r="Z894" t="s">
        <v>15281</v>
      </c>
      <c r="AA894" t="s">
        <v>74</v>
      </c>
      <c r="AB894" t="s">
        <v>15282</v>
      </c>
      <c r="AC894" t="s">
        <v>15283</v>
      </c>
      <c r="AD894" t="s">
        <v>15283</v>
      </c>
      <c r="AE894" t="s">
        <v>15284</v>
      </c>
      <c r="AF894" t="s">
        <v>74</v>
      </c>
      <c r="AG894">
        <v>99</v>
      </c>
      <c r="AH894">
        <v>3</v>
      </c>
      <c r="AI894">
        <v>3</v>
      </c>
      <c r="AJ894">
        <v>2</v>
      </c>
      <c r="AK894">
        <v>7</v>
      </c>
      <c r="AL894" t="s">
        <v>2473</v>
      </c>
      <c r="AM894" t="s">
        <v>2102</v>
      </c>
      <c r="AN894" t="s">
        <v>2474</v>
      </c>
      <c r="AO894" t="s">
        <v>74</v>
      </c>
      <c r="AP894" t="s">
        <v>2475</v>
      </c>
      <c r="AQ894" t="s">
        <v>74</v>
      </c>
      <c r="AR894" t="s">
        <v>2476</v>
      </c>
      <c r="AS894" t="s">
        <v>2477</v>
      </c>
      <c r="AT894" t="s">
        <v>392</v>
      </c>
      <c r="AU894">
        <v>2021</v>
      </c>
      <c r="AV894">
        <v>13</v>
      </c>
      <c r="AW894">
        <v>16</v>
      </c>
      <c r="AX894" t="s">
        <v>74</v>
      </c>
      <c r="AY894" t="s">
        <v>74</v>
      </c>
      <c r="AZ894" t="s">
        <v>74</v>
      </c>
      <c r="BA894" t="s">
        <v>74</v>
      </c>
      <c r="BB894" t="s">
        <v>74</v>
      </c>
      <c r="BC894" t="s">
        <v>74</v>
      </c>
      <c r="BD894">
        <v>9283</v>
      </c>
      <c r="BE894" t="s">
        <v>15285</v>
      </c>
      <c r="BF894" t="str">
        <f>HYPERLINK("http://dx.doi.org/10.3390/su13169283","http://dx.doi.org/10.3390/su13169283")</f>
        <v>http://dx.doi.org/10.3390/su13169283</v>
      </c>
      <c r="BG894" t="s">
        <v>74</v>
      </c>
      <c r="BH894" t="s">
        <v>74</v>
      </c>
      <c r="BI894">
        <v>17</v>
      </c>
      <c r="BJ894" t="s">
        <v>2479</v>
      </c>
      <c r="BK894" t="s">
        <v>147</v>
      </c>
      <c r="BL894" t="s">
        <v>2480</v>
      </c>
      <c r="BM894" t="s">
        <v>15286</v>
      </c>
      <c r="BN894" t="s">
        <v>74</v>
      </c>
      <c r="BO894" t="s">
        <v>2482</v>
      </c>
      <c r="BP894" t="s">
        <v>74</v>
      </c>
      <c r="BQ894" t="s">
        <v>74</v>
      </c>
      <c r="BR894" t="s">
        <v>97</v>
      </c>
      <c r="BS894" t="s">
        <v>15287</v>
      </c>
      <c r="BT894" t="str">
        <f>HYPERLINK("https%3A%2F%2Fwww.webofscience.com%2Fwos%2Fwoscc%2Ffull-record%2FWOS:000690161900001","View Full Record in Web of Science")</f>
        <v>View Full Record in Web of Science</v>
      </c>
    </row>
    <row r="895" spans="1:72" x14ac:dyDescent="0.25">
      <c r="A895" t="s">
        <v>72</v>
      </c>
      <c r="B895" t="s">
        <v>15288</v>
      </c>
      <c r="C895" t="s">
        <v>74</v>
      </c>
      <c r="D895" t="s">
        <v>74</v>
      </c>
      <c r="E895" t="s">
        <v>74</v>
      </c>
      <c r="F895" t="s">
        <v>15289</v>
      </c>
      <c r="G895" t="s">
        <v>74</v>
      </c>
      <c r="H895" t="s">
        <v>74</v>
      </c>
      <c r="I895" t="s">
        <v>15290</v>
      </c>
      <c r="J895" t="s">
        <v>1998</v>
      </c>
      <c r="K895" t="s">
        <v>74</v>
      </c>
      <c r="L895" t="s">
        <v>74</v>
      </c>
      <c r="M895" t="s">
        <v>77</v>
      </c>
      <c r="N895" t="s">
        <v>78</v>
      </c>
      <c r="O895" t="s">
        <v>74</v>
      </c>
      <c r="P895" t="s">
        <v>74</v>
      </c>
      <c r="Q895" t="s">
        <v>74</v>
      </c>
      <c r="R895" t="s">
        <v>74</v>
      </c>
      <c r="S895" t="s">
        <v>74</v>
      </c>
      <c r="T895" t="s">
        <v>15291</v>
      </c>
      <c r="U895" t="s">
        <v>15292</v>
      </c>
      <c r="V895" t="s">
        <v>15293</v>
      </c>
      <c r="W895" t="s">
        <v>15294</v>
      </c>
      <c r="X895" t="s">
        <v>15295</v>
      </c>
      <c r="Y895" t="s">
        <v>15296</v>
      </c>
      <c r="Z895" t="s">
        <v>15297</v>
      </c>
      <c r="AA895" t="s">
        <v>15298</v>
      </c>
      <c r="AB895" t="s">
        <v>74</v>
      </c>
      <c r="AC895" t="s">
        <v>15299</v>
      </c>
      <c r="AD895" t="s">
        <v>15300</v>
      </c>
      <c r="AE895" t="s">
        <v>15301</v>
      </c>
      <c r="AF895" t="s">
        <v>74</v>
      </c>
      <c r="AG895">
        <v>43</v>
      </c>
      <c r="AH895">
        <v>3</v>
      </c>
      <c r="AI895">
        <v>3</v>
      </c>
      <c r="AJ895">
        <v>5</v>
      </c>
      <c r="AK895">
        <v>24</v>
      </c>
      <c r="AL895" t="s">
        <v>1099</v>
      </c>
      <c r="AM895" t="s">
        <v>305</v>
      </c>
      <c r="AN895" t="s">
        <v>1100</v>
      </c>
      <c r="AO895" t="s">
        <v>2010</v>
      </c>
      <c r="AP895" t="s">
        <v>2011</v>
      </c>
      <c r="AQ895" t="s">
        <v>74</v>
      </c>
      <c r="AR895" t="s">
        <v>2012</v>
      </c>
      <c r="AS895" t="s">
        <v>2013</v>
      </c>
      <c r="AT895" t="s">
        <v>11247</v>
      </c>
      <c r="AU895">
        <v>2022</v>
      </c>
      <c r="AV895">
        <v>34</v>
      </c>
      <c r="AW895">
        <v>7</v>
      </c>
      <c r="AX895" t="s">
        <v>74</v>
      </c>
      <c r="AY895" t="s">
        <v>74</v>
      </c>
      <c r="AZ895" t="s">
        <v>74</v>
      </c>
      <c r="BA895" t="s">
        <v>74</v>
      </c>
      <c r="BB895">
        <v>803</v>
      </c>
      <c r="BC895">
        <v>814</v>
      </c>
      <c r="BD895" t="s">
        <v>74</v>
      </c>
      <c r="BE895" t="s">
        <v>15302</v>
      </c>
      <c r="BF895" t="str">
        <f>HYPERLINK("http://dx.doi.org/10.1080/09537325.2021.1925103","http://dx.doi.org/10.1080/09537325.2021.1925103")</f>
        <v>http://dx.doi.org/10.1080/09537325.2021.1925103</v>
      </c>
      <c r="BG895" t="s">
        <v>74</v>
      </c>
      <c r="BH895" t="s">
        <v>4580</v>
      </c>
      <c r="BI895">
        <v>12</v>
      </c>
      <c r="BJ895" t="s">
        <v>2015</v>
      </c>
      <c r="BK895" t="s">
        <v>94</v>
      </c>
      <c r="BL895" t="s">
        <v>2016</v>
      </c>
      <c r="BM895" t="s">
        <v>15303</v>
      </c>
      <c r="BN895" t="s">
        <v>74</v>
      </c>
      <c r="BO895" t="s">
        <v>74</v>
      </c>
      <c r="BP895" t="s">
        <v>74</v>
      </c>
      <c r="BQ895" t="s">
        <v>74</v>
      </c>
      <c r="BR895" t="s">
        <v>97</v>
      </c>
      <c r="BS895" t="s">
        <v>15304</v>
      </c>
      <c r="BT895" t="str">
        <f>HYPERLINK("https%3A%2F%2Fwww.webofscience.com%2Fwos%2Fwoscc%2Ffull-record%2FWOS:000648151500001","View Full Record in Web of Science")</f>
        <v>View Full Record in Web of Science</v>
      </c>
    </row>
    <row r="896" spans="1:72" x14ac:dyDescent="0.25">
      <c r="A896" t="s">
        <v>72</v>
      </c>
      <c r="B896" t="s">
        <v>15305</v>
      </c>
      <c r="C896" t="s">
        <v>74</v>
      </c>
      <c r="D896" t="s">
        <v>74</v>
      </c>
      <c r="E896" t="s">
        <v>74</v>
      </c>
      <c r="F896" t="s">
        <v>15306</v>
      </c>
      <c r="G896" t="s">
        <v>74</v>
      </c>
      <c r="H896" t="s">
        <v>74</v>
      </c>
      <c r="I896" t="s">
        <v>15307</v>
      </c>
      <c r="J896" t="s">
        <v>2463</v>
      </c>
      <c r="K896" t="s">
        <v>74</v>
      </c>
      <c r="L896" t="s">
        <v>74</v>
      </c>
      <c r="M896" t="s">
        <v>77</v>
      </c>
      <c r="N896" t="s">
        <v>78</v>
      </c>
      <c r="O896" t="s">
        <v>74</v>
      </c>
      <c r="P896" t="s">
        <v>74</v>
      </c>
      <c r="Q896" t="s">
        <v>74</v>
      </c>
      <c r="R896" t="s">
        <v>74</v>
      </c>
      <c r="S896" t="s">
        <v>74</v>
      </c>
      <c r="T896" t="s">
        <v>15308</v>
      </c>
      <c r="U896" t="s">
        <v>15309</v>
      </c>
      <c r="V896" t="s">
        <v>15310</v>
      </c>
      <c r="W896" t="s">
        <v>15311</v>
      </c>
      <c r="X896" t="s">
        <v>15312</v>
      </c>
      <c r="Y896" t="s">
        <v>15313</v>
      </c>
      <c r="Z896" t="s">
        <v>15314</v>
      </c>
      <c r="AA896" t="s">
        <v>74</v>
      </c>
      <c r="AB896" t="s">
        <v>15315</v>
      </c>
      <c r="AC896" t="s">
        <v>15316</v>
      </c>
      <c r="AD896" t="s">
        <v>15317</v>
      </c>
      <c r="AE896" t="s">
        <v>15318</v>
      </c>
      <c r="AF896" t="s">
        <v>74</v>
      </c>
      <c r="AG896">
        <v>53</v>
      </c>
      <c r="AH896">
        <v>3</v>
      </c>
      <c r="AI896">
        <v>3</v>
      </c>
      <c r="AJ896">
        <v>8</v>
      </c>
      <c r="AK896">
        <v>46</v>
      </c>
      <c r="AL896" t="s">
        <v>2473</v>
      </c>
      <c r="AM896" t="s">
        <v>2102</v>
      </c>
      <c r="AN896" t="s">
        <v>2474</v>
      </c>
      <c r="AO896" t="s">
        <v>74</v>
      </c>
      <c r="AP896" t="s">
        <v>2475</v>
      </c>
      <c r="AQ896" t="s">
        <v>74</v>
      </c>
      <c r="AR896" t="s">
        <v>2476</v>
      </c>
      <c r="AS896" t="s">
        <v>2477</v>
      </c>
      <c r="AT896" t="s">
        <v>165</v>
      </c>
      <c r="AU896">
        <v>2021</v>
      </c>
      <c r="AV896">
        <v>13</v>
      </c>
      <c r="AW896">
        <v>10</v>
      </c>
      <c r="AX896" t="s">
        <v>74</v>
      </c>
      <c r="AY896" t="s">
        <v>74</v>
      </c>
      <c r="AZ896" t="s">
        <v>74</v>
      </c>
      <c r="BA896" t="s">
        <v>74</v>
      </c>
      <c r="BB896" t="s">
        <v>74</v>
      </c>
      <c r="BC896" t="s">
        <v>74</v>
      </c>
      <c r="BD896">
        <v>5700</v>
      </c>
      <c r="BE896" t="s">
        <v>15319</v>
      </c>
      <c r="BF896" t="str">
        <f>HYPERLINK("http://dx.doi.org/10.3390/su13105700","http://dx.doi.org/10.3390/su13105700")</f>
        <v>http://dx.doi.org/10.3390/su13105700</v>
      </c>
      <c r="BG896" t="s">
        <v>74</v>
      </c>
      <c r="BH896" t="s">
        <v>74</v>
      </c>
      <c r="BI896">
        <v>20</v>
      </c>
      <c r="BJ896" t="s">
        <v>2479</v>
      </c>
      <c r="BK896" t="s">
        <v>147</v>
      </c>
      <c r="BL896" t="s">
        <v>2480</v>
      </c>
      <c r="BM896" t="s">
        <v>15320</v>
      </c>
      <c r="BN896" t="s">
        <v>74</v>
      </c>
      <c r="BO896" t="s">
        <v>2482</v>
      </c>
      <c r="BP896" t="s">
        <v>74</v>
      </c>
      <c r="BQ896" t="s">
        <v>74</v>
      </c>
      <c r="BR896" t="s">
        <v>97</v>
      </c>
      <c r="BS896" t="s">
        <v>15321</v>
      </c>
      <c r="BT896" t="str">
        <f>HYPERLINK("https%3A%2F%2Fwww.webofscience.com%2Fwos%2Fwoscc%2Ffull-record%2FWOS:000662586100001","View Full Record in Web of Science")</f>
        <v>View Full Record in Web of Science</v>
      </c>
    </row>
    <row r="897" spans="1:72" x14ac:dyDescent="0.25">
      <c r="A897" t="s">
        <v>72</v>
      </c>
      <c r="B897" t="s">
        <v>15322</v>
      </c>
      <c r="C897" t="s">
        <v>74</v>
      </c>
      <c r="D897" t="s">
        <v>74</v>
      </c>
      <c r="E897" t="s">
        <v>74</v>
      </c>
      <c r="F897" t="s">
        <v>15323</v>
      </c>
      <c r="G897" t="s">
        <v>74</v>
      </c>
      <c r="H897" t="s">
        <v>74</v>
      </c>
      <c r="I897" t="s">
        <v>15324</v>
      </c>
      <c r="J897" t="s">
        <v>15325</v>
      </c>
      <c r="K897" t="s">
        <v>74</v>
      </c>
      <c r="L897" t="s">
        <v>74</v>
      </c>
      <c r="M897" t="s">
        <v>77</v>
      </c>
      <c r="N897" t="s">
        <v>78</v>
      </c>
      <c r="O897" t="s">
        <v>74</v>
      </c>
      <c r="P897" t="s">
        <v>74</v>
      </c>
      <c r="Q897" t="s">
        <v>74</v>
      </c>
      <c r="R897" t="s">
        <v>74</v>
      </c>
      <c r="S897" t="s">
        <v>74</v>
      </c>
      <c r="T897" t="s">
        <v>15326</v>
      </c>
      <c r="U897" t="s">
        <v>15327</v>
      </c>
      <c r="V897" t="s">
        <v>15328</v>
      </c>
      <c r="W897" t="s">
        <v>15329</v>
      </c>
      <c r="X897" t="s">
        <v>15330</v>
      </c>
      <c r="Y897" t="s">
        <v>15331</v>
      </c>
      <c r="Z897" t="s">
        <v>15332</v>
      </c>
      <c r="AA897" t="s">
        <v>74</v>
      </c>
      <c r="AB897" t="s">
        <v>74</v>
      </c>
      <c r="AC897" t="s">
        <v>74</v>
      </c>
      <c r="AD897" t="s">
        <v>74</v>
      </c>
      <c r="AE897" t="s">
        <v>74</v>
      </c>
      <c r="AF897" t="s">
        <v>74</v>
      </c>
      <c r="AG897">
        <v>31</v>
      </c>
      <c r="AH897">
        <v>3</v>
      </c>
      <c r="AI897">
        <v>3</v>
      </c>
      <c r="AJ897">
        <v>0</v>
      </c>
      <c r="AK897">
        <v>6</v>
      </c>
      <c r="AL897" t="s">
        <v>602</v>
      </c>
      <c r="AM897" t="s">
        <v>160</v>
      </c>
      <c r="AN897" t="s">
        <v>603</v>
      </c>
      <c r="AO897" t="s">
        <v>15333</v>
      </c>
      <c r="AP897" t="s">
        <v>15334</v>
      </c>
      <c r="AQ897" t="s">
        <v>74</v>
      </c>
      <c r="AR897" t="s">
        <v>15335</v>
      </c>
      <c r="AS897" t="s">
        <v>15336</v>
      </c>
      <c r="AT897" t="s">
        <v>165</v>
      </c>
      <c r="AU897">
        <v>2021</v>
      </c>
      <c r="AV897">
        <v>43</v>
      </c>
      <c r="AW897" t="s">
        <v>74</v>
      </c>
      <c r="AX897" t="s">
        <v>74</v>
      </c>
      <c r="AY897" t="s">
        <v>74</v>
      </c>
      <c r="AZ897" t="s">
        <v>74</v>
      </c>
      <c r="BA897" t="s">
        <v>74</v>
      </c>
      <c r="BB897" t="s">
        <v>74</v>
      </c>
      <c r="BC897" t="s">
        <v>74</v>
      </c>
      <c r="BD897">
        <v>101365</v>
      </c>
      <c r="BE897" t="s">
        <v>15337</v>
      </c>
      <c r="BF897" t="str">
        <f>HYPERLINK("http://dx.doi.org/10.1016/j.ctcp.2021.101365","http://dx.doi.org/10.1016/j.ctcp.2021.101365")</f>
        <v>http://dx.doi.org/10.1016/j.ctcp.2021.101365</v>
      </c>
      <c r="BG897" t="s">
        <v>74</v>
      </c>
      <c r="BH897" t="s">
        <v>12091</v>
      </c>
      <c r="BI897">
        <v>6</v>
      </c>
      <c r="BJ897" t="s">
        <v>15338</v>
      </c>
      <c r="BK897" t="s">
        <v>147</v>
      </c>
      <c r="BL897" t="s">
        <v>15338</v>
      </c>
      <c r="BM897" t="s">
        <v>15339</v>
      </c>
      <c r="BN897">
        <v>33819832</v>
      </c>
      <c r="BO897" t="s">
        <v>74</v>
      </c>
      <c r="BP897" t="s">
        <v>74</v>
      </c>
      <c r="BQ897" t="s">
        <v>74</v>
      </c>
      <c r="BR897" t="s">
        <v>97</v>
      </c>
      <c r="BS897" t="s">
        <v>15340</v>
      </c>
      <c r="BT897" t="str">
        <f>HYPERLINK("https%3A%2F%2Fwww.webofscience.com%2Fwos%2Fwoscc%2Ffull-record%2FWOS:000646005500016","View Full Record in Web of Science")</f>
        <v>View Full Record in Web of Science</v>
      </c>
    </row>
    <row r="898" spans="1:72" x14ac:dyDescent="0.25">
      <c r="A898" t="s">
        <v>72</v>
      </c>
      <c r="B898" t="s">
        <v>15341</v>
      </c>
      <c r="C898" t="s">
        <v>74</v>
      </c>
      <c r="D898" t="s">
        <v>74</v>
      </c>
      <c r="E898" t="s">
        <v>74</v>
      </c>
      <c r="F898" t="s">
        <v>15342</v>
      </c>
      <c r="G898" t="s">
        <v>74</v>
      </c>
      <c r="H898" t="s">
        <v>74</v>
      </c>
      <c r="I898" t="s">
        <v>15343</v>
      </c>
      <c r="J898" t="s">
        <v>15344</v>
      </c>
      <c r="K898" t="s">
        <v>74</v>
      </c>
      <c r="L898" t="s">
        <v>74</v>
      </c>
      <c r="M898" t="s">
        <v>77</v>
      </c>
      <c r="N898" t="s">
        <v>78</v>
      </c>
      <c r="O898" t="s">
        <v>74</v>
      </c>
      <c r="P898" t="s">
        <v>74</v>
      </c>
      <c r="Q898" t="s">
        <v>74</v>
      </c>
      <c r="R898" t="s">
        <v>74</v>
      </c>
      <c r="S898" t="s">
        <v>74</v>
      </c>
      <c r="T898" t="s">
        <v>15345</v>
      </c>
      <c r="U898" t="s">
        <v>15346</v>
      </c>
      <c r="V898" t="s">
        <v>15347</v>
      </c>
      <c r="W898" t="s">
        <v>15348</v>
      </c>
      <c r="X898" t="s">
        <v>15349</v>
      </c>
      <c r="Y898" t="s">
        <v>15350</v>
      </c>
      <c r="Z898" t="s">
        <v>15351</v>
      </c>
      <c r="AA898" t="s">
        <v>15352</v>
      </c>
      <c r="AB898" t="s">
        <v>15353</v>
      </c>
      <c r="AC898" t="s">
        <v>15354</v>
      </c>
      <c r="AD898" t="s">
        <v>15355</v>
      </c>
      <c r="AE898" t="s">
        <v>15356</v>
      </c>
      <c r="AF898" t="s">
        <v>74</v>
      </c>
      <c r="AG898">
        <v>124</v>
      </c>
      <c r="AH898">
        <v>3</v>
      </c>
      <c r="AI898">
        <v>3</v>
      </c>
      <c r="AJ898">
        <v>17</v>
      </c>
      <c r="AK898">
        <v>85</v>
      </c>
      <c r="AL898" t="s">
        <v>15357</v>
      </c>
      <c r="AM898" t="s">
        <v>15358</v>
      </c>
      <c r="AN898" t="s">
        <v>15359</v>
      </c>
      <c r="AO898" t="s">
        <v>15360</v>
      </c>
      <c r="AP898" t="s">
        <v>15361</v>
      </c>
      <c r="AQ898" t="s">
        <v>74</v>
      </c>
      <c r="AR898" t="s">
        <v>15362</v>
      </c>
      <c r="AS898" t="s">
        <v>15363</v>
      </c>
      <c r="AT898" t="s">
        <v>3541</v>
      </c>
      <c r="AU898">
        <v>2021</v>
      </c>
      <c r="AV898">
        <v>147</v>
      </c>
      <c r="AW898">
        <v>4</v>
      </c>
      <c r="AX898" t="s">
        <v>74</v>
      </c>
      <c r="AY898" t="s">
        <v>74</v>
      </c>
      <c r="AZ898" t="s">
        <v>74</v>
      </c>
      <c r="BA898" t="s">
        <v>74</v>
      </c>
      <c r="BB898" t="s">
        <v>74</v>
      </c>
      <c r="BC898" t="s">
        <v>74</v>
      </c>
      <c r="BD898">
        <v>4021018</v>
      </c>
      <c r="BE898" t="s">
        <v>15364</v>
      </c>
      <c r="BF898" t="str">
        <f>HYPERLINK("http://dx.doi.org/10.1061/(ASCE)CO.1943-7862.0002022","http://dx.doi.org/10.1061/(ASCE)CO.1943-7862.0002022")</f>
        <v>http://dx.doi.org/10.1061/(ASCE)CO.1943-7862.0002022</v>
      </c>
      <c r="BG898" t="s">
        <v>74</v>
      </c>
      <c r="BH898" t="s">
        <v>74</v>
      </c>
      <c r="BI898">
        <v>13</v>
      </c>
      <c r="BJ898" t="s">
        <v>15365</v>
      </c>
      <c r="BK898" t="s">
        <v>147</v>
      </c>
      <c r="BL898" t="s">
        <v>15366</v>
      </c>
      <c r="BM898" t="s">
        <v>15367</v>
      </c>
      <c r="BN898" t="s">
        <v>74</v>
      </c>
      <c r="BO898" t="s">
        <v>74</v>
      </c>
      <c r="BP898" t="s">
        <v>74</v>
      </c>
      <c r="BQ898" t="s">
        <v>74</v>
      </c>
      <c r="BR898" t="s">
        <v>97</v>
      </c>
      <c r="BS898" t="s">
        <v>15368</v>
      </c>
      <c r="BT898" t="str">
        <f>HYPERLINK("https%3A%2F%2Fwww.webofscience.com%2Fwos%2Fwoscc%2Ffull-record%2FWOS:000656446400022","View Full Record in Web of Science")</f>
        <v>View Full Record in Web of Science</v>
      </c>
    </row>
    <row r="899" spans="1:72" x14ac:dyDescent="0.25">
      <c r="A899" t="s">
        <v>72</v>
      </c>
      <c r="B899" t="s">
        <v>15369</v>
      </c>
      <c r="C899" t="s">
        <v>74</v>
      </c>
      <c r="D899" t="s">
        <v>74</v>
      </c>
      <c r="E899" t="s">
        <v>74</v>
      </c>
      <c r="F899" t="s">
        <v>15370</v>
      </c>
      <c r="G899" t="s">
        <v>74</v>
      </c>
      <c r="H899" t="s">
        <v>74</v>
      </c>
      <c r="I899" t="s">
        <v>15371</v>
      </c>
      <c r="J899" t="s">
        <v>15372</v>
      </c>
      <c r="K899" t="s">
        <v>74</v>
      </c>
      <c r="L899" t="s">
        <v>74</v>
      </c>
      <c r="M899" t="s">
        <v>77</v>
      </c>
      <c r="N899" t="s">
        <v>78</v>
      </c>
      <c r="O899" t="s">
        <v>74</v>
      </c>
      <c r="P899" t="s">
        <v>74</v>
      </c>
      <c r="Q899" t="s">
        <v>74</v>
      </c>
      <c r="R899" t="s">
        <v>74</v>
      </c>
      <c r="S899" t="s">
        <v>74</v>
      </c>
      <c r="T899" t="s">
        <v>15373</v>
      </c>
      <c r="U899" t="s">
        <v>74</v>
      </c>
      <c r="V899" t="s">
        <v>15374</v>
      </c>
      <c r="W899" t="s">
        <v>15375</v>
      </c>
      <c r="X899" t="s">
        <v>5793</v>
      </c>
      <c r="Y899" t="s">
        <v>13576</v>
      </c>
      <c r="Z899" t="s">
        <v>15376</v>
      </c>
      <c r="AA899" t="s">
        <v>74</v>
      </c>
      <c r="AB899" t="s">
        <v>15377</v>
      </c>
      <c r="AC899" t="s">
        <v>74</v>
      </c>
      <c r="AD899" t="s">
        <v>74</v>
      </c>
      <c r="AE899" t="s">
        <v>74</v>
      </c>
      <c r="AF899" t="s">
        <v>74</v>
      </c>
      <c r="AG899">
        <v>45</v>
      </c>
      <c r="AH899">
        <v>3</v>
      </c>
      <c r="AI899">
        <v>3</v>
      </c>
      <c r="AJ899">
        <v>7</v>
      </c>
      <c r="AK899">
        <v>19</v>
      </c>
      <c r="AL899" t="s">
        <v>15378</v>
      </c>
      <c r="AM899" t="s">
        <v>15379</v>
      </c>
      <c r="AN899" t="s">
        <v>15380</v>
      </c>
      <c r="AO899" t="s">
        <v>15381</v>
      </c>
      <c r="AP899" t="s">
        <v>74</v>
      </c>
      <c r="AQ899" t="s">
        <v>74</v>
      </c>
      <c r="AR899" t="s">
        <v>15382</v>
      </c>
      <c r="AS899" t="s">
        <v>15383</v>
      </c>
      <c r="AT899" t="s">
        <v>74</v>
      </c>
      <c r="AU899">
        <v>2021</v>
      </c>
      <c r="AV899">
        <v>20</v>
      </c>
      <c r="AW899">
        <v>2</v>
      </c>
      <c r="AX899" t="s">
        <v>74</v>
      </c>
      <c r="AY899" t="s">
        <v>74</v>
      </c>
      <c r="AZ899" t="s">
        <v>74</v>
      </c>
      <c r="BA899" t="s">
        <v>74</v>
      </c>
      <c r="BB899">
        <v>171</v>
      </c>
      <c r="BC899">
        <v>183</v>
      </c>
      <c r="BD899" t="s">
        <v>74</v>
      </c>
      <c r="BE899" t="s">
        <v>15384</v>
      </c>
      <c r="BF899" t="str">
        <f>HYPERLINK("http://dx.doi.org/10.33225/jbse/21.20.171","http://dx.doi.org/10.33225/jbse/21.20.171")</f>
        <v>http://dx.doi.org/10.33225/jbse/21.20.171</v>
      </c>
      <c r="BG899" t="s">
        <v>74</v>
      </c>
      <c r="BH899" t="s">
        <v>74</v>
      </c>
      <c r="BI899">
        <v>13</v>
      </c>
      <c r="BJ899" t="s">
        <v>815</v>
      </c>
      <c r="BK899" t="s">
        <v>94</v>
      </c>
      <c r="BL899" t="s">
        <v>815</v>
      </c>
      <c r="BM899" t="s">
        <v>15385</v>
      </c>
      <c r="BN899" t="s">
        <v>74</v>
      </c>
      <c r="BO899" t="s">
        <v>2482</v>
      </c>
      <c r="BP899" t="s">
        <v>74</v>
      </c>
      <c r="BQ899" t="s">
        <v>74</v>
      </c>
      <c r="BR899" t="s">
        <v>97</v>
      </c>
      <c r="BS899" t="s">
        <v>15386</v>
      </c>
      <c r="BT899" t="str">
        <f>HYPERLINK("https%3A%2F%2Fwww.webofscience.com%2Fwos%2Fwoscc%2Ffull-record%2FWOS:000637528500002","View Full Record in Web of Science")</f>
        <v>View Full Record in Web of Science</v>
      </c>
    </row>
    <row r="900" spans="1:72" x14ac:dyDescent="0.25">
      <c r="A900" t="s">
        <v>72</v>
      </c>
      <c r="B900" t="s">
        <v>15387</v>
      </c>
      <c r="C900" t="s">
        <v>74</v>
      </c>
      <c r="D900" t="s">
        <v>74</v>
      </c>
      <c r="E900" t="s">
        <v>74</v>
      </c>
      <c r="F900" t="s">
        <v>15388</v>
      </c>
      <c r="G900" t="s">
        <v>74</v>
      </c>
      <c r="H900" t="s">
        <v>74</v>
      </c>
      <c r="I900" t="s">
        <v>15389</v>
      </c>
      <c r="J900" t="s">
        <v>466</v>
      </c>
      <c r="K900" t="s">
        <v>74</v>
      </c>
      <c r="L900" t="s">
        <v>74</v>
      </c>
      <c r="M900" t="s">
        <v>77</v>
      </c>
      <c r="N900" t="s">
        <v>78</v>
      </c>
      <c r="O900" t="s">
        <v>74</v>
      </c>
      <c r="P900" t="s">
        <v>74</v>
      </c>
      <c r="Q900" t="s">
        <v>74</v>
      </c>
      <c r="R900" t="s">
        <v>74</v>
      </c>
      <c r="S900" t="s">
        <v>74</v>
      </c>
      <c r="T900" t="s">
        <v>15390</v>
      </c>
      <c r="U900" t="s">
        <v>15391</v>
      </c>
      <c r="V900" t="s">
        <v>15392</v>
      </c>
      <c r="W900" t="s">
        <v>15393</v>
      </c>
      <c r="X900" t="s">
        <v>15394</v>
      </c>
      <c r="Y900" t="s">
        <v>15395</v>
      </c>
      <c r="Z900" t="s">
        <v>15396</v>
      </c>
      <c r="AA900" t="s">
        <v>74</v>
      </c>
      <c r="AB900" t="s">
        <v>15397</v>
      </c>
      <c r="AC900" t="s">
        <v>74</v>
      </c>
      <c r="AD900" t="s">
        <v>74</v>
      </c>
      <c r="AE900" t="s">
        <v>74</v>
      </c>
      <c r="AF900" t="s">
        <v>74</v>
      </c>
      <c r="AG900">
        <v>149</v>
      </c>
      <c r="AH900">
        <v>3</v>
      </c>
      <c r="AI900">
        <v>3</v>
      </c>
      <c r="AJ900">
        <v>2</v>
      </c>
      <c r="AK900">
        <v>29</v>
      </c>
      <c r="AL900" t="s">
        <v>218</v>
      </c>
      <c r="AM900" t="s">
        <v>219</v>
      </c>
      <c r="AN900" t="s">
        <v>220</v>
      </c>
      <c r="AO900" t="s">
        <v>476</v>
      </c>
      <c r="AP900" t="s">
        <v>477</v>
      </c>
      <c r="AQ900" t="s">
        <v>74</v>
      </c>
      <c r="AR900" t="s">
        <v>478</v>
      </c>
      <c r="AS900" t="s">
        <v>479</v>
      </c>
      <c r="AT900" t="s">
        <v>496</v>
      </c>
      <c r="AU900">
        <v>2021</v>
      </c>
      <c r="AV900">
        <v>55</v>
      </c>
      <c r="AW900">
        <v>3</v>
      </c>
      <c r="AX900" t="s">
        <v>74</v>
      </c>
      <c r="AY900" t="s">
        <v>74</v>
      </c>
      <c r="AZ900" t="s">
        <v>74</v>
      </c>
      <c r="BA900" t="s">
        <v>74</v>
      </c>
      <c r="BB900">
        <v>723</v>
      </c>
      <c r="BC900">
        <v>737</v>
      </c>
      <c r="BD900" t="s">
        <v>74</v>
      </c>
      <c r="BE900" t="s">
        <v>15398</v>
      </c>
      <c r="BF900" t="str">
        <f>HYPERLINK("http://dx.doi.org/10.1002/jocb.486","http://dx.doi.org/10.1002/jocb.486")</f>
        <v>http://dx.doi.org/10.1002/jocb.486</v>
      </c>
      <c r="BG900" t="s">
        <v>74</v>
      </c>
      <c r="BH900" t="s">
        <v>8229</v>
      </c>
      <c r="BI900">
        <v>15</v>
      </c>
      <c r="BJ900" t="s">
        <v>481</v>
      </c>
      <c r="BK900" t="s">
        <v>94</v>
      </c>
      <c r="BL900" t="s">
        <v>460</v>
      </c>
      <c r="BM900" t="s">
        <v>13346</v>
      </c>
      <c r="BN900" t="s">
        <v>74</v>
      </c>
      <c r="BO900" t="s">
        <v>74</v>
      </c>
      <c r="BP900" t="s">
        <v>74</v>
      </c>
      <c r="BQ900" t="s">
        <v>74</v>
      </c>
      <c r="BR900" t="s">
        <v>97</v>
      </c>
      <c r="BS900" t="s">
        <v>15399</v>
      </c>
      <c r="BT900" t="str">
        <f>HYPERLINK("https%3A%2F%2Fwww.webofscience.com%2Fwos%2Fwoscc%2Ffull-record%2FWOS:000596083000001","View Full Record in Web of Science")</f>
        <v>View Full Record in Web of Science</v>
      </c>
    </row>
    <row r="901" spans="1:72" x14ac:dyDescent="0.25">
      <c r="A901" t="s">
        <v>72</v>
      </c>
      <c r="B901" t="s">
        <v>15400</v>
      </c>
      <c r="C901" t="s">
        <v>74</v>
      </c>
      <c r="D901" t="s">
        <v>74</v>
      </c>
      <c r="E901" t="s">
        <v>74</v>
      </c>
      <c r="F901" t="s">
        <v>15401</v>
      </c>
      <c r="G901" t="s">
        <v>74</v>
      </c>
      <c r="H901" t="s">
        <v>74</v>
      </c>
      <c r="I901" t="s">
        <v>15402</v>
      </c>
      <c r="J901" t="s">
        <v>5649</v>
      </c>
      <c r="K901" t="s">
        <v>74</v>
      </c>
      <c r="L901" t="s">
        <v>74</v>
      </c>
      <c r="M901" t="s">
        <v>77</v>
      </c>
      <c r="N901" t="s">
        <v>78</v>
      </c>
      <c r="O901" t="s">
        <v>74</v>
      </c>
      <c r="P901" t="s">
        <v>74</v>
      </c>
      <c r="Q901" t="s">
        <v>74</v>
      </c>
      <c r="R901" t="s">
        <v>74</v>
      </c>
      <c r="S901" t="s">
        <v>74</v>
      </c>
      <c r="T901" t="s">
        <v>15403</v>
      </c>
      <c r="U901" t="s">
        <v>15404</v>
      </c>
      <c r="V901" t="s">
        <v>15405</v>
      </c>
      <c r="W901" t="s">
        <v>15406</v>
      </c>
      <c r="X901" t="s">
        <v>15407</v>
      </c>
      <c r="Y901" t="s">
        <v>15408</v>
      </c>
      <c r="Z901" t="s">
        <v>15409</v>
      </c>
      <c r="AA901" t="s">
        <v>74</v>
      </c>
      <c r="AB901" t="s">
        <v>74</v>
      </c>
      <c r="AC901" t="s">
        <v>74</v>
      </c>
      <c r="AD901" t="s">
        <v>74</v>
      </c>
      <c r="AE901" t="s">
        <v>74</v>
      </c>
      <c r="AF901" t="s">
        <v>74</v>
      </c>
      <c r="AG901">
        <v>80</v>
      </c>
      <c r="AH901">
        <v>3</v>
      </c>
      <c r="AI901">
        <v>3</v>
      </c>
      <c r="AJ901">
        <v>3</v>
      </c>
      <c r="AK901">
        <v>21</v>
      </c>
      <c r="AL901" t="s">
        <v>1099</v>
      </c>
      <c r="AM901" t="s">
        <v>305</v>
      </c>
      <c r="AN901" t="s">
        <v>1100</v>
      </c>
      <c r="AO901" t="s">
        <v>5654</v>
      </c>
      <c r="AP901" t="s">
        <v>5655</v>
      </c>
      <c r="AQ901" t="s">
        <v>74</v>
      </c>
      <c r="AR901" t="s">
        <v>5656</v>
      </c>
      <c r="AS901" t="s">
        <v>5657</v>
      </c>
      <c r="AT901" t="s">
        <v>8473</v>
      </c>
      <c r="AU901">
        <v>2022</v>
      </c>
      <c r="AV901">
        <v>31</v>
      </c>
      <c r="AW901" t="s">
        <v>1930</v>
      </c>
      <c r="AX901" t="s">
        <v>74</v>
      </c>
      <c r="AY901" t="s">
        <v>74</v>
      </c>
      <c r="AZ901" t="s">
        <v>860</v>
      </c>
      <c r="BA901" t="s">
        <v>74</v>
      </c>
      <c r="BB901">
        <v>20</v>
      </c>
      <c r="BC901">
        <v>34</v>
      </c>
      <c r="BD901" t="s">
        <v>74</v>
      </c>
      <c r="BE901" t="s">
        <v>15410</v>
      </c>
      <c r="BF901" t="str">
        <f>HYPERLINK("http://dx.doi.org/10.1080/10438599.2020.1843988","http://dx.doi.org/10.1080/10438599.2020.1843988")</f>
        <v>http://dx.doi.org/10.1080/10438599.2020.1843988</v>
      </c>
      <c r="BG901" t="s">
        <v>74</v>
      </c>
      <c r="BH901" t="s">
        <v>6349</v>
      </c>
      <c r="BI901">
        <v>15</v>
      </c>
      <c r="BJ901" t="s">
        <v>2599</v>
      </c>
      <c r="BK901" t="s">
        <v>94</v>
      </c>
      <c r="BL901" t="s">
        <v>95</v>
      </c>
      <c r="BM901" t="s">
        <v>15411</v>
      </c>
      <c r="BN901" t="s">
        <v>74</v>
      </c>
      <c r="BO901" t="s">
        <v>74</v>
      </c>
      <c r="BP901" t="s">
        <v>74</v>
      </c>
      <c r="BQ901" t="s">
        <v>74</v>
      </c>
      <c r="BR901" t="s">
        <v>97</v>
      </c>
      <c r="BS901" t="s">
        <v>15412</v>
      </c>
      <c r="BT901" t="str">
        <f>HYPERLINK("https%3A%2F%2Fwww.webofscience.com%2Fwos%2Fwoscc%2Ffull-record%2FWOS:000593225700001","View Full Record in Web of Science")</f>
        <v>View Full Record in Web of Science</v>
      </c>
    </row>
    <row r="902" spans="1:72" x14ac:dyDescent="0.25">
      <c r="A902" t="s">
        <v>72</v>
      </c>
      <c r="B902" t="s">
        <v>15413</v>
      </c>
      <c r="C902" t="s">
        <v>74</v>
      </c>
      <c r="D902" t="s">
        <v>74</v>
      </c>
      <c r="E902" t="s">
        <v>74</v>
      </c>
      <c r="F902" t="s">
        <v>15414</v>
      </c>
      <c r="G902" t="s">
        <v>74</v>
      </c>
      <c r="H902" t="s">
        <v>74</v>
      </c>
      <c r="I902" t="s">
        <v>15415</v>
      </c>
      <c r="J902" t="s">
        <v>2502</v>
      </c>
      <c r="K902" t="s">
        <v>74</v>
      </c>
      <c r="L902" t="s">
        <v>74</v>
      </c>
      <c r="M902" t="s">
        <v>77</v>
      </c>
      <c r="N902" t="s">
        <v>78</v>
      </c>
      <c r="O902" t="s">
        <v>74</v>
      </c>
      <c r="P902" t="s">
        <v>74</v>
      </c>
      <c r="Q902" t="s">
        <v>74</v>
      </c>
      <c r="R902" t="s">
        <v>74</v>
      </c>
      <c r="S902" t="s">
        <v>74</v>
      </c>
      <c r="T902" t="s">
        <v>15416</v>
      </c>
      <c r="U902" t="s">
        <v>15417</v>
      </c>
      <c r="V902" t="s">
        <v>15418</v>
      </c>
      <c r="W902" t="s">
        <v>15419</v>
      </c>
      <c r="X902" t="s">
        <v>15420</v>
      </c>
      <c r="Y902" t="s">
        <v>15421</v>
      </c>
      <c r="Z902" t="s">
        <v>15422</v>
      </c>
      <c r="AA902" t="s">
        <v>74</v>
      </c>
      <c r="AB902" t="s">
        <v>15423</v>
      </c>
      <c r="AC902" t="s">
        <v>74</v>
      </c>
      <c r="AD902" t="s">
        <v>74</v>
      </c>
      <c r="AE902" t="s">
        <v>74</v>
      </c>
      <c r="AF902" t="s">
        <v>74</v>
      </c>
      <c r="AG902">
        <v>78</v>
      </c>
      <c r="AH902">
        <v>3</v>
      </c>
      <c r="AI902">
        <v>3</v>
      </c>
      <c r="AJ902">
        <v>7</v>
      </c>
      <c r="AK902">
        <v>30</v>
      </c>
      <c r="AL902" t="s">
        <v>665</v>
      </c>
      <c r="AM902" t="s">
        <v>666</v>
      </c>
      <c r="AN902" t="s">
        <v>667</v>
      </c>
      <c r="AO902" t="s">
        <v>2510</v>
      </c>
      <c r="AP902" t="s">
        <v>2511</v>
      </c>
      <c r="AQ902" t="s">
        <v>74</v>
      </c>
      <c r="AR902" t="s">
        <v>2512</v>
      </c>
      <c r="AS902" t="s">
        <v>2513</v>
      </c>
      <c r="AT902" t="s">
        <v>74</v>
      </c>
      <c r="AU902">
        <v>2021</v>
      </c>
      <c r="AV902">
        <v>50</v>
      </c>
      <c r="AW902">
        <v>9</v>
      </c>
      <c r="AX902" t="s">
        <v>74</v>
      </c>
      <c r="AY902" t="s">
        <v>74</v>
      </c>
      <c r="AZ902" t="s">
        <v>74</v>
      </c>
      <c r="BA902" t="s">
        <v>74</v>
      </c>
      <c r="BB902">
        <v>1820</v>
      </c>
      <c r="BC902">
        <v>1837</v>
      </c>
      <c r="BD902" t="s">
        <v>74</v>
      </c>
      <c r="BE902" t="s">
        <v>15424</v>
      </c>
      <c r="BF902" t="str">
        <f>HYPERLINK("http://dx.doi.org/10.1108/PR-04-2020-0270","http://dx.doi.org/10.1108/PR-04-2020-0270")</f>
        <v>http://dx.doi.org/10.1108/PR-04-2020-0270</v>
      </c>
      <c r="BG902" t="s">
        <v>74</v>
      </c>
      <c r="BH902" t="s">
        <v>6349</v>
      </c>
      <c r="BI902">
        <v>18</v>
      </c>
      <c r="BJ902" t="s">
        <v>2515</v>
      </c>
      <c r="BK902" t="s">
        <v>94</v>
      </c>
      <c r="BL902" t="s">
        <v>227</v>
      </c>
      <c r="BM902" t="s">
        <v>15425</v>
      </c>
      <c r="BN902" t="s">
        <v>74</v>
      </c>
      <c r="BO902" t="s">
        <v>74</v>
      </c>
      <c r="BP902" t="s">
        <v>74</v>
      </c>
      <c r="BQ902" t="s">
        <v>74</v>
      </c>
      <c r="BR902" t="s">
        <v>97</v>
      </c>
      <c r="BS902" t="s">
        <v>15426</v>
      </c>
      <c r="BT902" t="str">
        <f>HYPERLINK("https%3A%2F%2Fwww.webofscience.com%2Fwos%2Fwoscc%2Ffull-record%2FWOS:000592379100001","View Full Record in Web of Science")</f>
        <v>View Full Record in Web of Science</v>
      </c>
    </row>
    <row r="903" spans="1:72" x14ac:dyDescent="0.25">
      <c r="A903" t="s">
        <v>72</v>
      </c>
      <c r="B903" t="s">
        <v>15427</v>
      </c>
      <c r="C903" t="s">
        <v>74</v>
      </c>
      <c r="D903" t="s">
        <v>74</v>
      </c>
      <c r="E903" t="s">
        <v>74</v>
      </c>
      <c r="F903" t="s">
        <v>15428</v>
      </c>
      <c r="G903" t="s">
        <v>74</v>
      </c>
      <c r="H903" t="s">
        <v>74</v>
      </c>
      <c r="I903" t="s">
        <v>15429</v>
      </c>
      <c r="J903" t="s">
        <v>15430</v>
      </c>
      <c r="K903" t="s">
        <v>74</v>
      </c>
      <c r="L903" t="s">
        <v>74</v>
      </c>
      <c r="M903" t="s">
        <v>77</v>
      </c>
      <c r="N903" t="s">
        <v>78</v>
      </c>
      <c r="O903" t="s">
        <v>74</v>
      </c>
      <c r="P903" t="s">
        <v>74</v>
      </c>
      <c r="Q903" t="s">
        <v>74</v>
      </c>
      <c r="R903" t="s">
        <v>74</v>
      </c>
      <c r="S903" t="s">
        <v>74</v>
      </c>
      <c r="T903" t="s">
        <v>15431</v>
      </c>
      <c r="U903" t="s">
        <v>15432</v>
      </c>
      <c r="V903" t="s">
        <v>15433</v>
      </c>
      <c r="W903" t="s">
        <v>15434</v>
      </c>
      <c r="X903" t="s">
        <v>15435</v>
      </c>
      <c r="Y903" t="s">
        <v>15436</v>
      </c>
      <c r="Z903" t="s">
        <v>15437</v>
      </c>
      <c r="AA903" t="s">
        <v>74</v>
      </c>
      <c r="AB903" t="s">
        <v>74</v>
      </c>
      <c r="AC903" t="s">
        <v>74</v>
      </c>
      <c r="AD903" t="s">
        <v>74</v>
      </c>
      <c r="AE903" t="s">
        <v>74</v>
      </c>
      <c r="AF903" t="s">
        <v>74</v>
      </c>
      <c r="AG903">
        <v>20</v>
      </c>
      <c r="AH903">
        <v>3</v>
      </c>
      <c r="AI903">
        <v>3</v>
      </c>
      <c r="AJ903">
        <v>0</v>
      </c>
      <c r="AK903">
        <v>10</v>
      </c>
      <c r="AL903" t="s">
        <v>766</v>
      </c>
      <c r="AM903" t="s">
        <v>330</v>
      </c>
      <c r="AN903" t="s">
        <v>1452</v>
      </c>
      <c r="AO903" t="s">
        <v>15438</v>
      </c>
      <c r="AP903" t="s">
        <v>15439</v>
      </c>
      <c r="AQ903" t="s">
        <v>74</v>
      </c>
      <c r="AR903" t="s">
        <v>15440</v>
      </c>
      <c r="AS903" t="s">
        <v>15441</v>
      </c>
      <c r="AT903" t="s">
        <v>91</v>
      </c>
      <c r="AU903">
        <v>2021</v>
      </c>
      <c r="AV903">
        <v>17</v>
      </c>
      <c r="AW903">
        <v>2</v>
      </c>
      <c r="AX903" t="s">
        <v>74</v>
      </c>
      <c r="AY903" t="s">
        <v>74</v>
      </c>
      <c r="AZ903" t="s">
        <v>860</v>
      </c>
      <c r="BA903" t="s">
        <v>74</v>
      </c>
      <c r="BB903">
        <v>731</v>
      </c>
      <c r="BC903">
        <v>739</v>
      </c>
      <c r="BD903" t="s">
        <v>74</v>
      </c>
      <c r="BE903" t="s">
        <v>15442</v>
      </c>
      <c r="BF903" t="str">
        <f>HYPERLINK("http://dx.doi.org/10.1007/s11365-020-00703-9","http://dx.doi.org/10.1007/s11365-020-00703-9")</f>
        <v>http://dx.doi.org/10.1007/s11365-020-00703-9</v>
      </c>
      <c r="BG903" t="s">
        <v>74</v>
      </c>
      <c r="BH903" t="s">
        <v>6349</v>
      </c>
      <c r="BI903">
        <v>9</v>
      </c>
      <c r="BJ903" t="s">
        <v>93</v>
      </c>
      <c r="BK903" t="s">
        <v>94</v>
      </c>
      <c r="BL903" t="s">
        <v>95</v>
      </c>
      <c r="BM903" t="s">
        <v>15443</v>
      </c>
      <c r="BN903" t="s">
        <v>74</v>
      </c>
      <c r="BO903" t="s">
        <v>74</v>
      </c>
      <c r="BP903" t="s">
        <v>74</v>
      </c>
      <c r="BQ903" t="s">
        <v>74</v>
      </c>
      <c r="BR903" t="s">
        <v>97</v>
      </c>
      <c r="BS903" t="s">
        <v>15444</v>
      </c>
      <c r="BT903" t="str">
        <f>HYPERLINK("https%3A%2F%2Fwww.webofscience.com%2Fwos%2Fwoscc%2Ffull-record%2FWOS:000587931300001","View Full Record in Web of Science")</f>
        <v>View Full Record in Web of Science</v>
      </c>
    </row>
    <row r="904" spans="1:72" x14ac:dyDescent="0.25">
      <c r="A904" t="s">
        <v>72</v>
      </c>
      <c r="B904" t="s">
        <v>15445</v>
      </c>
      <c r="C904" t="s">
        <v>74</v>
      </c>
      <c r="D904" t="s">
        <v>74</v>
      </c>
      <c r="E904" t="s">
        <v>74</v>
      </c>
      <c r="F904" t="s">
        <v>15446</v>
      </c>
      <c r="G904" t="s">
        <v>74</v>
      </c>
      <c r="H904" t="s">
        <v>74</v>
      </c>
      <c r="I904" t="s">
        <v>15447</v>
      </c>
      <c r="J904" t="s">
        <v>3184</v>
      </c>
      <c r="K904" t="s">
        <v>74</v>
      </c>
      <c r="L904" t="s">
        <v>74</v>
      </c>
      <c r="M904" t="s">
        <v>77</v>
      </c>
      <c r="N904" t="s">
        <v>78</v>
      </c>
      <c r="O904" t="s">
        <v>74</v>
      </c>
      <c r="P904" t="s">
        <v>74</v>
      </c>
      <c r="Q904" t="s">
        <v>74</v>
      </c>
      <c r="R904" t="s">
        <v>74</v>
      </c>
      <c r="S904" t="s">
        <v>74</v>
      </c>
      <c r="T904" t="s">
        <v>15448</v>
      </c>
      <c r="U904" t="s">
        <v>15449</v>
      </c>
      <c r="V904" t="s">
        <v>15450</v>
      </c>
      <c r="W904" t="s">
        <v>15451</v>
      </c>
      <c r="X904" t="s">
        <v>15452</v>
      </c>
      <c r="Y904" t="s">
        <v>15453</v>
      </c>
      <c r="Z904" t="s">
        <v>15454</v>
      </c>
      <c r="AA904" t="s">
        <v>74</v>
      </c>
      <c r="AB904" t="s">
        <v>74</v>
      </c>
      <c r="AC904" t="s">
        <v>15455</v>
      </c>
      <c r="AD904" t="s">
        <v>7706</v>
      </c>
      <c r="AE904" t="s">
        <v>15456</v>
      </c>
      <c r="AF904" t="s">
        <v>74</v>
      </c>
      <c r="AG904">
        <v>96</v>
      </c>
      <c r="AH904">
        <v>3</v>
      </c>
      <c r="AI904">
        <v>3</v>
      </c>
      <c r="AJ904">
        <v>5</v>
      </c>
      <c r="AK904">
        <v>20</v>
      </c>
      <c r="AL904" t="s">
        <v>3195</v>
      </c>
      <c r="AM904" t="s">
        <v>3196</v>
      </c>
      <c r="AN904" t="s">
        <v>3197</v>
      </c>
      <c r="AO904" t="s">
        <v>3198</v>
      </c>
      <c r="AP904" t="s">
        <v>74</v>
      </c>
      <c r="AQ904" t="s">
        <v>74</v>
      </c>
      <c r="AR904" t="s">
        <v>3199</v>
      </c>
      <c r="AS904" t="s">
        <v>3200</v>
      </c>
      <c r="AT904" t="s">
        <v>15457</v>
      </c>
      <c r="AU904">
        <v>2020</v>
      </c>
      <c r="AV904">
        <v>11</v>
      </c>
      <c r="AW904" t="s">
        <v>74</v>
      </c>
      <c r="AX904" t="s">
        <v>74</v>
      </c>
      <c r="AY904" t="s">
        <v>74</v>
      </c>
      <c r="AZ904" t="s">
        <v>74</v>
      </c>
      <c r="BA904" t="s">
        <v>74</v>
      </c>
      <c r="BB904" t="s">
        <v>74</v>
      </c>
      <c r="BC904" t="s">
        <v>74</v>
      </c>
      <c r="BD904">
        <v>559246</v>
      </c>
      <c r="BE904" t="s">
        <v>15458</v>
      </c>
      <c r="BF904" t="str">
        <f>HYPERLINK("http://dx.doi.org/10.3389/fpsyg.2020.559246","http://dx.doi.org/10.3389/fpsyg.2020.559246")</f>
        <v>http://dx.doi.org/10.3389/fpsyg.2020.559246</v>
      </c>
      <c r="BG904" t="s">
        <v>74</v>
      </c>
      <c r="BH904" t="s">
        <v>74</v>
      </c>
      <c r="BI904">
        <v>12</v>
      </c>
      <c r="BJ904" t="s">
        <v>3203</v>
      </c>
      <c r="BK904" t="s">
        <v>94</v>
      </c>
      <c r="BL904" t="s">
        <v>460</v>
      </c>
      <c r="BM904" t="s">
        <v>15459</v>
      </c>
      <c r="BN904">
        <v>33071883</v>
      </c>
      <c r="BO904" t="s">
        <v>4398</v>
      </c>
      <c r="BP904" t="s">
        <v>74</v>
      </c>
      <c r="BQ904" t="s">
        <v>74</v>
      </c>
      <c r="BR904" t="s">
        <v>97</v>
      </c>
      <c r="BS904" t="s">
        <v>15460</v>
      </c>
      <c r="BT904" t="str">
        <f>HYPERLINK("https%3A%2F%2Fwww.webofscience.com%2Fwos%2Fwoscc%2Ffull-record%2FWOS:000575155100001","View Full Record in Web of Science")</f>
        <v>View Full Record in Web of Science</v>
      </c>
    </row>
    <row r="905" spans="1:72" x14ac:dyDescent="0.25">
      <c r="A905" t="s">
        <v>72</v>
      </c>
      <c r="B905" t="s">
        <v>15461</v>
      </c>
      <c r="C905" t="s">
        <v>74</v>
      </c>
      <c r="D905" t="s">
        <v>74</v>
      </c>
      <c r="E905" t="s">
        <v>74</v>
      </c>
      <c r="F905" t="s">
        <v>15462</v>
      </c>
      <c r="G905" t="s">
        <v>74</v>
      </c>
      <c r="H905" t="s">
        <v>74</v>
      </c>
      <c r="I905" t="s">
        <v>15463</v>
      </c>
      <c r="J905" t="s">
        <v>4603</v>
      </c>
      <c r="K905" t="s">
        <v>74</v>
      </c>
      <c r="L905" t="s">
        <v>74</v>
      </c>
      <c r="M905" t="s">
        <v>77</v>
      </c>
      <c r="N905" t="s">
        <v>78</v>
      </c>
      <c r="O905" t="s">
        <v>74</v>
      </c>
      <c r="P905" t="s">
        <v>74</v>
      </c>
      <c r="Q905" t="s">
        <v>74</v>
      </c>
      <c r="R905" t="s">
        <v>74</v>
      </c>
      <c r="S905" t="s">
        <v>74</v>
      </c>
      <c r="T905" t="s">
        <v>15464</v>
      </c>
      <c r="U905" t="s">
        <v>15465</v>
      </c>
      <c r="V905" t="s">
        <v>15466</v>
      </c>
      <c r="W905" t="s">
        <v>15467</v>
      </c>
      <c r="X905" t="s">
        <v>15468</v>
      </c>
      <c r="Y905" t="s">
        <v>15469</v>
      </c>
      <c r="Z905" t="s">
        <v>15470</v>
      </c>
      <c r="AA905" t="s">
        <v>15471</v>
      </c>
      <c r="AB905" t="s">
        <v>15472</v>
      </c>
      <c r="AC905" t="s">
        <v>74</v>
      </c>
      <c r="AD905" t="s">
        <v>74</v>
      </c>
      <c r="AE905" t="s">
        <v>74</v>
      </c>
      <c r="AF905" t="s">
        <v>74</v>
      </c>
      <c r="AG905">
        <v>48</v>
      </c>
      <c r="AH905">
        <v>3</v>
      </c>
      <c r="AI905">
        <v>3</v>
      </c>
      <c r="AJ905">
        <v>3</v>
      </c>
      <c r="AK905">
        <v>29</v>
      </c>
      <c r="AL905" t="s">
        <v>665</v>
      </c>
      <c r="AM905" t="s">
        <v>666</v>
      </c>
      <c r="AN905" t="s">
        <v>667</v>
      </c>
      <c r="AO905" t="s">
        <v>4613</v>
      </c>
      <c r="AP905" t="s">
        <v>4614</v>
      </c>
      <c r="AQ905" t="s">
        <v>74</v>
      </c>
      <c r="AR905" t="s">
        <v>4615</v>
      </c>
      <c r="AS905" t="s">
        <v>4616</v>
      </c>
      <c r="AT905" t="s">
        <v>9382</v>
      </c>
      <c r="AU905">
        <v>2021</v>
      </c>
      <c r="AV905">
        <v>43</v>
      </c>
      <c r="AW905">
        <v>2</v>
      </c>
      <c r="AX905" t="s">
        <v>74</v>
      </c>
      <c r="AY905" t="s">
        <v>74</v>
      </c>
      <c r="AZ905" t="s">
        <v>860</v>
      </c>
      <c r="BA905" t="s">
        <v>74</v>
      </c>
      <c r="BB905">
        <v>555</v>
      </c>
      <c r="BC905">
        <v>570</v>
      </c>
      <c r="BD905" t="s">
        <v>74</v>
      </c>
      <c r="BE905" t="s">
        <v>15473</v>
      </c>
      <c r="BF905" t="str">
        <f>HYPERLINK("http://dx.doi.org/10.1108/ER-03-2020-0140","http://dx.doi.org/10.1108/ER-03-2020-0140")</f>
        <v>http://dx.doi.org/10.1108/ER-03-2020-0140</v>
      </c>
      <c r="BG905" t="s">
        <v>74</v>
      </c>
      <c r="BH905" t="s">
        <v>5770</v>
      </c>
      <c r="BI905">
        <v>16</v>
      </c>
      <c r="BJ905" t="s">
        <v>673</v>
      </c>
      <c r="BK905" t="s">
        <v>94</v>
      </c>
      <c r="BL905" t="s">
        <v>95</v>
      </c>
      <c r="BM905" t="s">
        <v>9384</v>
      </c>
      <c r="BN905" t="s">
        <v>74</v>
      </c>
      <c r="BO905" t="s">
        <v>111</v>
      </c>
      <c r="BP905" t="s">
        <v>74</v>
      </c>
      <c r="BQ905" t="s">
        <v>74</v>
      </c>
      <c r="BR905" t="s">
        <v>97</v>
      </c>
      <c r="BS905" t="s">
        <v>15474</v>
      </c>
      <c r="BT905" t="str">
        <f>HYPERLINK("https%3A%2F%2Fwww.webofscience.com%2Fwos%2Fwoscc%2Ffull-record%2FWOS:000573879300001","View Full Record in Web of Science")</f>
        <v>View Full Record in Web of Science</v>
      </c>
    </row>
    <row r="906" spans="1:72" x14ac:dyDescent="0.25">
      <c r="A906" t="s">
        <v>72</v>
      </c>
      <c r="B906" t="s">
        <v>15475</v>
      </c>
      <c r="C906" t="s">
        <v>74</v>
      </c>
      <c r="D906" t="s">
        <v>74</v>
      </c>
      <c r="E906" t="s">
        <v>74</v>
      </c>
      <c r="F906" t="s">
        <v>15476</v>
      </c>
      <c r="G906" t="s">
        <v>74</v>
      </c>
      <c r="H906" t="s">
        <v>74</v>
      </c>
      <c r="I906" t="s">
        <v>15477</v>
      </c>
      <c r="J906" t="s">
        <v>466</v>
      </c>
      <c r="K906" t="s">
        <v>74</v>
      </c>
      <c r="L906" t="s">
        <v>74</v>
      </c>
      <c r="M906" t="s">
        <v>77</v>
      </c>
      <c r="N906" t="s">
        <v>78</v>
      </c>
      <c r="O906" t="s">
        <v>74</v>
      </c>
      <c r="P906" t="s">
        <v>74</v>
      </c>
      <c r="Q906" t="s">
        <v>74</v>
      </c>
      <c r="R906" t="s">
        <v>74</v>
      </c>
      <c r="S906" t="s">
        <v>74</v>
      </c>
      <c r="T906" t="s">
        <v>15478</v>
      </c>
      <c r="U906" t="s">
        <v>15479</v>
      </c>
      <c r="V906" t="s">
        <v>15480</v>
      </c>
      <c r="W906" t="s">
        <v>15481</v>
      </c>
      <c r="X906" t="s">
        <v>15482</v>
      </c>
      <c r="Y906" t="s">
        <v>15483</v>
      </c>
      <c r="Z906" t="s">
        <v>15484</v>
      </c>
      <c r="AA906" t="s">
        <v>15485</v>
      </c>
      <c r="AB906" t="s">
        <v>15486</v>
      </c>
      <c r="AC906" t="s">
        <v>15487</v>
      </c>
      <c r="AD906" t="s">
        <v>15488</v>
      </c>
      <c r="AE906" t="s">
        <v>15489</v>
      </c>
      <c r="AF906" t="s">
        <v>74</v>
      </c>
      <c r="AG906">
        <v>51</v>
      </c>
      <c r="AH906">
        <v>3</v>
      </c>
      <c r="AI906">
        <v>3</v>
      </c>
      <c r="AJ906">
        <v>5</v>
      </c>
      <c r="AK906">
        <v>38</v>
      </c>
      <c r="AL906" t="s">
        <v>218</v>
      </c>
      <c r="AM906" t="s">
        <v>219</v>
      </c>
      <c r="AN906" t="s">
        <v>220</v>
      </c>
      <c r="AO906" t="s">
        <v>476</v>
      </c>
      <c r="AP906" t="s">
        <v>477</v>
      </c>
      <c r="AQ906" t="s">
        <v>74</v>
      </c>
      <c r="AR906" t="s">
        <v>478</v>
      </c>
      <c r="AS906" t="s">
        <v>479</v>
      </c>
      <c r="AT906" t="s">
        <v>496</v>
      </c>
      <c r="AU906">
        <v>2020</v>
      </c>
      <c r="AV906">
        <v>54</v>
      </c>
      <c r="AW906">
        <v>3</v>
      </c>
      <c r="AX906" t="s">
        <v>74</v>
      </c>
      <c r="AY906" t="s">
        <v>74</v>
      </c>
      <c r="AZ906" t="s">
        <v>74</v>
      </c>
      <c r="BA906" t="s">
        <v>74</v>
      </c>
      <c r="BB906">
        <v>525</v>
      </c>
      <c r="BC906">
        <v>534</v>
      </c>
      <c r="BD906" t="s">
        <v>74</v>
      </c>
      <c r="BE906" t="s">
        <v>15490</v>
      </c>
      <c r="BF906" t="str">
        <f>HYPERLINK("http://dx.doi.org/10.1002/jocb.388","http://dx.doi.org/10.1002/jocb.388")</f>
        <v>http://dx.doi.org/10.1002/jocb.388</v>
      </c>
      <c r="BG906" t="s">
        <v>74</v>
      </c>
      <c r="BH906" t="s">
        <v>74</v>
      </c>
      <c r="BI906">
        <v>10</v>
      </c>
      <c r="BJ906" t="s">
        <v>481</v>
      </c>
      <c r="BK906" t="s">
        <v>94</v>
      </c>
      <c r="BL906" t="s">
        <v>460</v>
      </c>
      <c r="BM906" t="s">
        <v>15491</v>
      </c>
      <c r="BN906" t="s">
        <v>74</v>
      </c>
      <c r="BO906" t="s">
        <v>74</v>
      </c>
      <c r="BP906" t="s">
        <v>74</v>
      </c>
      <c r="BQ906" t="s">
        <v>74</v>
      </c>
      <c r="BR906" t="s">
        <v>97</v>
      </c>
      <c r="BS906" t="s">
        <v>15492</v>
      </c>
      <c r="BT906" t="str">
        <f>HYPERLINK("https%3A%2F%2Fwww.webofscience.com%2Fwos%2Fwoscc%2Ffull-record%2FWOS:000571345700003","View Full Record in Web of Science")</f>
        <v>View Full Record in Web of Science</v>
      </c>
    </row>
    <row r="907" spans="1:72" x14ac:dyDescent="0.25">
      <c r="A907" t="s">
        <v>72</v>
      </c>
      <c r="B907" t="s">
        <v>15493</v>
      </c>
      <c r="C907" t="s">
        <v>74</v>
      </c>
      <c r="D907" t="s">
        <v>74</v>
      </c>
      <c r="E907" t="s">
        <v>74</v>
      </c>
      <c r="F907" t="s">
        <v>15494</v>
      </c>
      <c r="G907" t="s">
        <v>74</v>
      </c>
      <c r="H907" t="s">
        <v>74</v>
      </c>
      <c r="I907" t="s">
        <v>15495</v>
      </c>
      <c r="J907" t="s">
        <v>15496</v>
      </c>
      <c r="K907" t="s">
        <v>74</v>
      </c>
      <c r="L907" t="s">
        <v>74</v>
      </c>
      <c r="M907" t="s">
        <v>77</v>
      </c>
      <c r="N907" t="s">
        <v>78</v>
      </c>
      <c r="O907" t="s">
        <v>74</v>
      </c>
      <c r="P907" t="s">
        <v>74</v>
      </c>
      <c r="Q907" t="s">
        <v>74</v>
      </c>
      <c r="R907" t="s">
        <v>74</v>
      </c>
      <c r="S907" t="s">
        <v>74</v>
      </c>
      <c r="T907" t="s">
        <v>15497</v>
      </c>
      <c r="U907" t="s">
        <v>15498</v>
      </c>
      <c r="V907" t="s">
        <v>15499</v>
      </c>
      <c r="W907" t="s">
        <v>15500</v>
      </c>
      <c r="X907" t="s">
        <v>15501</v>
      </c>
      <c r="Y907" t="s">
        <v>15502</v>
      </c>
      <c r="Z907" t="s">
        <v>15503</v>
      </c>
      <c r="AA907" t="s">
        <v>15504</v>
      </c>
      <c r="AB907" t="s">
        <v>15505</v>
      </c>
      <c r="AC907" t="s">
        <v>15506</v>
      </c>
      <c r="AD907" t="s">
        <v>15507</v>
      </c>
      <c r="AE907" t="s">
        <v>15508</v>
      </c>
      <c r="AF907" t="s">
        <v>74</v>
      </c>
      <c r="AG907">
        <v>10</v>
      </c>
      <c r="AH907">
        <v>3</v>
      </c>
      <c r="AI907">
        <v>3</v>
      </c>
      <c r="AJ907">
        <v>11</v>
      </c>
      <c r="AK907">
        <v>76</v>
      </c>
      <c r="AL907" t="s">
        <v>1099</v>
      </c>
      <c r="AM907" t="s">
        <v>305</v>
      </c>
      <c r="AN907" t="s">
        <v>1100</v>
      </c>
      <c r="AO907" t="s">
        <v>15509</v>
      </c>
      <c r="AP907" t="s">
        <v>15510</v>
      </c>
      <c r="AQ907" t="s">
        <v>74</v>
      </c>
      <c r="AR907" t="s">
        <v>15511</v>
      </c>
      <c r="AS907" t="s">
        <v>15512</v>
      </c>
      <c r="AT907" t="s">
        <v>14332</v>
      </c>
      <c r="AU907">
        <v>2021</v>
      </c>
      <c r="AV907">
        <v>28</v>
      </c>
      <c r="AW907">
        <v>15</v>
      </c>
      <c r="AX907" t="s">
        <v>74</v>
      </c>
      <c r="AY907" t="s">
        <v>74</v>
      </c>
      <c r="AZ907" t="s">
        <v>74</v>
      </c>
      <c r="BA907" t="s">
        <v>74</v>
      </c>
      <c r="BB907">
        <v>1259</v>
      </c>
      <c r="BC907">
        <v>1263</v>
      </c>
      <c r="BD907" t="s">
        <v>74</v>
      </c>
      <c r="BE907" t="s">
        <v>15513</v>
      </c>
      <c r="BF907" t="str">
        <f>HYPERLINK("http://dx.doi.org/10.1080/13504851.2020.1808167","http://dx.doi.org/10.1080/13504851.2020.1808167")</f>
        <v>http://dx.doi.org/10.1080/13504851.2020.1808167</v>
      </c>
      <c r="BG907" t="s">
        <v>74</v>
      </c>
      <c r="BH907" t="s">
        <v>7030</v>
      </c>
      <c r="BI907">
        <v>5</v>
      </c>
      <c r="BJ907" t="s">
        <v>2599</v>
      </c>
      <c r="BK907" t="s">
        <v>94</v>
      </c>
      <c r="BL907" t="s">
        <v>95</v>
      </c>
      <c r="BM907" t="s">
        <v>15514</v>
      </c>
      <c r="BN907" t="s">
        <v>74</v>
      </c>
      <c r="BO907" t="s">
        <v>74</v>
      </c>
      <c r="BP907" t="s">
        <v>74</v>
      </c>
      <c r="BQ907" t="s">
        <v>74</v>
      </c>
      <c r="BR907" t="s">
        <v>97</v>
      </c>
      <c r="BS907" t="s">
        <v>15515</v>
      </c>
      <c r="BT907" t="str">
        <f>HYPERLINK("https%3A%2F%2Fwww.webofscience.com%2Fwos%2Fwoscc%2Ffull-record%2FWOS:000558977900001","View Full Record in Web of Science")</f>
        <v>View Full Record in Web of Science</v>
      </c>
    </row>
    <row r="908" spans="1:72" x14ac:dyDescent="0.25">
      <c r="A908" t="s">
        <v>72</v>
      </c>
      <c r="B908" t="s">
        <v>15516</v>
      </c>
      <c r="C908" t="s">
        <v>74</v>
      </c>
      <c r="D908" t="s">
        <v>74</v>
      </c>
      <c r="E908" t="s">
        <v>74</v>
      </c>
      <c r="F908" t="s">
        <v>15517</v>
      </c>
      <c r="G908" t="s">
        <v>74</v>
      </c>
      <c r="H908" t="s">
        <v>74</v>
      </c>
      <c r="I908" t="s">
        <v>15518</v>
      </c>
      <c r="J908" t="s">
        <v>10390</v>
      </c>
      <c r="K908" t="s">
        <v>74</v>
      </c>
      <c r="L908" t="s">
        <v>74</v>
      </c>
      <c r="M908" t="s">
        <v>77</v>
      </c>
      <c r="N908" t="s">
        <v>78</v>
      </c>
      <c r="O908" t="s">
        <v>74</v>
      </c>
      <c r="P908" t="s">
        <v>74</v>
      </c>
      <c r="Q908" t="s">
        <v>74</v>
      </c>
      <c r="R908" t="s">
        <v>74</v>
      </c>
      <c r="S908" t="s">
        <v>74</v>
      </c>
      <c r="T908" t="s">
        <v>74</v>
      </c>
      <c r="U908" t="s">
        <v>15519</v>
      </c>
      <c r="V908" t="s">
        <v>15520</v>
      </c>
      <c r="W908" t="s">
        <v>15521</v>
      </c>
      <c r="X908" t="s">
        <v>15522</v>
      </c>
      <c r="Y908" t="s">
        <v>15523</v>
      </c>
      <c r="Z908" t="s">
        <v>15524</v>
      </c>
      <c r="AA908" t="s">
        <v>74</v>
      </c>
      <c r="AB908" t="s">
        <v>74</v>
      </c>
      <c r="AC908" t="s">
        <v>15525</v>
      </c>
      <c r="AD908" t="s">
        <v>15526</v>
      </c>
      <c r="AE908" t="s">
        <v>15527</v>
      </c>
      <c r="AF908" t="s">
        <v>74</v>
      </c>
      <c r="AG908">
        <v>33</v>
      </c>
      <c r="AH908">
        <v>3</v>
      </c>
      <c r="AI908">
        <v>4</v>
      </c>
      <c r="AJ908">
        <v>3</v>
      </c>
      <c r="AK908">
        <v>14</v>
      </c>
      <c r="AL908" t="s">
        <v>2833</v>
      </c>
      <c r="AM908" t="s">
        <v>541</v>
      </c>
      <c r="AN908" t="s">
        <v>2834</v>
      </c>
      <c r="AO908" t="s">
        <v>10402</v>
      </c>
      <c r="AP908" t="s">
        <v>74</v>
      </c>
      <c r="AQ908" t="s">
        <v>74</v>
      </c>
      <c r="AR908" t="s">
        <v>10403</v>
      </c>
      <c r="AS908" t="s">
        <v>10404</v>
      </c>
      <c r="AT908" t="s">
        <v>15528</v>
      </c>
      <c r="AU908">
        <v>2020</v>
      </c>
      <c r="AV908">
        <v>10</v>
      </c>
      <c r="AW908">
        <v>1</v>
      </c>
      <c r="AX908" t="s">
        <v>74</v>
      </c>
      <c r="AY908" t="s">
        <v>74</v>
      </c>
      <c r="AZ908" t="s">
        <v>74</v>
      </c>
      <c r="BA908" t="s">
        <v>74</v>
      </c>
      <c r="BB908" t="s">
        <v>74</v>
      </c>
      <c r="BC908" t="s">
        <v>74</v>
      </c>
      <c r="BD908">
        <v>9773</v>
      </c>
      <c r="BE908" t="s">
        <v>15529</v>
      </c>
      <c r="BF908" t="str">
        <f>HYPERLINK("http://dx.doi.org/10.1038/s41598-020-66165-9","http://dx.doi.org/10.1038/s41598-020-66165-9")</f>
        <v>http://dx.doi.org/10.1038/s41598-020-66165-9</v>
      </c>
      <c r="BG908" t="s">
        <v>74</v>
      </c>
      <c r="BH908" t="s">
        <v>74</v>
      </c>
      <c r="BI908">
        <v>5</v>
      </c>
      <c r="BJ908" t="s">
        <v>282</v>
      </c>
      <c r="BK908" t="s">
        <v>283</v>
      </c>
      <c r="BL908" t="s">
        <v>284</v>
      </c>
      <c r="BM908" t="s">
        <v>15530</v>
      </c>
      <c r="BN908">
        <v>32555248</v>
      </c>
      <c r="BO908" t="s">
        <v>4398</v>
      </c>
      <c r="BP908" t="s">
        <v>74</v>
      </c>
      <c r="BQ908" t="s">
        <v>74</v>
      </c>
      <c r="BR908" t="s">
        <v>97</v>
      </c>
      <c r="BS908" t="s">
        <v>15531</v>
      </c>
      <c r="BT908" t="str">
        <f>HYPERLINK("https%3A%2F%2Fwww.webofscience.com%2Fwos%2Fwoscc%2Ffull-record%2FWOS:000543956500013","View Full Record in Web of Science")</f>
        <v>View Full Record in Web of Science</v>
      </c>
    </row>
    <row r="909" spans="1:72" x14ac:dyDescent="0.25">
      <c r="A909" t="s">
        <v>72</v>
      </c>
      <c r="B909" t="s">
        <v>15532</v>
      </c>
      <c r="C909" t="s">
        <v>74</v>
      </c>
      <c r="D909" t="s">
        <v>74</v>
      </c>
      <c r="E909" t="s">
        <v>74</v>
      </c>
      <c r="F909" t="s">
        <v>15533</v>
      </c>
      <c r="G909" t="s">
        <v>74</v>
      </c>
      <c r="H909" t="s">
        <v>74</v>
      </c>
      <c r="I909" t="s">
        <v>15534</v>
      </c>
      <c r="J909" t="s">
        <v>13502</v>
      </c>
      <c r="K909" t="s">
        <v>74</v>
      </c>
      <c r="L909" t="s">
        <v>74</v>
      </c>
      <c r="M909" t="s">
        <v>77</v>
      </c>
      <c r="N909" t="s">
        <v>78</v>
      </c>
      <c r="O909" t="s">
        <v>74</v>
      </c>
      <c r="P909" t="s">
        <v>74</v>
      </c>
      <c r="Q909" t="s">
        <v>74</v>
      </c>
      <c r="R909" t="s">
        <v>74</v>
      </c>
      <c r="S909" t="s">
        <v>74</v>
      </c>
      <c r="T909" t="s">
        <v>15535</v>
      </c>
      <c r="U909" t="s">
        <v>15536</v>
      </c>
      <c r="V909" t="s">
        <v>15537</v>
      </c>
      <c r="W909" t="s">
        <v>15538</v>
      </c>
      <c r="X909" t="s">
        <v>15539</v>
      </c>
      <c r="Y909" t="s">
        <v>15540</v>
      </c>
      <c r="Z909" t="s">
        <v>15541</v>
      </c>
      <c r="AA909" t="s">
        <v>74</v>
      </c>
      <c r="AB909" t="s">
        <v>74</v>
      </c>
      <c r="AC909" t="s">
        <v>15542</v>
      </c>
      <c r="AD909" t="s">
        <v>15543</v>
      </c>
      <c r="AE909" t="s">
        <v>15544</v>
      </c>
      <c r="AF909" t="s">
        <v>74</v>
      </c>
      <c r="AG909">
        <v>22</v>
      </c>
      <c r="AH909">
        <v>3</v>
      </c>
      <c r="AI909">
        <v>3</v>
      </c>
      <c r="AJ909">
        <v>1</v>
      </c>
      <c r="AK909">
        <v>14</v>
      </c>
      <c r="AL909" t="s">
        <v>13512</v>
      </c>
      <c r="AM909" t="s">
        <v>13513</v>
      </c>
      <c r="AN909" t="s">
        <v>13514</v>
      </c>
      <c r="AO909" t="s">
        <v>13515</v>
      </c>
      <c r="AP909" t="s">
        <v>13516</v>
      </c>
      <c r="AQ909" t="s">
        <v>74</v>
      </c>
      <c r="AR909" t="s">
        <v>13517</v>
      </c>
      <c r="AS909" t="s">
        <v>13518</v>
      </c>
      <c r="AT909" t="s">
        <v>14364</v>
      </c>
      <c r="AU909">
        <v>2020</v>
      </c>
      <c r="AV909" t="s">
        <v>74</v>
      </c>
      <c r="AW909" t="s">
        <v>74</v>
      </c>
      <c r="AX909" t="s">
        <v>74</v>
      </c>
      <c r="AY909" t="s">
        <v>74</v>
      </c>
      <c r="AZ909">
        <v>115</v>
      </c>
      <c r="BA909" t="s">
        <v>74</v>
      </c>
      <c r="BB909">
        <v>442</v>
      </c>
      <c r="BC909">
        <v>445</v>
      </c>
      <c r="BD909" t="s">
        <v>74</v>
      </c>
      <c r="BE909" t="s">
        <v>15545</v>
      </c>
      <c r="BF909" t="str">
        <f>HYPERLINK("http://dx.doi.org/10.2112/JCR-SI115-124.1","http://dx.doi.org/10.2112/JCR-SI115-124.1")</f>
        <v>http://dx.doi.org/10.2112/JCR-SI115-124.1</v>
      </c>
      <c r="BG909" t="s">
        <v>74</v>
      </c>
      <c r="BH909" t="s">
        <v>74</v>
      </c>
      <c r="BI909">
        <v>4</v>
      </c>
      <c r="BJ909" t="s">
        <v>13520</v>
      </c>
      <c r="BK909" t="s">
        <v>147</v>
      </c>
      <c r="BL909" t="s">
        <v>3369</v>
      </c>
      <c r="BM909" t="s">
        <v>15546</v>
      </c>
      <c r="BN909" t="s">
        <v>74</v>
      </c>
      <c r="BO909" t="s">
        <v>74</v>
      </c>
      <c r="BP909" t="s">
        <v>74</v>
      </c>
      <c r="BQ909" t="s">
        <v>74</v>
      </c>
      <c r="BR909" t="s">
        <v>97</v>
      </c>
      <c r="BS909" t="s">
        <v>15547</v>
      </c>
      <c r="BT909" t="str">
        <f>HYPERLINK("https%3A%2F%2Fwww.webofscience.com%2Fwos%2Fwoscc%2Ffull-record%2FWOS:000566695100124","View Full Record in Web of Science")</f>
        <v>View Full Record in Web of Science</v>
      </c>
    </row>
    <row r="910" spans="1:72" x14ac:dyDescent="0.25">
      <c r="A910" t="s">
        <v>72</v>
      </c>
      <c r="B910" t="s">
        <v>15548</v>
      </c>
      <c r="C910" t="s">
        <v>74</v>
      </c>
      <c r="D910" t="s">
        <v>74</v>
      </c>
      <c r="E910" t="s">
        <v>74</v>
      </c>
      <c r="F910" t="s">
        <v>15549</v>
      </c>
      <c r="G910" t="s">
        <v>74</v>
      </c>
      <c r="H910" t="s">
        <v>74</v>
      </c>
      <c r="I910" t="s">
        <v>15550</v>
      </c>
      <c r="J910" t="s">
        <v>2059</v>
      </c>
      <c r="K910" t="s">
        <v>74</v>
      </c>
      <c r="L910" t="s">
        <v>74</v>
      </c>
      <c r="M910" t="s">
        <v>77</v>
      </c>
      <c r="N910" t="s">
        <v>78</v>
      </c>
      <c r="O910" t="s">
        <v>74</v>
      </c>
      <c r="P910" t="s">
        <v>74</v>
      </c>
      <c r="Q910" t="s">
        <v>74</v>
      </c>
      <c r="R910" t="s">
        <v>74</v>
      </c>
      <c r="S910" t="s">
        <v>74</v>
      </c>
      <c r="T910" t="s">
        <v>15551</v>
      </c>
      <c r="U910" t="s">
        <v>15552</v>
      </c>
      <c r="V910" t="s">
        <v>15553</v>
      </c>
      <c r="W910" t="s">
        <v>15554</v>
      </c>
      <c r="X910" t="s">
        <v>15555</v>
      </c>
      <c r="Y910" t="s">
        <v>15556</v>
      </c>
      <c r="Z910" t="s">
        <v>15557</v>
      </c>
      <c r="AA910" t="s">
        <v>74</v>
      </c>
      <c r="AB910" t="s">
        <v>15558</v>
      </c>
      <c r="AC910" t="s">
        <v>74</v>
      </c>
      <c r="AD910" t="s">
        <v>74</v>
      </c>
      <c r="AE910" t="s">
        <v>74</v>
      </c>
      <c r="AF910" t="s">
        <v>74</v>
      </c>
      <c r="AG910">
        <v>24</v>
      </c>
      <c r="AH910">
        <v>3</v>
      </c>
      <c r="AI910">
        <v>3</v>
      </c>
      <c r="AJ910">
        <v>7</v>
      </c>
      <c r="AK910">
        <v>44</v>
      </c>
      <c r="AL910" t="s">
        <v>2067</v>
      </c>
      <c r="AM910" t="s">
        <v>2068</v>
      </c>
      <c r="AN910" t="s">
        <v>2069</v>
      </c>
      <c r="AO910" t="s">
        <v>2070</v>
      </c>
      <c r="AP910" t="s">
        <v>2071</v>
      </c>
      <c r="AQ910" t="s">
        <v>74</v>
      </c>
      <c r="AR910" t="s">
        <v>2072</v>
      </c>
      <c r="AS910" t="s">
        <v>2073</v>
      </c>
      <c r="AT910" t="s">
        <v>165</v>
      </c>
      <c r="AU910">
        <v>2020</v>
      </c>
      <c r="AV910">
        <v>48</v>
      </c>
      <c r="AW910">
        <v>5</v>
      </c>
      <c r="AX910" t="s">
        <v>74</v>
      </c>
      <c r="AY910" t="s">
        <v>74</v>
      </c>
      <c r="AZ910" t="s">
        <v>74</v>
      </c>
      <c r="BA910" t="s">
        <v>74</v>
      </c>
      <c r="BB910" t="s">
        <v>74</v>
      </c>
      <c r="BC910" t="s">
        <v>74</v>
      </c>
      <c r="BD910" t="s">
        <v>15559</v>
      </c>
      <c r="BE910" t="s">
        <v>15560</v>
      </c>
      <c r="BF910" t="str">
        <f>HYPERLINK("http://dx.doi.org/10.2224/sbp.9083","http://dx.doi.org/10.2224/sbp.9083")</f>
        <v>http://dx.doi.org/10.2224/sbp.9083</v>
      </c>
      <c r="BG910" t="s">
        <v>74</v>
      </c>
      <c r="BH910" t="s">
        <v>74</v>
      </c>
      <c r="BI910">
        <v>6</v>
      </c>
      <c r="BJ910" t="s">
        <v>459</v>
      </c>
      <c r="BK910" t="s">
        <v>94</v>
      </c>
      <c r="BL910" t="s">
        <v>460</v>
      </c>
      <c r="BM910" t="s">
        <v>15561</v>
      </c>
      <c r="BN910" t="s">
        <v>74</v>
      </c>
      <c r="BO910" t="s">
        <v>74</v>
      </c>
      <c r="BP910" t="s">
        <v>74</v>
      </c>
      <c r="BQ910" t="s">
        <v>74</v>
      </c>
      <c r="BR910" t="s">
        <v>97</v>
      </c>
      <c r="BS910" t="s">
        <v>15562</v>
      </c>
      <c r="BT910" t="str">
        <f>HYPERLINK("https%3A%2F%2Fwww.webofscience.com%2Fwos%2Fwoscc%2Ffull-record%2FWOS:000531576500011","View Full Record in Web of Science")</f>
        <v>View Full Record in Web of Science</v>
      </c>
    </row>
    <row r="911" spans="1:72" x14ac:dyDescent="0.25">
      <c r="A911" t="s">
        <v>72</v>
      </c>
      <c r="B911" t="s">
        <v>15563</v>
      </c>
      <c r="C911" t="s">
        <v>74</v>
      </c>
      <c r="D911" t="s">
        <v>74</v>
      </c>
      <c r="E911" t="s">
        <v>74</v>
      </c>
      <c r="F911" t="s">
        <v>15564</v>
      </c>
      <c r="G911" t="s">
        <v>74</v>
      </c>
      <c r="H911" t="s">
        <v>74</v>
      </c>
      <c r="I911" t="s">
        <v>15565</v>
      </c>
      <c r="J911" t="s">
        <v>2463</v>
      </c>
      <c r="K911" t="s">
        <v>74</v>
      </c>
      <c r="L911" t="s">
        <v>74</v>
      </c>
      <c r="M911" t="s">
        <v>77</v>
      </c>
      <c r="N911" t="s">
        <v>78</v>
      </c>
      <c r="O911" t="s">
        <v>74</v>
      </c>
      <c r="P911" t="s">
        <v>74</v>
      </c>
      <c r="Q911" t="s">
        <v>74</v>
      </c>
      <c r="R911" t="s">
        <v>74</v>
      </c>
      <c r="S911" t="s">
        <v>74</v>
      </c>
      <c r="T911" t="s">
        <v>15566</v>
      </c>
      <c r="U911" t="s">
        <v>15567</v>
      </c>
      <c r="V911" t="s">
        <v>15568</v>
      </c>
      <c r="W911" t="s">
        <v>15569</v>
      </c>
      <c r="X911" t="s">
        <v>15570</v>
      </c>
      <c r="Y911" t="s">
        <v>15571</v>
      </c>
      <c r="Z911" t="s">
        <v>15572</v>
      </c>
      <c r="AA911" t="s">
        <v>74</v>
      </c>
      <c r="AB911" t="s">
        <v>74</v>
      </c>
      <c r="AC911" t="s">
        <v>15573</v>
      </c>
      <c r="AD911" t="s">
        <v>15574</v>
      </c>
      <c r="AE911" t="s">
        <v>15575</v>
      </c>
      <c r="AF911" t="s">
        <v>74</v>
      </c>
      <c r="AG911">
        <v>32</v>
      </c>
      <c r="AH911">
        <v>3</v>
      </c>
      <c r="AI911">
        <v>3</v>
      </c>
      <c r="AJ911">
        <v>2</v>
      </c>
      <c r="AK911">
        <v>14</v>
      </c>
      <c r="AL911" t="s">
        <v>2473</v>
      </c>
      <c r="AM911" t="s">
        <v>2102</v>
      </c>
      <c r="AN911" t="s">
        <v>2474</v>
      </c>
      <c r="AO911" t="s">
        <v>74</v>
      </c>
      <c r="AP911" t="s">
        <v>2475</v>
      </c>
      <c r="AQ911" t="s">
        <v>74</v>
      </c>
      <c r="AR911" t="s">
        <v>2476</v>
      </c>
      <c r="AS911" t="s">
        <v>2477</v>
      </c>
      <c r="AT911" t="s">
        <v>405</v>
      </c>
      <c r="AU911">
        <v>2020</v>
      </c>
      <c r="AV911">
        <v>12</v>
      </c>
      <c r="AW911">
        <v>3</v>
      </c>
      <c r="AX911" t="s">
        <v>74</v>
      </c>
      <c r="AY911" t="s">
        <v>74</v>
      </c>
      <c r="AZ911" t="s">
        <v>74</v>
      </c>
      <c r="BA911" t="s">
        <v>74</v>
      </c>
      <c r="BB911" t="s">
        <v>74</v>
      </c>
      <c r="BC911" t="s">
        <v>74</v>
      </c>
      <c r="BD911">
        <v>843</v>
      </c>
      <c r="BE911" t="s">
        <v>15576</v>
      </c>
      <c r="BF911" t="str">
        <f>HYPERLINK("http://dx.doi.org/10.3390/su12030843","http://dx.doi.org/10.3390/su12030843")</f>
        <v>http://dx.doi.org/10.3390/su12030843</v>
      </c>
      <c r="BG911" t="s">
        <v>74</v>
      </c>
      <c r="BH911" t="s">
        <v>74</v>
      </c>
      <c r="BI911">
        <v>15</v>
      </c>
      <c r="BJ911" t="s">
        <v>2479</v>
      </c>
      <c r="BK911" t="s">
        <v>147</v>
      </c>
      <c r="BL911" t="s">
        <v>2480</v>
      </c>
      <c r="BM911" t="s">
        <v>15577</v>
      </c>
      <c r="BN911" t="s">
        <v>74</v>
      </c>
      <c r="BO911" t="s">
        <v>3205</v>
      </c>
      <c r="BP911" t="s">
        <v>74</v>
      </c>
      <c r="BQ911" t="s">
        <v>74</v>
      </c>
      <c r="BR911" t="s">
        <v>97</v>
      </c>
      <c r="BS911" t="s">
        <v>15578</v>
      </c>
      <c r="BT911" t="str">
        <f>HYPERLINK("https%3A%2F%2Fwww.webofscience.com%2Fwos%2Fwoscc%2Ffull-record%2FWOS:000519135101049","View Full Record in Web of Science")</f>
        <v>View Full Record in Web of Science</v>
      </c>
    </row>
    <row r="912" spans="1:72" x14ac:dyDescent="0.25">
      <c r="A912" t="s">
        <v>72</v>
      </c>
      <c r="B912" t="s">
        <v>15579</v>
      </c>
      <c r="C912" t="s">
        <v>74</v>
      </c>
      <c r="D912" t="s">
        <v>74</v>
      </c>
      <c r="E912" t="s">
        <v>74</v>
      </c>
      <c r="F912" t="s">
        <v>15580</v>
      </c>
      <c r="G912" t="s">
        <v>74</v>
      </c>
      <c r="H912" t="s">
        <v>74</v>
      </c>
      <c r="I912" t="s">
        <v>15581</v>
      </c>
      <c r="J912" t="s">
        <v>8059</v>
      </c>
      <c r="K912" t="s">
        <v>74</v>
      </c>
      <c r="L912" t="s">
        <v>74</v>
      </c>
      <c r="M912" t="s">
        <v>77</v>
      </c>
      <c r="N912" t="s">
        <v>78</v>
      </c>
      <c r="O912" t="s">
        <v>74</v>
      </c>
      <c r="P912" t="s">
        <v>74</v>
      </c>
      <c r="Q912" t="s">
        <v>74</v>
      </c>
      <c r="R912" t="s">
        <v>74</v>
      </c>
      <c r="S912" t="s">
        <v>74</v>
      </c>
      <c r="T912" t="s">
        <v>15582</v>
      </c>
      <c r="U912" t="s">
        <v>15583</v>
      </c>
      <c r="V912" t="s">
        <v>15584</v>
      </c>
      <c r="W912" t="s">
        <v>15585</v>
      </c>
      <c r="X912" t="s">
        <v>15586</v>
      </c>
      <c r="Y912" t="s">
        <v>15587</v>
      </c>
      <c r="Z912" t="s">
        <v>15588</v>
      </c>
      <c r="AA912" t="s">
        <v>15589</v>
      </c>
      <c r="AB912" t="s">
        <v>15590</v>
      </c>
      <c r="AC912" t="s">
        <v>15591</v>
      </c>
      <c r="AD912" t="s">
        <v>15592</v>
      </c>
      <c r="AE912" t="s">
        <v>15593</v>
      </c>
      <c r="AF912" t="s">
        <v>74</v>
      </c>
      <c r="AG912">
        <v>119</v>
      </c>
      <c r="AH912">
        <v>3</v>
      </c>
      <c r="AI912">
        <v>3</v>
      </c>
      <c r="AJ912">
        <v>8</v>
      </c>
      <c r="AK912">
        <v>40</v>
      </c>
      <c r="AL912" t="s">
        <v>1099</v>
      </c>
      <c r="AM912" t="s">
        <v>305</v>
      </c>
      <c r="AN912" t="s">
        <v>1100</v>
      </c>
      <c r="AO912" t="s">
        <v>8066</v>
      </c>
      <c r="AP912" t="s">
        <v>8067</v>
      </c>
      <c r="AQ912" t="s">
        <v>74</v>
      </c>
      <c r="AR912" t="s">
        <v>8068</v>
      </c>
      <c r="AS912" t="s">
        <v>8069</v>
      </c>
      <c r="AT912" t="s">
        <v>11895</v>
      </c>
      <c r="AU912">
        <v>2021</v>
      </c>
      <c r="AV912">
        <v>32</v>
      </c>
      <c r="AW912" t="s">
        <v>15594</v>
      </c>
      <c r="AX912" t="s">
        <v>74</v>
      </c>
      <c r="AY912" t="s">
        <v>74</v>
      </c>
      <c r="AZ912" t="s">
        <v>74</v>
      </c>
      <c r="BA912" t="s">
        <v>74</v>
      </c>
      <c r="BB912">
        <v>1316</v>
      </c>
      <c r="BC912">
        <v>1340</v>
      </c>
      <c r="BD912" t="s">
        <v>74</v>
      </c>
      <c r="BE912" t="s">
        <v>15595</v>
      </c>
      <c r="BF912" t="str">
        <f>HYPERLINK("http://dx.doi.org/10.1080/14783363.2019.1700107","http://dx.doi.org/10.1080/14783363.2019.1700107")</f>
        <v>http://dx.doi.org/10.1080/14783363.2019.1700107</v>
      </c>
      <c r="BG912" t="s">
        <v>74</v>
      </c>
      <c r="BH912" t="s">
        <v>6185</v>
      </c>
      <c r="BI912">
        <v>25</v>
      </c>
      <c r="BJ912" t="s">
        <v>442</v>
      </c>
      <c r="BK912" t="s">
        <v>94</v>
      </c>
      <c r="BL912" t="s">
        <v>95</v>
      </c>
      <c r="BM912" t="s">
        <v>15596</v>
      </c>
      <c r="BN912" t="s">
        <v>74</v>
      </c>
      <c r="BO912" t="s">
        <v>74</v>
      </c>
      <c r="BP912" t="s">
        <v>74</v>
      </c>
      <c r="BQ912" t="s">
        <v>74</v>
      </c>
      <c r="BR912" t="s">
        <v>97</v>
      </c>
      <c r="BS912" t="s">
        <v>15597</v>
      </c>
      <c r="BT912" t="str">
        <f>HYPERLINK("https%3A%2F%2Fwww.webofscience.com%2Fwos%2Fwoscc%2Ffull-record%2FWOS:000502225500001","View Full Record in Web of Science")</f>
        <v>View Full Record in Web of Science</v>
      </c>
    </row>
    <row r="913" spans="1:72" x14ac:dyDescent="0.25">
      <c r="A913" t="s">
        <v>72</v>
      </c>
      <c r="B913" t="s">
        <v>15598</v>
      </c>
      <c r="C913" t="s">
        <v>74</v>
      </c>
      <c r="D913" t="s">
        <v>74</v>
      </c>
      <c r="E913" t="s">
        <v>74</v>
      </c>
      <c r="F913" t="s">
        <v>15599</v>
      </c>
      <c r="G913" t="s">
        <v>74</v>
      </c>
      <c r="H913" t="s">
        <v>74</v>
      </c>
      <c r="I913" t="s">
        <v>15600</v>
      </c>
      <c r="J913" t="s">
        <v>15601</v>
      </c>
      <c r="K913" t="s">
        <v>74</v>
      </c>
      <c r="L913" t="s">
        <v>74</v>
      </c>
      <c r="M913" t="s">
        <v>77</v>
      </c>
      <c r="N913" t="s">
        <v>78</v>
      </c>
      <c r="O913" t="s">
        <v>74</v>
      </c>
      <c r="P913" t="s">
        <v>74</v>
      </c>
      <c r="Q913" t="s">
        <v>74</v>
      </c>
      <c r="R913" t="s">
        <v>74</v>
      </c>
      <c r="S913" t="s">
        <v>74</v>
      </c>
      <c r="T913" t="s">
        <v>15602</v>
      </c>
      <c r="U913" t="s">
        <v>15603</v>
      </c>
      <c r="V913" t="s">
        <v>15604</v>
      </c>
      <c r="W913" t="s">
        <v>15605</v>
      </c>
      <c r="X913" t="s">
        <v>3631</v>
      </c>
      <c r="Y913" t="s">
        <v>15606</v>
      </c>
      <c r="Z913" t="s">
        <v>3633</v>
      </c>
      <c r="AA913" t="s">
        <v>74</v>
      </c>
      <c r="AB913" t="s">
        <v>74</v>
      </c>
      <c r="AC913" t="s">
        <v>74</v>
      </c>
      <c r="AD913" t="s">
        <v>74</v>
      </c>
      <c r="AE913" t="s">
        <v>74</v>
      </c>
      <c r="AF913" t="s">
        <v>74</v>
      </c>
      <c r="AG913">
        <v>93</v>
      </c>
      <c r="AH913">
        <v>3</v>
      </c>
      <c r="AI913">
        <v>3</v>
      </c>
      <c r="AJ913">
        <v>2</v>
      </c>
      <c r="AK913">
        <v>38</v>
      </c>
      <c r="AL913" t="s">
        <v>665</v>
      </c>
      <c r="AM913" t="s">
        <v>666</v>
      </c>
      <c r="AN913" t="s">
        <v>667</v>
      </c>
      <c r="AO913" t="s">
        <v>15607</v>
      </c>
      <c r="AP913" t="s">
        <v>15608</v>
      </c>
      <c r="AQ913" t="s">
        <v>74</v>
      </c>
      <c r="AR913" t="s">
        <v>15609</v>
      </c>
      <c r="AS913" t="s">
        <v>15610</v>
      </c>
      <c r="AT913" t="s">
        <v>5871</v>
      </c>
      <c r="AU913">
        <v>2019</v>
      </c>
      <c r="AV913">
        <v>49</v>
      </c>
      <c r="AW913">
        <v>1</v>
      </c>
      <c r="AX913" t="s">
        <v>74</v>
      </c>
      <c r="AY913" t="s">
        <v>74</v>
      </c>
      <c r="AZ913" t="s">
        <v>860</v>
      </c>
      <c r="BA913" t="s">
        <v>74</v>
      </c>
      <c r="BB913">
        <v>52</v>
      </c>
      <c r="BC913">
        <v>74</v>
      </c>
      <c r="BD913" t="s">
        <v>74</v>
      </c>
      <c r="BE913" t="s">
        <v>15611</v>
      </c>
      <c r="BF913" t="str">
        <f>HYPERLINK("http://dx.doi.org/10.1108/IJPDLM-07-2017-0238","http://dx.doi.org/10.1108/IJPDLM-07-2017-0238")</f>
        <v>http://dx.doi.org/10.1108/IJPDLM-07-2017-0238</v>
      </c>
      <c r="BG913" t="s">
        <v>74</v>
      </c>
      <c r="BH913" t="s">
        <v>74</v>
      </c>
      <c r="BI913">
        <v>23</v>
      </c>
      <c r="BJ913" t="s">
        <v>442</v>
      </c>
      <c r="BK913" t="s">
        <v>94</v>
      </c>
      <c r="BL913" t="s">
        <v>95</v>
      </c>
      <c r="BM913" t="s">
        <v>15612</v>
      </c>
      <c r="BN913" t="s">
        <v>74</v>
      </c>
      <c r="BO913" t="s">
        <v>74</v>
      </c>
      <c r="BP913" t="s">
        <v>74</v>
      </c>
      <c r="BQ913" t="s">
        <v>74</v>
      </c>
      <c r="BR913" t="s">
        <v>97</v>
      </c>
      <c r="BS913" t="s">
        <v>15613</v>
      </c>
      <c r="BT913" t="str">
        <f>HYPERLINK("https%3A%2F%2Fwww.webofscience.com%2Fwos%2Fwoscc%2Ffull-record%2FWOS:000457877400004","View Full Record in Web of Science")</f>
        <v>View Full Record in Web of Science</v>
      </c>
    </row>
    <row r="914" spans="1:72" x14ac:dyDescent="0.25">
      <c r="A914" t="s">
        <v>72</v>
      </c>
      <c r="B914" t="s">
        <v>15614</v>
      </c>
      <c r="C914" t="s">
        <v>74</v>
      </c>
      <c r="D914" t="s">
        <v>74</v>
      </c>
      <c r="E914" t="s">
        <v>74</v>
      </c>
      <c r="F914" t="s">
        <v>15615</v>
      </c>
      <c r="G914" t="s">
        <v>74</v>
      </c>
      <c r="H914" t="s">
        <v>74</v>
      </c>
      <c r="I914" t="s">
        <v>15616</v>
      </c>
      <c r="J914" t="s">
        <v>15617</v>
      </c>
      <c r="K914" t="s">
        <v>74</v>
      </c>
      <c r="L914" t="s">
        <v>74</v>
      </c>
      <c r="M914" t="s">
        <v>77</v>
      </c>
      <c r="N914" t="s">
        <v>78</v>
      </c>
      <c r="O914" t="s">
        <v>74</v>
      </c>
      <c r="P914" t="s">
        <v>74</v>
      </c>
      <c r="Q914" t="s">
        <v>74</v>
      </c>
      <c r="R914" t="s">
        <v>74</v>
      </c>
      <c r="S914" t="s">
        <v>74</v>
      </c>
      <c r="T914" t="s">
        <v>15618</v>
      </c>
      <c r="U914" t="s">
        <v>15619</v>
      </c>
      <c r="V914" t="s">
        <v>15620</v>
      </c>
      <c r="W914" t="s">
        <v>15621</v>
      </c>
      <c r="X914" t="s">
        <v>15622</v>
      </c>
      <c r="Y914" t="s">
        <v>15623</v>
      </c>
      <c r="Z914" t="s">
        <v>15624</v>
      </c>
      <c r="AA914" t="s">
        <v>15625</v>
      </c>
      <c r="AB914" t="s">
        <v>15626</v>
      </c>
      <c r="AC914" t="s">
        <v>74</v>
      </c>
      <c r="AD914" t="s">
        <v>74</v>
      </c>
      <c r="AE914" t="s">
        <v>74</v>
      </c>
      <c r="AF914" t="s">
        <v>74</v>
      </c>
      <c r="AG914">
        <v>61</v>
      </c>
      <c r="AH914">
        <v>3</v>
      </c>
      <c r="AI914">
        <v>3</v>
      </c>
      <c r="AJ914">
        <v>1</v>
      </c>
      <c r="AK914">
        <v>12</v>
      </c>
      <c r="AL914" t="s">
        <v>138</v>
      </c>
      <c r="AM914" t="s">
        <v>139</v>
      </c>
      <c r="AN914" t="s">
        <v>140</v>
      </c>
      <c r="AO914" t="s">
        <v>15627</v>
      </c>
      <c r="AP914" t="s">
        <v>74</v>
      </c>
      <c r="AQ914" t="s">
        <v>74</v>
      </c>
      <c r="AR914" t="s">
        <v>15628</v>
      </c>
      <c r="AS914" t="s">
        <v>15629</v>
      </c>
      <c r="AT914" t="s">
        <v>15075</v>
      </c>
      <c r="AU914">
        <v>2019</v>
      </c>
      <c r="AV914">
        <v>132</v>
      </c>
      <c r="AW914">
        <v>2</v>
      </c>
      <c r="AX914" t="s">
        <v>74</v>
      </c>
      <c r="AY914" t="s">
        <v>74</v>
      </c>
      <c r="AZ914" t="s">
        <v>74</v>
      </c>
      <c r="BA914" t="s">
        <v>74</v>
      </c>
      <c r="BB914">
        <v>171</v>
      </c>
      <c r="BC914">
        <v>182</v>
      </c>
      <c r="BD914" t="s">
        <v>74</v>
      </c>
      <c r="BE914" t="s">
        <v>15630</v>
      </c>
      <c r="BF914" t="str">
        <f>HYPERLINK("http://dx.doi.org/10.1097/CM9.0000000000000031","http://dx.doi.org/10.1097/CM9.0000000000000031")</f>
        <v>http://dx.doi.org/10.1097/CM9.0000000000000031</v>
      </c>
      <c r="BG914" t="s">
        <v>74</v>
      </c>
      <c r="BH914" t="s">
        <v>74</v>
      </c>
      <c r="BI914">
        <v>12</v>
      </c>
      <c r="BJ914" t="s">
        <v>7198</v>
      </c>
      <c r="BK914" t="s">
        <v>147</v>
      </c>
      <c r="BL914" t="s">
        <v>7199</v>
      </c>
      <c r="BM914" t="s">
        <v>15631</v>
      </c>
      <c r="BN914">
        <v>30614857</v>
      </c>
      <c r="BO914" t="s">
        <v>3205</v>
      </c>
      <c r="BP914" t="s">
        <v>74</v>
      </c>
      <c r="BQ914" t="s">
        <v>74</v>
      </c>
      <c r="BR914" t="s">
        <v>97</v>
      </c>
      <c r="BS914" t="s">
        <v>15632</v>
      </c>
      <c r="BT914" t="str">
        <f>HYPERLINK("https%3A%2F%2Fwww.webofscience.com%2Fwos%2Fwoscc%2Ffull-record%2FWOS:000464593000006","View Full Record in Web of Science")</f>
        <v>View Full Record in Web of Science</v>
      </c>
    </row>
    <row r="915" spans="1:72" x14ac:dyDescent="0.25">
      <c r="A915" t="s">
        <v>72</v>
      </c>
      <c r="B915" t="s">
        <v>15633</v>
      </c>
      <c r="C915" t="s">
        <v>74</v>
      </c>
      <c r="D915" t="s">
        <v>74</v>
      </c>
      <c r="E915" t="s">
        <v>74</v>
      </c>
      <c r="F915" t="s">
        <v>15634</v>
      </c>
      <c r="G915" t="s">
        <v>74</v>
      </c>
      <c r="H915" t="s">
        <v>74</v>
      </c>
      <c r="I915" t="s">
        <v>15635</v>
      </c>
      <c r="J915" t="s">
        <v>1290</v>
      </c>
      <c r="K915" t="s">
        <v>74</v>
      </c>
      <c r="L915" t="s">
        <v>74</v>
      </c>
      <c r="M915" t="s">
        <v>77</v>
      </c>
      <c r="N915" t="s">
        <v>78</v>
      </c>
      <c r="O915" t="s">
        <v>74</v>
      </c>
      <c r="P915" t="s">
        <v>74</v>
      </c>
      <c r="Q915" t="s">
        <v>74</v>
      </c>
      <c r="R915" t="s">
        <v>74</v>
      </c>
      <c r="S915" t="s">
        <v>74</v>
      </c>
      <c r="T915" t="s">
        <v>15636</v>
      </c>
      <c r="U915" t="s">
        <v>15637</v>
      </c>
      <c r="V915" t="s">
        <v>15638</v>
      </c>
      <c r="W915" t="s">
        <v>15639</v>
      </c>
      <c r="X915" t="s">
        <v>15640</v>
      </c>
      <c r="Y915" t="s">
        <v>15641</v>
      </c>
      <c r="Z915" t="s">
        <v>15642</v>
      </c>
      <c r="AA915" t="s">
        <v>74</v>
      </c>
      <c r="AB915" t="s">
        <v>74</v>
      </c>
      <c r="AC915" t="s">
        <v>74</v>
      </c>
      <c r="AD915" t="s">
        <v>74</v>
      </c>
      <c r="AE915" t="s">
        <v>74</v>
      </c>
      <c r="AF915" t="s">
        <v>74</v>
      </c>
      <c r="AG915">
        <v>75</v>
      </c>
      <c r="AH915">
        <v>3</v>
      </c>
      <c r="AI915">
        <v>3</v>
      </c>
      <c r="AJ915">
        <v>5</v>
      </c>
      <c r="AK915">
        <v>18</v>
      </c>
      <c r="AL915" t="s">
        <v>665</v>
      </c>
      <c r="AM915" t="s">
        <v>666</v>
      </c>
      <c r="AN915" t="s">
        <v>667</v>
      </c>
      <c r="AO915" t="s">
        <v>1300</v>
      </c>
      <c r="AP915" t="s">
        <v>1301</v>
      </c>
      <c r="AQ915" t="s">
        <v>74</v>
      </c>
      <c r="AR915" t="s">
        <v>1302</v>
      </c>
      <c r="AS915" t="s">
        <v>1303</v>
      </c>
      <c r="AT915" t="s">
        <v>74</v>
      </c>
      <c r="AU915">
        <v>2019</v>
      </c>
      <c r="AV915">
        <v>31</v>
      </c>
      <c r="AW915">
        <v>7</v>
      </c>
      <c r="AX915" t="s">
        <v>74</v>
      </c>
      <c r="AY915" t="s">
        <v>74</v>
      </c>
      <c r="AZ915" t="s">
        <v>74</v>
      </c>
      <c r="BA915" t="s">
        <v>74</v>
      </c>
      <c r="BB915">
        <v>2788</v>
      </c>
      <c r="BC915">
        <v>2807</v>
      </c>
      <c r="BD915" t="s">
        <v>74</v>
      </c>
      <c r="BE915" t="s">
        <v>15643</v>
      </c>
      <c r="BF915" t="str">
        <f>HYPERLINK("http://dx.doi.org/10.1108/IJCHM-05-2018-0349","http://dx.doi.org/10.1108/IJCHM-05-2018-0349")</f>
        <v>http://dx.doi.org/10.1108/IJCHM-05-2018-0349</v>
      </c>
      <c r="BG915" t="s">
        <v>74</v>
      </c>
      <c r="BH915" t="s">
        <v>74</v>
      </c>
      <c r="BI915">
        <v>20</v>
      </c>
      <c r="BJ915" t="s">
        <v>1305</v>
      </c>
      <c r="BK915" t="s">
        <v>94</v>
      </c>
      <c r="BL915" t="s">
        <v>1306</v>
      </c>
      <c r="BM915" t="s">
        <v>15644</v>
      </c>
      <c r="BN915" t="s">
        <v>74</v>
      </c>
      <c r="BO915" t="s">
        <v>74</v>
      </c>
      <c r="BP915" t="s">
        <v>74</v>
      </c>
      <c r="BQ915" t="s">
        <v>74</v>
      </c>
      <c r="BR915" t="s">
        <v>97</v>
      </c>
      <c r="BS915" t="s">
        <v>15645</v>
      </c>
      <c r="BT915" t="str">
        <f>HYPERLINK("https%3A%2F%2Fwww.webofscience.com%2Fwos%2Fwoscc%2Ffull-record%2FWOS:000495000300010","View Full Record in Web of Science")</f>
        <v>View Full Record in Web of Science</v>
      </c>
    </row>
    <row r="916" spans="1:72" x14ac:dyDescent="0.25">
      <c r="A916" t="s">
        <v>72</v>
      </c>
      <c r="B916" t="s">
        <v>15646</v>
      </c>
      <c r="C916" t="s">
        <v>74</v>
      </c>
      <c r="D916" t="s">
        <v>74</v>
      </c>
      <c r="E916" t="s">
        <v>74</v>
      </c>
      <c r="F916" t="s">
        <v>15647</v>
      </c>
      <c r="G916" t="s">
        <v>74</v>
      </c>
      <c r="H916" t="s">
        <v>74</v>
      </c>
      <c r="I916" t="s">
        <v>15648</v>
      </c>
      <c r="J916" t="s">
        <v>15649</v>
      </c>
      <c r="K916" t="s">
        <v>74</v>
      </c>
      <c r="L916" t="s">
        <v>74</v>
      </c>
      <c r="M916" t="s">
        <v>77</v>
      </c>
      <c r="N916" t="s">
        <v>78</v>
      </c>
      <c r="O916" t="s">
        <v>74</v>
      </c>
      <c r="P916" t="s">
        <v>74</v>
      </c>
      <c r="Q916" t="s">
        <v>74</v>
      </c>
      <c r="R916" t="s">
        <v>74</v>
      </c>
      <c r="S916" t="s">
        <v>74</v>
      </c>
      <c r="T916" t="s">
        <v>15650</v>
      </c>
      <c r="U916" t="s">
        <v>15651</v>
      </c>
      <c r="V916" t="s">
        <v>15652</v>
      </c>
      <c r="W916" t="s">
        <v>15653</v>
      </c>
      <c r="X916" t="s">
        <v>15654</v>
      </c>
      <c r="Y916" t="s">
        <v>15655</v>
      </c>
      <c r="Z916" t="s">
        <v>15656</v>
      </c>
      <c r="AA916" t="s">
        <v>74</v>
      </c>
      <c r="AB916" t="s">
        <v>74</v>
      </c>
      <c r="AC916" t="s">
        <v>74</v>
      </c>
      <c r="AD916" t="s">
        <v>74</v>
      </c>
      <c r="AE916" t="s">
        <v>74</v>
      </c>
      <c r="AF916" t="s">
        <v>74</v>
      </c>
      <c r="AG916">
        <v>56</v>
      </c>
      <c r="AH916">
        <v>3</v>
      </c>
      <c r="AI916">
        <v>3</v>
      </c>
      <c r="AJ916">
        <v>0</v>
      </c>
      <c r="AK916">
        <v>15</v>
      </c>
      <c r="AL916" t="s">
        <v>15657</v>
      </c>
      <c r="AM916" t="s">
        <v>15658</v>
      </c>
      <c r="AN916" t="s">
        <v>15659</v>
      </c>
      <c r="AO916" t="s">
        <v>15660</v>
      </c>
      <c r="AP916" t="s">
        <v>74</v>
      </c>
      <c r="AQ916" t="s">
        <v>74</v>
      </c>
      <c r="AR916" t="s">
        <v>15661</v>
      </c>
      <c r="AS916" t="s">
        <v>15662</v>
      </c>
      <c r="AT916" t="s">
        <v>74</v>
      </c>
      <c r="AU916">
        <v>2018</v>
      </c>
      <c r="AV916">
        <v>44</v>
      </c>
      <c r="AW916">
        <v>4</v>
      </c>
      <c r="AX916" t="s">
        <v>74</v>
      </c>
      <c r="AY916" t="s">
        <v>74</v>
      </c>
      <c r="AZ916" t="s">
        <v>74</v>
      </c>
      <c r="BA916" t="s">
        <v>74</v>
      </c>
      <c r="BB916">
        <v>426</v>
      </c>
      <c r="BC916">
        <v>436</v>
      </c>
      <c r="BD916" t="s">
        <v>74</v>
      </c>
      <c r="BE916" t="s">
        <v>15663</v>
      </c>
      <c r="BF916" t="str">
        <f>HYPERLINK("http://dx.doi.org/10.1578/AM.44.4.2018.426","http://dx.doi.org/10.1578/AM.44.4.2018.426")</f>
        <v>http://dx.doi.org/10.1578/AM.44.4.2018.426</v>
      </c>
      <c r="BG916" t="s">
        <v>74</v>
      </c>
      <c r="BH916" t="s">
        <v>74</v>
      </c>
      <c r="BI916">
        <v>11</v>
      </c>
      <c r="BJ916" t="s">
        <v>15664</v>
      </c>
      <c r="BK916" t="s">
        <v>147</v>
      </c>
      <c r="BL916" t="s">
        <v>15664</v>
      </c>
      <c r="BM916" t="s">
        <v>15665</v>
      </c>
      <c r="BN916" t="s">
        <v>74</v>
      </c>
      <c r="BO916" t="s">
        <v>74</v>
      </c>
      <c r="BP916" t="s">
        <v>74</v>
      </c>
      <c r="BQ916" t="s">
        <v>74</v>
      </c>
      <c r="BR916" t="s">
        <v>97</v>
      </c>
      <c r="BS916" t="s">
        <v>15666</v>
      </c>
      <c r="BT916" t="str">
        <f>HYPERLINK("https%3A%2F%2Fwww.webofscience.com%2Fwos%2Fwoscc%2Ffull-record%2FWOS:000438102500008","View Full Record in Web of Science")</f>
        <v>View Full Record in Web of Science</v>
      </c>
    </row>
    <row r="917" spans="1:72" x14ac:dyDescent="0.25">
      <c r="A917" t="s">
        <v>72</v>
      </c>
      <c r="B917" t="s">
        <v>15667</v>
      </c>
      <c r="C917" t="s">
        <v>74</v>
      </c>
      <c r="D917" t="s">
        <v>74</v>
      </c>
      <c r="E917" t="s">
        <v>74</v>
      </c>
      <c r="F917" t="s">
        <v>15668</v>
      </c>
      <c r="G917" t="s">
        <v>74</v>
      </c>
      <c r="H917" t="s">
        <v>74</v>
      </c>
      <c r="I917" t="s">
        <v>15669</v>
      </c>
      <c r="J917" t="s">
        <v>15670</v>
      </c>
      <c r="K917" t="s">
        <v>74</v>
      </c>
      <c r="L917" t="s">
        <v>74</v>
      </c>
      <c r="M917" t="s">
        <v>11465</v>
      </c>
      <c r="N917" t="s">
        <v>78</v>
      </c>
      <c r="O917" t="s">
        <v>74</v>
      </c>
      <c r="P917" t="s">
        <v>74</v>
      </c>
      <c r="Q917" t="s">
        <v>74</v>
      </c>
      <c r="R917" t="s">
        <v>74</v>
      </c>
      <c r="S917" t="s">
        <v>74</v>
      </c>
      <c r="T917" t="s">
        <v>15671</v>
      </c>
      <c r="U917" t="s">
        <v>15672</v>
      </c>
      <c r="V917" t="s">
        <v>15673</v>
      </c>
      <c r="W917" t="s">
        <v>15674</v>
      </c>
      <c r="X917" t="s">
        <v>15675</v>
      </c>
      <c r="Y917" t="s">
        <v>15676</v>
      </c>
      <c r="Z917" t="s">
        <v>15677</v>
      </c>
      <c r="AA917" t="s">
        <v>74</v>
      </c>
      <c r="AB917" t="s">
        <v>74</v>
      </c>
      <c r="AC917" t="s">
        <v>74</v>
      </c>
      <c r="AD917" t="s">
        <v>74</v>
      </c>
      <c r="AE917" t="s">
        <v>74</v>
      </c>
      <c r="AF917" t="s">
        <v>74</v>
      </c>
      <c r="AG917">
        <v>26</v>
      </c>
      <c r="AH917">
        <v>3</v>
      </c>
      <c r="AI917">
        <v>3</v>
      </c>
      <c r="AJ917">
        <v>0</v>
      </c>
      <c r="AK917">
        <v>8</v>
      </c>
      <c r="AL917" t="s">
        <v>15678</v>
      </c>
      <c r="AM917" t="s">
        <v>10054</v>
      </c>
      <c r="AN917" t="s">
        <v>15679</v>
      </c>
      <c r="AO917" t="s">
        <v>15680</v>
      </c>
      <c r="AP917" t="s">
        <v>15681</v>
      </c>
      <c r="AQ917" t="s">
        <v>74</v>
      </c>
      <c r="AR917" t="s">
        <v>15670</v>
      </c>
      <c r="AS917" t="s">
        <v>15682</v>
      </c>
      <c r="AT917" t="s">
        <v>74</v>
      </c>
      <c r="AU917">
        <v>2018</v>
      </c>
      <c r="AV917">
        <v>90</v>
      </c>
      <c r="AW917">
        <v>1</v>
      </c>
      <c r="AX917" t="s">
        <v>74</v>
      </c>
      <c r="AY917" t="s">
        <v>74</v>
      </c>
      <c r="AZ917" t="s">
        <v>74</v>
      </c>
      <c r="BA917" t="s">
        <v>74</v>
      </c>
      <c r="BB917">
        <v>57</v>
      </c>
      <c r="BC917">
        <v>71</v>
      </c>
      <c r="BD917" t="s">
        <v>74</v>
      </c>
      <c r="BE917" t="s">
        <v>74</v>
      </c>
      <c r="BF917" t="s">
        <v>74</v>
      </c>
      <c r="BG917" t="s">
        <v>74</v>
      </c>
      <c r="BH917" t="s">
        <v>74</v>
      </c>
      <c r="BI917">
        <v>15</v>
      </c>
      <c r="BJ917" t="s">
        <v>15683</v>
      </c>
      <c r="BK917" t="s">
        <v>283</v>
      </c>
      <c r="BL917" t="s">
        <v>5436</v>
      </c>
      <c r="BM917" t="s">
        <v>15684</v>
      </c>
      <c r="BN917" t="s">
        <v>74</v>
      </c>
      <c r="BO917" t="s">
        <v>74</v>
      </c>
      <c r="BP917" t="s">
        <v>74</v>
      </c>
      <c r="BQ917" t="s">
        <v>74</v>
      </c>
      <c r="BR917" t="s">
        <v>97</v>
      </c>
      <c r="BS917" t="s">
        <v>15685</v>
      </c>
      <c r="BT917" t="str">
        <f>HYPERLINK("https%3A%2F%2Fwww.webofscience.com%2Fwos%2Fwoscc%2Ffull-record%2FWOS:000432444800008","View Full Record in Web of Science")</f>
        <v>View Full Record in Web of Science</v>
      </c>
    </row>
    <row r="918" spans="1:72" x14ac:dyDescent="0.25">
      <c r="A918" t="s">
        <v>72</v>
      </c>
      <c r="B918" t="s">
        <v>15686</v>
      </c>
      <c r="C918" t="s">
        <v>74</v>
      </c>
      <c r="D918" t="s">
        <v>74</v>
      </c>
      <c r="E918" t="s">
        <v>74</v>
      </c>
      <c r="F918" t="s">
        <v>15687</v>
      </c>
      <c r="G918" t="s">
        <v>74</v>
      </c>
      <c r="H918" t="s">
        <v>74</v>
      </c>
      <c r="I918" t="s">
        <v>15688</v>
      </c>
      <c r="J918" t="s">
        <v>15689</v>
      </c>
      <c r="K918" t="s">
        <v>74</v>
      </c>
      <c r="L918" t="s">
        <v>74</v>
      </c>
      <c r="M918" t="s">
        <v>77</v>
      </c>
      <c r="N918" t="s">
        <v>78</v>
      </c>
      <c r="O918" t="s">
        <v>74</v>
      </c>
      <c r="P918" t="s">
        <v>74</v>
      </c>
      <c r="Q918" t="s">
        <v>74</v>
      </c>
      <c r="R918" t="s">
        <v>74</v>
      </c>
      <c r="S918" t="s">
        <v>74</v>
      </c>
      <c r="T918" t="s">
        <v>15690</v>
      </c>
      <c r="U918" t="s">
        <v>15691</v>
      </c>
      <c r="V918" t="s">
        <v>15692</v>
      </c>
      <c r="W918" t="s">
        <v>15693</v>
      </c>
      <c r="X918" t="s">
        <v>15694</v>
      </c>
      <c r="Y918" t="s">
        <v>15695</v>
      </c>
      <c r="Z918" t="s">
        <v>15696</v>
      </c>
      <c r="AA918" t="s">
        <v>74</v>
      </c>
      <c r="AB918" t="s">
        <v>74</v>
      </c>
      <c r="AC918" t="s">
        <v>74</v>
      </c>
      <c r="AD918" t="s">
        <v>74</v>
      </c>
      <c r="AE918" t="s">
        <v>74</v>
      </c>
      <c r="AF918" t="s">
        <v>74</v>
      </c>
      <c r="AG918">
        <v>29</v>
      </c>
      <c r="AH918">
        <v>3</v>
      </c>
      <c r="AI918">
        <v>3</v>
      </c>
      <c r="AJ918">
        <v>0</v>
      </c>
      <c r="AK918">
        <v>17</v>
      </c>
      <c r="AL918" t="s">
        <v>15697</v>
      </c>
      <c r="AM918" t="s">
        <v>15698</v>
      </c>
      <c r="AN918" t="s">
        <v>15699</v>
      </c>
      <c r="AO918" t="s">
        <v>15700</v>
      </c>
      <c r="AP918" t="s">
        <v>74</v>
      </c>
      <c r="AQ918" t="s">
        <v>74</v>
      </c>
      <c r="AR918" t="s">
        <v>15689</v>
      </c>
      <c r="AS918" t="s">
        <v>15701</v>
      </c>
      <c r="AT918" t="s">
        <v>74</v>
      </c>
      <c r="AU918">
        <v>2018</v>
      </c>
      <c r="AV918">
        <v>27</v>
      </c>
      <c r="AW918">
        <v>106</v>
      </c>
      <c r="AX918" t="s">
        <v>74</v>
      </c>
      <c r="AY918" t="s">
        <v>74</v>
      </c>
      <c r="AZ918" t="s">
        <v>74</v>
      </c>
      <c r="BA918" t="s">
        <v>74</v>
      </c>
      <c r="BB918">
        <v>643</v>
      </c>
      <c r="BC918">
        <v>649</v>
      </c>
      <c r="BD918" t="s">
        <v>15702</v>
      </c>
      <c r="BE918" t="s">
        <v>74</v>
      </c>
      <c r="BF918" t="s">
        <v>74</v>
      </c>
      <c r="BG918" t="s">
        <v>74</v>
      </c>
      <c r="BH918" t="s">
        <v>74</v>
      </c>
      <c r="BI918">
        <v>7</v>
      </c>
      <c r="BJ918" t="s">
        <v>9151</v>
      </c>
      <c r="BK918" t="s">
        <v>283</v>
      </c>
      <c r="BL918" t="s">
        <v>5337</v>
      </c>
      <c r="BM918" t="s">
        <v>15703</v>
      </c>
      <c r="BN918" t="s">
        <v>74</v>
      </c>
      <c r="BO918" t="s">
        <v>74</v>
      </c>
      <c r="BP918" t="s">
        <v>74</v>
      </c>
      <c r="BQ918" t="s">
        <v>74</v>
      </c>
      <c r="BR918" t="s">
        <v>97</v>
      </c>
      <c r="BS918" t="s">
        <v>15704</v>
      </c>
      <c r="BT918" t="str">
        <f>HYPERLINK("https%3A%2F%2Fwww.webofscience.com%2Fwos%2Fwoscc%2Ffull-record%2FWOS:000454073800077","View Full Record in Web of Science")</f>
        <v>View Full Record in Web of Science</v>
      </c>
    </row>
    <row r="919" spans="1:72" x14ac:dyDescent="0.25">
      <c r="A919" t="s">
        <v>72</v>
      </c>
      <c r="B919" t="s">
        <v>15705</v>
      </c>
      <c r="C919" t="s">
        <v>74</v>
      </c>
      <c r="D919" t="s">
        <v>74</v>
      </c>
      <c r="E919" t="s">
        <v>74</v>
      </c>
      <c r="F919" t="s">
        <v>15706</v>
      </c>
      <c r="G919" t="s">
        <v>74</v>
      </c>
      <c r="H919" t="s">
        <v>74</v>
      </c>
      <c r="I919" t="s">
        <v>15707</v>
      </c>
      <c r="J919" t="s">
        <v>2365</v>
      </c>
      <c r="K919" t="s">
        <v>74</v>
      </c>
      <c r="L919" t="s">
        <v>74</v>
      </c>
      <c r="M919" t="s">
        <v>77</v>
      </c>
      <c r="N919" t="s">
        <v>78</v>
      </c>
      <c r="O919" t="s">
        <v>74</v>
      </c>
      <c r="P919" t="s">
        <v>74</v>
      </c>
      <c r="Q919" t="s">
        <v>74</v>
      </c>
      <c r="R919" t="s">
        <v>74</v>
      </c>
      <c r="S919" t="s">
        <v>74</v>
      </c>
      <c r="T919" t="s">
        <v>15708</v>
      </c>
      <c r="U919" t="s">
        <v>15709</v>
      </c>
      <c r="V919" t="s">
        <v>15710</v>
      </c>
      <c r="W919" t="s">
        <v>15711</v>
      </c>
      <c r="X919" t="s">
        <v>15712</v>
      </c>
      <c r="Y919" t="s">
        <v>15713</v>
      </c>
      <c r="Z919" t="s">
        <v>15714</v>
      </c>
      <c r="AA919" t="s">
        <v>74</v>
      </c>
      <c r="AB919" t="s">
        <v>74</v>
      </c>
      <c r="AC919" t="s">
        <v>74</v>
      </c>
      <c r="AD919" t="s">
        <v>74</v>
      </c>
      <c r="AE919" t="s">
        <v>74</v>
      </c>
      <c r="AF919" t="s">
        <v>74</v>
      </c>
      <c r="AG919">
        <v>82</v>
      </c>
      <c r="AH919">
        <v>3</v>
      </c>
      <c r="AI919">
        <v>4</v>
      </c>
      <c r="AJ919">
        <v>1</v>
      </c>
      <c r="AK919">
        <v>18</v>
      </c>
      <c r="AL919" t="s">
        <v>329</v>
      </c>
      <c r="AM919" t="s">
        <v>330</v>
      </c>
      <c r="AN919" t="s">
        <v>331</v>
      </c>
      <c r="AO919" t="s">
        <v>2375</v>
      </c>
      <c r="AP919" t="s">
        <v>2376</v>
      </c>
      <c r="AQ919" t="s">
        <v>74</v>
      </c>
      <c r="AR919" t="s">
        <v>2377</v>
      </c>
      <c r="AS919" t="s">
        <v>2378</v>
      </c>
      <c r="AT919" t="s">
        <v>496</v>
      </c>
      <c r="AU919">
        <v>2017</v>
      </c>
      <c r="AV919">
        <v>122</v>
      </c>
      <c r="AW919" t="s">
        <v>74</v>
      </c>
      <c r="AX919" t="s">
        <v>74</v>
      </c>
      <c r="AY919" t="s">
        <v>74</v>
      </c>
      <c r="AZ919" t="s">
        <v>74</v>
      </c>
      <c r="BA919" t="s">
        <v>74</v>
      </c>
      <c r="BB919">
        <v>128</v>
      </c>
      <c r="BC919">
        <v>138</v>
      </c>
      <c r="BD919" t="s">
        <v>74</v>
      </c>
      <c r="BE919" t="s">
        <v>15715</v>
      </c>
      <c r="BF919" t="str">
        <f>HYPERLINK("http://dx.doi.org/10.1016/j.techfore.2016.02.011","http://dx.doi.org/10.1016/j.techfore.2016.02.011")</f>
        <v>http://dx.doi.org/10.1016/j.techfore.2016.02.011</v>
      </c>
      <c r="BG919" t="s">
        <v>74</v>
      </c>
      <c r="BH919" t="s">
        <v>74</v>
      </c>
      <c r="BI919">
        <v>11</v>
      </c>
      <c r="BJ919" t="s">
        <v>2380</v>
      </c>
      <c r="BK919" t="s">
        <v>94</v>
      </c>
      <c r="BL919" t="s">
        <v>2246</v>
      </c>
      <c r="BM919" t="s">
        <v>15716</v>
      </c>
      <c r="BN919" t="s">
        <v>74</v>
      </c>
      <c r="BO919" t="s">
        <v>74</v>
      </c>
      <c r="BP919" t="s">
        <v>74</v>
      </c>
      <c r="BQ919" t="s">
        <v>74</v>
      </c>
      <c r="BR919" t="s">
        <v>97</v>
      </c>
      <c r="BS919" t="s">
        <v>15717</v>
      </c>
      <c r="BT919" t="str">
        <f>HYPERLINK("https%3A%2F%2Fwww.webofscience.com%2Fwos%2Fwoscc%2Ffull-record%2FWOS:000407184300012","View Full Record in Web of Science")</f>
        <v>View Full Record in Web of Science</v>
      </c>
    </row>
    <row r="920" spans="1:72" x14ac:dyDescent="0.25">
      <c r="A920" t="s">
        <v>72</v>
      </c>
      <c r="B920" t="s">
        <v>15718</v>
      </c>
      <c r="C920" t="s">
        <v>74</v>
      </c>
      <c r="D920" t="s">
        <v>74</v>
      </c>
      <c r="E920" t="s">
        <v>74</v>
      </c>
      <c r="F920" t="s">
        <v>15719</v>
      </c>
      <c r="G920" t="s">
        <v>74</v>
      </c>
      <c r="H920" t="s">
        <v>74</v>
      </c>
      <c r="I920" t="s">
        <v>15720</v>
      </c>
      <c r="J920" t="s">
        <v>15721</v>
      </c>
      <c r="K920" t="s">
        <v>74</v>
      </c>
      <c r="L920" t="s">
        <v>74</v>
      </c>
      <c r="M920" t="s">
        <v>77</v>
      </c>
      <c r="N920" t="s">
        <v>78</v>
      </c>
      <c r="O920" t="s">
        <v>74</v>
      </c>
      <c r="P920" t="s">
        <v>74</v>
      </c>
      <c r="Q920" t="s">
        <v>74</v>
      </c>
      <c r="R920" t="s">
        <v>74</v>
      </c>
      <c r="S920" t="s">
        <v>74</v>
      </c>
      <c r="T920" t="s">
        <v>15722</v>
      </c>
      <c r="U920" t="s">
        <v>15723</v>
      </c>
      <c r="V920" t="s">
        <v>15724</v>
      </c>
      <c r="W920" t="s">
        <v>15725</v>
      </c>
      <c r="X920" t="s">
        <v>15726</v>
      </c>
      <c r="Y920" t="s">
        <v>15727</v>
      </c>
      <c r="Z920" t="s">
        <v>15728</v>
      </c>
      <c r="AA920" t="s">
        <v>15729</v>
      </c>
      <c r="AB920" t="s">
        <v>15730</v>
      </c>
      <c r="AC920" t="s">
        <v>74</v>
      </c>
      <c r="AD920" t="s">
        <v>74</v>
      </c>
      <c r="AE920" t="s">
        <v>74</v>
      </c>
      <c r="AF920" t="s">
        <v>74</v>
      </c>
      <c r="AG920">
        <v>49</v>
      </c>
      <c r="AH920">
        <v>3</v>
      </c>
      <c r="AI920">
        <v>3</v>
      </c>
      <c r="AJ920">
        <v>0</v>
      </c>
      <c r="AK920">
        <v>1</v>
      </c>
      <c r="AL920" t="s">
        <v>766</v>
      </c>
      <c r="AM920" t="s">
        <v>330</v>
      </c>
      <c r="AN920" t="s">
        <v>1452</v>
      </c>
      <c r="AO920" t="s">
        <v>15731</v>
      </c>
      <c r="AP920" t="s">
        <v>15732</v>
      </c>
      <c r="AQ920" t="s">
        <v>74</v>
      </c>
      <c r="AR920" t="s">
        <v>15733</v>
      </c>
      <c r="AS920" t="s">
        <v>15734</v>
      </c>
      <c r="AT920" t="s">
        <v>496</v>
      </c>
      <c r="AU920">
        <v>2016</v>
      </c>
      <c r="AV920">
        <v>25</v>
      </c>
      <c r="AW920">
        <v>9</v>
      </c>
      <c r="AX920" t="s">
        <v>74</v>
      </c>
      <c r="AY920" t="s">
        <v>74</v>
      </c>
      <c r="AZ920" t="s">
        <v>74</v>
      </c>
      <c r="BA920" t="s">
        <v>74</v>
      </c>
      <c r="BB920">
        <v>2993</v>
      </c>
      <c r="BC920">
        <v>3003</v>
      </c>
      <c r="BD920" t="s">
        <v>74</v>
      </c>
      <c r="BE920" t="s">
        <v>15735</v>
      </c>
      <c r="BF920" t="str">
        <f>HYPERLINK("http://dx.doi.org/10.1007/s00586-016-4606-1","http://dx.doi.org/10.1007/s00586-016-4606-1")</f>
        <v>http://dx.doi.org/10.1007/s00586-016-4606-1</v>
      </c>
      <c r="BG920" t="s">
        <v>74</v>
      </c>
      <c r="BH920" t="s">
        <v>74</v>
      </c>
      <c r="BI920">
        <v>11</v>
      </c>
      <c r="BJ920" t="s">
        <v>15736</v>
      </c>
      <c r="BK920" t="s">
        <v>283</v>
      </c>
      <c r="BL920" t="s">
        <v>15737</v>
      </c>
      <c r="BM920" t="s">
        <v>15738</v>
      </c>
      <c r="BN920">
        <v>27235154</v>
      </c>
      <c r="BO920" t="s">
        <v>408</v>
      </c>
      <c r="BP920" t="s">
        <v>74</v>
      </c>
      <c r="BQ920" t="s">
        <v>74</v>
      </c>
      <c r="BR920" t="s">
        <v>97</v>
      </c>
      <c r="BS920" t="s">
        <v>15739</v>
      </c>
      <c r="BT920" t="str">
        <f>HYPERLINK("https%3A%2F%2Fwww.webofscience.com%2Fwos%2Fwoscc%2Ffull-record%2FWOS:000383465500036","View Full Record in Web of Science")</f>
        <v>View Full Record in Web of Science</v>
      </c>
    </row>
    <row r="921" spans="1:72" x14ac:dyDescent="0.25">
      <c r="A921" t="s">
        <v>72</v>
      </c>
      <c r="B921" t="s">
        <v>15740</v>
      </c>
      <c r="C921" t="s">
        <v>74</v>
      </c>
      <c r="D921" t="s">
        <v>74</v>
      </c>
      <c r="E921" t="s">
        <v>74</v>
      </c>
      <c r="F921" t="s">
        <v>15741</v>
      </c>
      <c r="G921" t="s">
        <v>74</v>
      </c>
      <c r="H921" t="s">
        <v>74</v>
      </c>
      <c r="I921" t="s">
        <v>15742</v>
      </c>
      <c r="J921" t="s">
        <v>14446</v>
      </c>
      <c r="K921" t="s">
        <v>74</v>
      </c>
      <c r="L921" t="s">
        <v>74</v>
      </c>
      <c r="M921" t="s">
        <v>77</v>
      </c>
      <c r="N921" t="s">
        <v>78</v>
      </c>
      <c r="O921" t="s">
        <v>74</v>
      </c>
      <c r="P921" t="s">
        <v>74</v>
      </c>
      <c r="Q921" t="s">
        <v>74</v>
      </c>
      <c r="R921" t="s">
        <v>74</v>
      </c>
      <c r="S921" t="s">
        <v>74</v>
      </c>
      <c r="T921" t="s">
        <v>15743</v>
      </c>
      <c r="U921" t="s">
        <v>15744</v>
      </c>
      <c r="V921" t="s">
        <v>15745</v>
      </c>
      <c r="W921" t="s">
        <v>15746</v>
      </c>
      <c r="X921" t="s">
        <v>15747</v>
      </c>
      <c r="Y921" t="s">
        <v>15748</v>
      </c>
      <c r="Z921" t="s">
        <v>15749</v>
      </c>
      <c r="AA921" t="s">
        <v>74</v>
      </c>
      <c r="AB921" t="s">
        <v>74</v>
      </c>
      <c r="AC921" t="s">
        <v>15750</v>
      </c>
      <c r="AD921" t="s">
        <v>15751</v>
      </c>
      <c r="AE921" t="s">
        <v>15752</v>
      </c>
      <c r="AF921" t="s">
        <v>74</v>
      </c>
      <c r="AG921">
        <v>46</v>
      </c>
      <c r="AH921">
        <v>3</v>
      </c>
      <c r="AI921">
        <v>3</v>
      </c>
      <c r="AJ921">
        <v>0</v>
      </c>
      <c r="AK921">
        <v>6</v>
      </c>
      <c r="AL921" t="s">
        <v>14458</v>
      </c>
      <c r="AM921" t="s">
        <v>14459</v>
      </c>
      <c r="AN921" t="s">
        <v>14460</v>
      </c>
      <c r="AO921" t="s">
        <v>14461</v>
      </c>
      <c r="AP921" t="s">
        <v>14462</v>
      </c>
      <c r="AQ921" t="s">
        <v>74</v>
      </c>
      <c r="AR921" t="s">
        <v>14463</v>
      </c>
      <c r="AS921" t="s">
        <v>14464</v>
      </c>
      <c r="AT921" t="s">
        <v>74</v>
      </c>
      <c r="AU921">
        <v>2016</v>
      </c>
      <c r="AV921">
        <v>32</v>
      </c>
      <c r="AW921" t="s">
        <v>74</v>
      </c>
      <c r="AX921" t="s">
        <v>74</v>
      </c>
      <c r="AY921">
        <v>2</v>
      </c>
      <c r="AZ921" t="s">
        <v>74</v>
      </c>
      <c r="BA921" t="s">
        <v>74</v>
      </c>
      <c r="BB921" t="s">
        <v>74</v>
      </c>
      <c r="BC921" t="s">
        <v>74</v>
      </c>
      <c r="BD921" t="s">
        <v>15753</v>
      </c>
      <c r="BE921" t="s">
        <v>15754</v>
      </c>
      <c r="BF921" t="str">
        <f>HYPERLINK("http://dx.doi.org/10.1590/0102-311X00103315","http://dx.doi.org/10.1590/0102-311X00103315")</f>
        <v>http://dx.doi.org/10.1590/0102-311X00103315</v>
      </c>
      <c r="BG921" t="s">
        <v>74</v>
      </c>
      <c r="BH921" t="s">
        <v>74</v>
      </c>
      <c r="BI921">
        <v>12</v>
      </c>
      <c r="BJ921" t="s">
        <v>8184</v>
      </c>
      <c r="BK921" t="s">
        <v>147</v>
      </c>
      <c r="BL921" t="s">
        <v>8184</v>
      </c>
      <c r="BM921" t="s">
        <v>14467</v>
      </c>
      <c r="BN921">
        <v>27828675</v>
      </c>
      <c r="BO921" t="s">
        <v>3205</v>
      </c>
      <c r="BP921" t="s">
        <v>74</v>
      </c>
      <c r="BQ921" t="s">
        <v>74</v>
      </c>
      <c r="BR921" t="s">
        <v>97</v>
      </c>
      <c r="BS921" t="s">
        <v>15755</v>
      </c>
      <c r="BT921" t="str">
        <f>HYPERLINK("https%3A%2F%2Fwww.webofscience.com%2Fwos%2Fwoscc%2Ffull-record%2FWOS:000388468500007","View Full Record in Web of Science")</f>
        <v>View Full Record in Web of Science</v>
      </c>
    </row>
    <row r="922" spans="1:72" x14ac:dyDescent="0.25">
      <c r="A922" t="s">
        <v>72</v>
      </c>
      <c r="B922" t="s">
        <v>15756</v>
      </c>
      <c r="C922" t="s">
        <v>74</v>
      </c>
      <c r="D922" t="s">
        <v>74</v>
      </c>
      <c r="E922" t="s">
        <v>74</v>
      </c>
      <c r="F922" t="s">
        <v>15757</v>
      </c>
      <c r="G922" t="s">
        <v>74</v>
      </c>
      <c r="H922" t="s">
        <v>74</v>
      </c>
      <c r="I922" t="s">
        <v>15758</v>
      </c>
      <c r="J922" t="s">
        <v>15759</v>
      </c>
      <c r="K922" t="s">
        <v>74</v>
      </c>
      <c r="L922" t="s">
        <v>74</v>
      </c>
      <c r="M922" t="s">
        <v>77</v>
      </c>
      <c r="N922" t="s">
        <v>78</v>
      </c>
      <c r="O922" t="s">
        <v>74</v>
      </c>
      <c r="P922" t="s">
        <v>74</v>
      </c>
      <c r="Q922" t="s">
        <v>74</v>
      </c>
      <c r="R922" t="s">
        <v>74</v>
      </c>
      <c r="S922" t="s">
        <v>74</v>
      </c>
      <c r="T922" t="s">
        <v>15760</v>
      </c>
      <c r="U922" t="s">
        <v>2279</v>
      </c>
      <c r="V922" t="s">
        <v>15761</v>
      </c>
      <c r="W922" t="s">
        <v>15762</v>
      </c>
      <c r="X922" t="s">
        <v>15763</v>
      </c>
      <c r="Y922" t="s">
        <v>15764</v>
      </c>
      <c r="Z922" t="s">
        <v>15765</v>
      </c>
      <c r="AA922" t="s">
        <v>15766</v>
      </c>
      <c r="AB922" t="s">
        <v>74</v>
      </c>
      <c r="AC922" t="s">
        <v>74</v>
      </c>
      <c r="AD922" t="s">
        <v>74</v>
      </c>
      <c r="AE922" t="s">
        <v>74</v>
      </c>
      <c r="AF922" t="s">
        <v>74</v>
      </c>
      <c r="AG922">
        <v>29</v>
      </c>
      <c r="AH922">
        <v>3</v>
      </c>
      <c r="AI922">
        <v>3</v>
      </c>
      <c r="AJ922">
        <v>0</v>
      </c>
      <c r="AK922">
        <v>8</v>
      </c>
      <c r="AL922" t="s">
        <v>15767</v>
      </c>
      <c r="AM922" t="s">
        <v>15768</v>
      </c>
      <c r="AN922" t="s">
        <v>15769</v>
      </c>
      <c r="AO922" t="s">
        <v>15770</v>
      </c>
      <c r="AP922" t="s">
        <v>74</v>
      </c>
      <c r="AQ922" t="s">
        <v>74</v>
      </c>
      <c r="AR922" t="s">
        <v>15771</v>
      </c>
      <c r="AS922" t="s">
        <v>15772</v>
      </c>
      <c r="AT922" t="s">
        <v>584</v>
      </c>
      <c r="AU922">
        <v>2011</v>
      </c>
      <c r="AV922" t="s">
        <v>74</v>
      </c>
      <c r="AW922" t="s">
        <v>74</v>
      </c>
      <c r="AX922" t="s">
        <v>74</v>
      </c>
      <c r="AY922" t="s">
        <v>74</v>
      </c>
      <c r="AZ922" t="s">
        <v>860</v>
      </c>
      <c r="BA922" t="s">
        <v>74</v>
      </c>
      <c r="BB922">
        <v>93</v>
      </c>
      <c r="BC922">
        <v>114</v>
      </c>
      <c r="BD922" t="s">
        <v>74</v>
      </c>
      <c r="BE922" t="s">
        <v>74</v>
      </c>
      <c r="BF922" t="s">
        <v>74</v>
      </c>
      <c r="BG922" t="s">
        <v>74</v>
      </c>
      <c r="BH922" t="s">
        <v>74</v>
      </c>
      <c r="BI922">
        <v>22</v>
      </c>
      <c r="BJ922" t="s">
        <v>1564</v>
      </c>
      <c r="BK922" t="s">
        <v>94</v>
      </c>
      <c r="BL922" t="s">
        <v>1564</v>
      </c>
      <c r="BM922" t="s">
        <v>15773</v>
      </c>
      <c r="BN922" t="s">
        <v>74</v>
      </c>
      <c r="BO922" t="s">
        <v>74</v>
      </c>
      <c r="BP922" t="s">
        <v>74</v>
      </c>
      <c r="BQ922" t="s">
        <v>74</v>
      </c>
      <c r="BR922" t="s">
        <v>97</v>
      </c>
      <c r="BS922" t="s">
        <v>15774</v>
      </c>
      <c r="BT922" t="str">
        <f>HYPERLINK("https%3A%2F%2Fwww.webofscience.com%2Fwos%2Fwoscc%2Ffull-record%2FWOS:000297194700007","View Full Record in Web of Science")</f>
        <v>View Full Record in Web of Science</v>
      </c>
    </row>
    <row r="923" spans="1:72" x14ac:dyDescent="0.25">
      <c r="A923" t="s">
        <v>72</v>
      </c>
      <c r="B923" t="s">
        <v>15775</v>
      </c>
      <c r="C923" t="s">
        <v>74</v>
      </c>
      <c r="D923" t="s">
        <v>74</v>
      </c>
      <c r="E923" t="s">
        <v>74</v>
      </c>
      <c r="F923" t="s">
        <v>15776</v>
      </c>
      <c r="G923" t="s">
        <v>74</v>
      </c>
      <c r="H923" t="s">
        <v>74</v>
      </c>
      <c r="I923" t="s">
        <v>15777</v>
      </c>
      <c r="J923" t="s">
        <v>11881</v>
      </c>
      <c r="K923" t="s">
        <v>74</v>
      </c>
      <c r="L923" t="s">
        <v>74</v>
      </c>
      <c r="M923" t="s">
        <v>77</v>
      </c>
      <c r="N923" t="s">
        <v>78</v>
      </c>
      <c r="O923" t="s">
        <v>74</v>
      </c>
      <c r="P923" t="s">
        <v>74</v>
      </c>
      <c r="Q923" t="s">
        <v>74</v>
      </c>
      <c r="R923" t="s">
        <v>74</v>
      </c>
      <c r="S923" t="s">
        <v>74</v>
      </c>
      <c r="T923" t="s">
        <v>15778</v>
      </c>
      <c r="U923" t="s">
        <v>15779</v>
      </c>
      <c r="V923" t="s">
        <v>15780</v>
      </c>
      <c r="W923" t="s">
        <v>15781</v>
      </c>
      <c r="X923" t="s">
        <v>2633</v>
      </c>
      <c r="Y923" t="s">
        <v>14567</v>
      </c>
      <c r="Z923" t="s">
        <v>14568</v>
      </c>
      <c r="AA923" t="s">
        <v>74</v>
      </c>
      <c r="AB923" t="s">
        <v>74</v>
      </c>
      <c r="AC923" t="s">
        <v>74</v>
      </c>
      <c r="AD923" t="s">
        <v>74</v>
      </c>
      <c r="AE923" t="s">
        <v>74</v>
      </c>
      <c r="AF923" t="s">
        <v>74</v>
      </c>
      <c r="AG923">
        <v>47</v>
      </c>
      <c r="AH923">
        <v>3</v>
      </c>
      <c r="AI923">
        <v>3</v>
      </c>
      <c r="AJ923">
        <v>0</v>
      </c>
      <c r="AK923">
        <v>35</v>
      </c>
      <c r="AL923" t="s">
        <v>11889</v>
      </c>
      <c r="AM923" t="s">
        <v>11890</v>
      </c>
      <c r="AN923" t="s">
        <v>11891</v>
      </c>
      <c r="AO923" t="s">
        <v>11892</v>
      </c>
      <c r="AP923" t="s">
        <v>74</v>
      </c>
      <c r="AQ923" t="s">
        <v>74</v>
      </c>
      <c r="AR923" t="s">
        <v>11893</v>
      </c>
      <c r="AS923" t="s">
        <v>11894</v>
      </c>
      <c r="AT923" t="s">
        <v>4999</v>
      </c>
      <c r="AU923">
        <v>2011</v>
      </c>
      <c r="AV923">
        <v>5</v>
      </c>
      <c r="AW923">
        <v>19</v>
      </c>
      <c r="AX923" t="s">
        <v>74</v>
      </c>
      <c r="AY923" t="s">
        <v>74</v>
      </c>
      <c r="AZ923" t="s">
        <v>74</v>
      </c>
      <c r="BA923" t="s">
        <v>74</v>
      </c>
      <c r="BB923">
        <v>7855</v>
      </c>
      <c r="BC923">
        <v>7863</v>
      </c>
      <c r="BD923" t="s">
        <v>74</v>
      </c>
      <c r="BE923" t="s">
        <v>74</v>
      </c>
      <c r="BF923" t="s">
        <v>74</v>
      </c>
      <c r="BG923" t="s">
        <v>74</v>
      </c>
      <c r="BH923" t="s">
        <v>74</v>
      </c>
      <c r="BI923">
        <v>9</v>
      </c>
      <c r="BJ923" t="s">
        <v>93</v>
      </c>
      <c r="BK923" t="s">
        <v>94</v>
      </c>
      <c r="BL923" t="s">
        <v>95</v>
      </c>
      <c r="BM923" t="s">
        <v>15782</v>
      </c>
      <c r="BN923" t="s">
        <v>74</v>
      </c>
      <c r="BO923" t="s">
        <v>74</v>
      </c>
      <c r="BP923" t="s">
        <v>74</v>
      </c>
      <c r="BQ923" t="s">
        <v>74</v>
      </c>
      <c r="BR923" t="s">
        <v>97</v>
      </c>
      <c r="BS923" t="s">
        <v>15783</v>
      </c>
      <c r="BT923" t="str">
        <f>HYPERLINK("https%3A%2F%2Fwww.webofscience.com%2Fwos%2Fwoscc%2Ffull-record%2FWOS:000296235800011","View Full Record in Web of Science")</f>
        <v>View Full Record in Web of Science</v>
      </c>
    </row>
    <row r="924" spans="1:72" x14ac:dyDescent="0.25">
      <c r="A924" t="s">
        <v>72</v>
      </c>
      <c r="B924" t="s">
        <v>15784</v>
      </c>
      <c r="C924" t="s">
        <v>74</v>
      </c>
      <c r="D924" t="s">
        <v>74</v>
      </c>
      <c r="E924" t="s">
        <v>74</v>
      </c>
      <c r="F924" t="s">
        <v>15785</v>
      </c>
      <c r="G924" t="s">
        <v>74</v>
      </c>
      <c r="H924" t="s">
        <v>74</v>
      </c>
      <c r="I924" t="s">
        <v>15786</v>
      </c>
      <c r="J924" t="s">
        <v>1463</v>
      </c>
      <c r="K924" t="s">
        <v>74</v>
      </c>
      <c r="L924" t="s">
        <v>74</v>
      </c>
      <c r="M924" t="s">
        <v>77</v>
      </c>
      <c r="N924" t="s">
        <v>78</v>
      </c>
      <c r="O924" t="s">
        <v>74</v>
      </c>
      <c r="P924" t="s">
        <v>74</v>
      </c>
      <c r="Q924" t="s">
        <v>74</v>
      </c>
      <c r="R924" t="s">
        <v>74</v>
      </c>
      <c r="S924" t="s">
        <v>74</v>
      </c>
      <c r="T924" t="s">
        <v>15787</v>
      </c>
      <c r="U924" t="s">
        <v>15788</v>
      </c>
      <c r="V924" t="s">
        <v>15789</v>
      </c>
      <c r="W924" t="s">
        <v>15790</v>
      </c>
      <c r="X924" t="s">
        <v>15791</v>
      </c>
      <c r="Y924" t="s">
        <v>15792</v>
      </c>
      <c r="Z924" t="s">
        <v>15793</v>
      </c>
      <c r="AA924" t="s">
        <v>15794</v>
      </c>
      <c r="AB924" t="s">
        <v>15795</v>
      </c>
      <c r="AC924" t="s">
        <v>15796</v>
      </c>
      <c r="AD924" t="s">
        <v>15797</v>
      </c>
      <c r="AE924" t="s">
        <v>15798</v>
      </c>
      <c r="AF924" t="s">
        <v>74</v>
      </c>
      <c r="AG924">
        <v>83</v>
      </c>
      <c r="AH924">
        <v>3</v>
      </c>
      <c r="AI924">
        <v>3</v>
      </c>
      <c r="AJ924">
        <v>0</v>
      </c>
      <c r="AK924">
        <v>23</v>
      </c>
      <c r="AL924" t="s">
        <v>1471</v>
      </c>
      <c r="AM924" t="s">
        <v>1472</v>
      </c>
      <c r="AN924" t="s">
        <v>1473</v>
      </c>
      <c r="AO924" t="s">
        <v>1474</v>
      </c>
      <c r="AP924" t="s">
        <v>1475</v>
      </c>
      <c r="AQ924" t="s">
        <v>74</v>
      </c>
      <c r="AR924" t="s">
        <v>1476</v>
      </c>
      <c r="AS924" t="s">
        <v>1477</v>
      </c>
      <c r="AT924" t="s">
        <v>74</v>
      </c>
      <c r="AU924">
        <v>2011</v>
      </c>
      <c r="AV924">
        <v>54</v>
      </c>
      <c r="AW924">
        <v>1</v>
      </c>
      <c r="AX924" t="s">
        <v>74</v>
      </c>
      <c r="AY924" t="s">
        <v>74</v>
      </c>
      <c r="AZ924" t="s">
        <v>74</v>
      </c>
      <c r="BA924" t="s">
        <v>74</v>
      </c>
      <c r="BB924">
        <v>94</v>
      </c>
      <c r="BC924">
        <v>115</v>
      </c>
      <c r="BD924" t="s">
        <v>74</v>
      </c>
      <c r="BE924" t="s">
        <v>74</v>
      </c>
      <c r="BF924" t="s">
        <v>74</v>
      </c>
      <c r="BG924" t="s">
        <v>74</v>
      </c>
      <c r="BH924" t="s">
        <v>74</v>
      </c>
      <c r="BI924">
        <v>22</v>
      </c>
      <c r="BJ924" t="s">
        <v>1480</v>
      </c>
      <c r="BK924" t="s">
        <v>147</v>
      </c>
      <c r="BL924" t="s">
        <v>1481</v>
      </c>
      <c r="BM924" t="s">
        <v>15799</v>
      </c>
      <c r="BN924" t="s">
        <v>74</v>
      </c>
      <c r="BO924" t="s">
        <v>74</v>
      </c>
      <c r="BP924" t="s">
        <v>74</v>
      </c>
      <c r="BQ924" t="s">
        <v>74</v>
      </c>
      <c r="BR924" t="s">
        <v>97</v>
      </c>
      <c r="BS924" t="s">
        <v>15800</v>
      </c>
      <c r="BT924" t="str">
        <f>HYPERLINK("https%3A%2F%2Fwww.webofscience.com%2Fwos%2Fwoscc%2Ffull-record%2FWOS:000288125600006","View Full Record in Web of Science")</f>
        <v>View Full Record in Web of Science</v>
      </c>
    </row>
    <row r="925" spans="1:72" x14ac:dyDescent="0.25">
      <c r="A925" t="s">
        <v>72</v>
      </c>
      <c r="B925" t="s">
        <v>15801</v>
      </c>
      <c r="C925" t="s">
        <v>74</v>
      </c>
      <c r="D925" t="s">
        <v>74</v>
      </c>
      <c r="E925" t="s">
        <v>74</v>
      </c>
      <c r="F925" t="s">
        <v>15801</v>
      </c>
      <c r="G925" t="s">
        <v>74</v>
      </c>
      <c r="H925" t="s">
        <v>74</v>
      </c>
      <c r="I925" t="s">
        <v>15802</v>
      </c>
      <c r="J925" t="s">
        <v>15803</v>
      </c>
      <c r="K925" t="s">
        <v>74</v>
      </c>
      <c r="L925" t="s">
        <v>74</v>
      </c>
      <c r="M925" t="s">
        <v>77</v>
      </c>
      <c r="N925" t="s">
        <v>78</v>
      </c>
      <c r="O925" t="s">
        <v>74</v>
      </c>
      <c r="P925" t="s">
        <v>74</v>
      </c>
      <c r="Q925" t="s">
        <v>74</v>
      </c>
      <c r="R925" t="s">
        <v>74</v>
      </c>
      <c r="S925" t="s">
        <v>74</v>
      </c>
      <c r="T925" t="s">
        <v>15804</v>
      </c>
      <c r="U925" t="s">
        <v>15805</v>
      </c>
      <c r="V925" t="s">
        <v>15806</v>
      </c>
      <c r="W925" t="s">
        <v>15807</v>
      </c>
      <c r="X925" t="s">
        <v>15808</v>
      </c>
      <c r="Y925" t="s">
        <v>15809</v>
      </c>
      <c r="Z925" t="s">
        <v>74</v>
      </c>
      <c r="AA925" t="s">
        <v>74</v>
      </c>
      <c r="AB925" t="s">
        <v>74</v>
      </c>
      <c r="AC925" t="s">
        <v>74</v>
      </c>
      <c r="AD925" t="s">
        <v>74</v>
      </c>
      <c r="AE925" t="s">
        <v>74</v>
      </c>
      <c r="AF925" t="s">
        <v>74</v>
      </c>
      <c r="AG925">
        <v>43</v>
      </c>
      <c r="AH925">
        <v>3</v>
      </c>
      <c r="AI925">
        <v>3</v>
      </c>
      <c r="AJ925">
        <v>1</v>
      </c>
      <c r="AK925">
        <v>6</v>
      </c>
      <c r="AL925" t="s">
        <v>1006</v>
      </c>
      <c r="AM925" t="s">
        <v>160</v>
      </c>
      <c r="AN925" t="s">
        <v>1007</v>
      </c>
      <c r="AO925" t="s">
        <v>15810</v>
      </c>
      <c r="AP925" t="s">
        <v>74</v>
      </c>
      <c r="AQ925" t="s">
        <v>74</v>
      </c>
      <c r="AR925" t="s">
        <v>15811</v>
      </c>
      <c r="AS925" t="s">
        <v>15812</v>
      </c>
      <c r="AT925" t="s">
        <v>6034</v>
      </c>
      <c r="AU925">
        <v>2003</v>
      </c>
      <c r="AV925">
        <v>27</v>
      </c>
      <c r="AW925">
        <v>3</v>
      </c>
      <c r="AX925" t="s">
        <v>74</v>
      </c>
      <c r="AY925" t="s">
        <v>74</v>
      </c>
      <c r="AZ925" t="s">
        <v>74</v>
      </c>
      <c r="BA925" t="s">
        <v>74</v>
      </c>
      <c r="BB925">
        <v>359</v>
      </c>
      <c r="BC925">
        <v>376</v>
      </c>
      <c r="BD925" t="s">
        <v>74</v>
      </c>
      <c r="BE925" t="s">
        <v>15813</v>
      </c>
      <c r="BF925" t="str">
        <f>HYPERLINK("http://dx.doi.org/10.1093/cje/27.3.359","http://dx.doi.org/10.1093/cje/27.3.359")</f>
        <v>http://dx.doi.org/10.1093/cje/27.3.359</v>
      </c>
      <c r="BG925" t="s">
        <v>74</v>
      </c>
      <c r="BH925" t="s">
        <v>74</v>
      </c>
      <c r="BI925">
        <v>18</v>
      </c>
      <c r="BJ925" t="s">
        <v>2599</v>
      </c>
      <c r="BK925" t="s">
        <v>3157</v>
      </c>
      <c r="BL925" t="s">
        <v>95</v>
      </c>
      <c r="BM925" t="s">
        <v>15814</v>
      </c>
      <c r="BN925" t="s">
        <v>74</v>
      </c>
      <c r="BO925" t="s">
        <v>74</v>
      </c>
      <c r="BP925" t="s">
        <v>74</v>
      </c>
      <c r="BQ925" t="s">
        <v>74</v>
      </c>
      <c r="BR925" t="s">
        <v>97</v>
      </c>
      <c r="BS925" t="s">
        <v>15815</v>
      </c>
      <c r="BT925" t="str">
        <f>HYPERLINK("https%3A%2F%2Fwww.webofscience.com%2Fwos%2Fwoscc%2Ffull-record%2FWOS:000182159200003","View Full Record in Web of Science")</f>
        <v>View Full Record in Web of Science</v>
      </c>
    </row>
    <row r="926" spans="1:72" x14ac:dyDescent="0.25">
      <c r="A926" t="s">
        <v>72</v>
      </c>
      <c r="B926" t="s">
        <v>15816</v>
      </c>
      <c r="C926" t="s">
        <v>74</v>
      </c>
      <c r="D926" t="s">
        <v>74</v>
      </c>
      <c r="E926" t="s">
        <v>74</v>
      </c>
      <c r="F926" t="s">
        <v>15816</v>
      </c>
      <c r="G926" t="s">
        <v>74</v>
      </c>
      <c r="H926" t="s">
        <v>74</v>
      </c>
      <c r="I926" t="s">
        <v>15817</v>
      </c>
      <c r="J926" t="s">
        <v>15818</v>
      </c>
      <c r="K926" t="s">
        <v>74</v>
      </c>
      <c r="L926" t="s">
        <v>74</v>
      </c>
      <c r="M926" t="s">
        <v>77</v>
      </c>
      <c r="N926" t="s">
        <v>78</v>
      </c>
      <c r="O926" t="s">
        <v>74</v>
      </c>
      <c r="P926" t="s">
        <v>74</v>
      </c>
      <c r="Q926" t="s">
        <v>74</v>
      </c>
      <c r="R926" t="s">
        <v>74</v>
      </c>
      <c r="S926" t="s">
        <v>74</v>
      </c>
      <c r="T926" t="s">
        <v>15819</v>
      </c>
      <c r="U926" t="s">
        <v>74</v>
      </c>
      <c r="V926" t="s">
        <v>15820</v>
      </c>
      <c r="W926" t="s">
        <v>15821</v>
      </c>
      <c r="X926" t="s">
        <v>15822</v>
      </c>
      <c r="Y926" t="s">
        <v>15823</v>
      </c>
      <c r="Z926" t="s">
        <v>15824</v>
      </c>
      <c r="AA926" t="s">
        <v>15825</v>
      </c>
      <c r="AB926" t="s">
        <v>15826</v>
      </c>
      <c r="AC926" t="s">
        <v>74</v>
      </c>
      <c r="AD926" t="s">
        <v>74</v>
      </c>
      <c r="AE926" t="s">
        <v>74</v>
      </c>
      <c r="AF926" t="s">
        <v>74</v>
      </c>
      <c r="AG926">
        <v>16</v>
      </c>
      <c r="AH926">
        <v>3</v>
      </c>
      <c r="AI926">
        <v>3</v>
      </c>
      <c r="AJ926">
        <v>0</v>
      </c>
      <c r="AK926">
        <v>5</v>
      </c>
      <c r="AL926" t="s">
        <v>15827</v>
      </c>
      <c r="AM926" t="s">
        <v>15828</v>
      </c>
      <c r="AN926" t="s">
        <v>15829</v>
      </c>
      <c r="AO926" t="s">
        <v>15830</v>
      </c>
      <c r="AP926" t="s">
        <v>15831</v>
      </c>
      <c r="AQ926" t="s">
        <v>74</v>
      </c>
      <c r="AR926" t="s">
        <v>15832</v>
      </c>
      <c r="AS926" t="s">
        <v>15833</v>
      </c>
      <c r="AT926" t="s">
        <v>892</v>
      </c>
      <c r="AU926">
        <v>2003</v>
      </c>
      <c r="AV926">
        <v>6</v>
      </c>
      <c r="AW926">
        <v>1</v>
      </c>
      <c r="AX926" t="s">
        <v>74</v>
      </c>
      <c r="AY926" t="s">
        <v>74</v>
      </c>
      <c r="AZ926" t="s">
        <v>74</v>
      </c>
      <c r="BA926" t="s">
        <v>74</v>
      </c>
      <c r="BB926">
        <v>18</v>
      </c>
      <c r="BC926">
        <v>25</v>
      </c>
      <c r="BD926" t="s">
        <v>74</v>
      </c>
      <c r="BE926" t="s">
        <v>74</v>
      </c>
      <c r="BF926" t="s">
        <v>74</v>
      </c>
      <c r="BG926" t="s">
        <v>74</v>
      </c>
      <c r="BH926" t="s">
        <v>74</v>
      </c>
      <c r="BI926">
        <v>8</v>
      </c>
      <c r="BJ926" t="s">
        <v>815</v>
      </c>
      <c r="BK926" t="s">
        <v>94</v>
      </c>
      <c r="BL926" t="s">
        <v>815</v>
      </c>
      <c r="BM926" t="s">
        <v>15834</v>
      </c>
      <c r="BN926" t="s">
        <v>74</v>
      </c>
      <c r="BO926" t="s">
        <v>74</v>
      </c>
      <c r="BP926" t="s">
        <v>74</v>
      </c>
      <c r="BQ926" t="s">
        <v>74</v>
      </c>
      <c r="BR926" t="s">
        <v>97</v>
      </c>
      <c r="BS926" t="s">
        <v>15835</v>
      </c>
      <c r="BT926" t="str">
        <f>HYPERLINK("https%3A%2F%2Fwww.webofscience.com%2Fwos%2Fwoscc%2Ffull-record%2FWOS:000189118300005","View Full Record in Web of Science")</f>
        <v>View Full Record in Web of Science</v>
      </c>
    </row>
    <row r="927" spans="1:72" x14ac:dyDescent="0.25">
      <c r="A927" t="s">
        <v>9091</v>
      </c>
      <c r="B927" t="s">
        <v>15836</v>
      </c>
      <c r="C927" t="s">
        <v>74</v>
      </c>
      <c r="D927" t="s">
        <v>15837</v>
      </c>
      <c r="E927" t="s">
        <v>74</v>
      </c>
      <c r="F927" t="s">
        <v>15836</v>
      </c>
      <c r="G927" t="s">
        <v>74</v>
      </c>
      <c r="H927" t="s">
        <v>74</v>
      </c>
      <c r="I927" t="s">
        <v>15838</v>
      </c>
      <c r="J927" t="s">
        <v>15839</v>
      </c>
      <c r="K927" t="s">
        <v>15840</v>
      </c>
      <c r="L927" t="s">
        <v>74</v>
      </c>
      <c r="M927" t="s">
        <v>77</v>
      </c>
      <c r="N927" t="s">
        <v>319</v>
      </c>
      <c r="O927" t="s">
        <v>15841</v>
      </c>
      <c r="P927" t="s">
        <v>15842</v>
      </c>
      <c r="Q927" t="s">
        <v>15843</v>
      </c>
      <c r="R927" t="s">
        <v>15844</v>
      </c>
      <c r="S927" t="s">
        <v>74</v>
      </c>
      <c r="T927" t="s">
        <v>74</v>
      </c>
      <c r="U927" t="s">
        <v>15845</v>
      </c>
      <c r="V927" t="s">
        <v>15846</v>
      </c>
      <c r="W927" t="s">
        <v>15847</v>
      </c>
      <c r="X927" t="s">
        <v>15848</v>
      </c>
      <c r="Y927" t="s">
        <v>15849</v>
      </c>
      <c r="Z927" t="s">
        <v>74</v>
      </c>
      <c r="AA927" t="s">
        <v>74</v>
      </c>
      <c r="AB927" t="s">
        <v>74</v>
      </c>
      <c r="AC927" t="s">
        <v>74</v>
      </c>
      <c r="AD927" t="s">
        <v>74</v>
      </c>
      <c r="AE927" t="s">
        <v>74</v>
      </c>
      <c r="AF927" t="s">
        <v>74</v>
      </c>
      <c r="AG927">
        <v>31</v>
      </c>
      <c r="AH927">
        <v>3</v>
      </c>
      <c r="AI927">
        <v>3</v>
      </c>
      <c r="AJ927">
        <v>0</v>
      </c>
      <c r="AK927">
        <v>6</v>
      </c>
      <c r="AL927" t="s">
        <v>15850</v>
      </c>
      <c r="AM927" t="s">
        <v>15851</v>
      </c>
      <c r="AN927" t="s">
        <v>15852</v>
      </c>
      <c r="AO927" t="s">
        <v>15853</v>
      </c>
      <c r="AP927" t="s">
        <v>74</v>
      </c>
      <c r="AQ927" t="s">
        <v>15854</v>
      </c>
      <c r="AR927" t="s">
        <v>15855</v>
      </c>
      <c r="AS927" t="s">
        <v>74</v>
      </c>
      <c r="AT927" t="s">
        <v>74</v>
      </c>
      <c r="AU927">
        <v>1995</v>
      </c>
      <c r="AV927">
        <v>22</v>
      </c>
      <c r="AW927" t="s">
        <v>74</v>
      </c>
      <c r="AX927" t="s">
        <v>74</v>
      </c>
      <c r="AY927" t="s">
        <v>74</v>
      </c>
      <c r="AZ927" t="s">
        <v>74</v>
      </c>
      <c r="BA927" t="s">
        <v>74</v>
      </c>
      <c r="BB927">
        <v>566</v>
      </c>
      <c r="BC927">
        <v>572</v>
      </c>
      <c r="BD927" t="s">
        <v>74</v>
      </c>
      <c r="BE927" t="s">
        <v>74</v>
      </c>
      <c r="BF927" t="s">
        <v>74</v>
      </c>
      <c r="BG927" t="s">
        <v>74</v>
      </c>
      <c r="BH927" t="s">
        <v>74</v>
      </c>
      <c r="BI927">
        <v>7</v>
      </c>
      <c r="BJ927" t="s">
        <v>337</v>
      </c>
      <c r="BK927" t="s">
        <v>14665</v>
      </c>
      <c r="BL927" t="s">
        <v>95</v>
      </c>
      <c r="BM927" t="s">
        <v>15856</v>
      </c>
      <c r="BN927" t="s">
        <v>74</v>
      </c>
      <c r="BO927" t="s">
        <v>74</v>
      </c>
      <c r="BP927" t="s">
        <v>74</v>
      </c>
      <c r="BQ927" t="s">
        <v>74</v>
      </c>
      <c r="BR927" t="s">
        <v>97</v>
      </c>
      <c r="BS927" t="s">
        <v>15857</v>
      </c>
      <c r="BT927" t="str">
        <f>HYPERLINK("https%3A%2F%2Fwww.webofscience.com%2Fwos%2Fwoscc%2Ffull-record%2FWOS:A1995BF97K00118","View Full Record in Web of Science")</f>
        <v>View Full Record in Web of Science</v>
      </c>
    </row>
    <row r="928" spans="1:72" x14ac:dyDescent="0.25">
      <c r="A928" t="s">
        <v>72</v>
      </c>
      <c r="B928" t="s">
        <v>15858</v>
      </c>
      <c r="C928" t="s">
        <v>74</v>
      </c>
      <c r="D928" t="s">
        <v>74</v>
      </c>
      <c r="E928" t="s">
        <v>74</v>
      </c>
      <c r="F928" t="s">
        <v>15858</v>
      </c>
      <c r="G928" t="s">
        <v>74</v>
      </c>
      <c r="H928" t="s">
        <v>74</v>
      </c>
      <c r="I928" t="s">
        <v>15859</v>
      </c>
      <c r="J928" t="s">
        <v>7148</v>
      </c>
      <c r="K928" t="s">
        <v>74</v>
      </c>
      <c r="L928" t="s">
        <v>74</v>
      </c>
      <c r="M928" t="s">
        <v>77</v>
      </c>
      <c r="N928" t="s">
        <v>78</v>
      </c>
      <c r="O928" t="s">
        <v>74</v>
      </c>
      <c r="P928" t="s">
        <v>74</v>
      </c>
      <c r="Q928" t="s">
        <v>74</v>
      </c>
      <c r="R928" t="s">
        <v>74</v>
      </c>
      <c r="S928" t="s">
        <v>74</v>
      </c>
      <c r="T928" t="s">
        <v>74</v>
      </c>
      <c r="U928" t="s">
        <v>15860</v>
      </c>
      <c r="V928" t="s">
        <v>15861</v>
      </c>
      <c r="W928" t="s">
        <v>74</v>
      </c>
      <c r="X928" t="s">
        <v>74</v>
      </c>
      <c r="Y928" t="s">
        <v>15862</v>
      </c>
      <c r="Z928" t="s">
        <v>74</v>
      </c>
      <c r="AA928" t="s">
        <v>74</v>
      </c>
      <c r="AB928" t="s">
        <v>74</v>
      </c>
      <c r="AC928" t="s">
        <v>74</v>
      </c>
      <c r="AD928" t="s">
        <v>74</v>
      </c>
      <c r="AE928" t="s">
        <v>74</v>
      </c>
      <c r="AF928" t="s">
        <v>74</v>
      </c>
      <c r="AG928">
        <v>25</v>
      </c>
      <c r="AH928">
        <v>3</v>
      </c>
      <c r="AI928">
        <v>3</v>
      </c>
      <c r="AJ928">
        <v>0</v>
      </c>
      <c r="AK928">
        <v>3</v>
      </c>
      <c r="AL928" t="s">
        <v>15863</v>
      </c>
      <c r="AM928" t="s">
        <v>139</v>
      </c>
      <c r="AN928" t="s">
        <v>15864</v>
      </c>
      <c r="AO928" t="s">
        <v>7156</v>
      </c>
      <c r="AP928" t="s">
        <v>74</v>
      </c>
      <c r="AQ928" t="s">
        <v>74</v>
      </c>
      <c r="AR928" t="s">
        <v>7158</v>
      </c>
      <c r="AS928" t="s">
        <v>7159</v>
      </c>
      <c r="AT928" t="s">
        <v>584</v>
      </c>
      <c r="AU928">
        <v>1994</v>
      </c>
      <c r="AV928">
        <v>24</v>
      </c>
      <c r="AW928">
        <v>11</v>
      </c>
      <c r="AX928" t="s">
        <v>74</v>
      </c>
      <c r="AY928" t="s">
        <v>74</v>
      </c>
      <c r="AZ928" t="s">
        <v>74</v>
      </c>
      <c r="BA928" t="s">
        <v>74</v>
      </c>
      <c r="BB928">
        <v>17</v>
      </c>
      <c r="BC928">
        <v>22</v>
      </c>
      <c r="BD928" t="s">
        <v>74</v>
      </c>
      <c r="BE928" t="s">
        <v>15865</v>
      </c>
      <c r="BF928" t="str">
        <f>HYPERLINK("http://dx.doi.org/10.1097/00005110-199411000-00006","http://dx.doi.org/10.1097/00005110-199411000-00006")</f>
        <v>http://dx.doi.org/10.1097/00005110-199411000-00006</v>
      </c>
      <c r="BG928" t="s">
        <v>74</v>
      </c>
      <c r="BH928" t="s">
        <v>74</v>
      </c>
      <c r="BI928">
        <v>6</v>
      </c>
      <c r="BJ928" t="s">
        <v>980</v>
      </c>
      <c r="BK928" t="s">
        <v>94</v>
      </c>
      <c r="BL928" t="s">
        <v>980</v>
      </c>
      <c r="BM928" t="s">
        <v>15866</v>
      </c>
      <c r="BN928">
        <v>7965177</v>
      </c>
      <c r="BO928" t="s">
        <v>74</v>
      </c>
      <c r="BP928" t="s">
        <v>74</v>
      </c>
      <c r="BQ928" t="s">
        <v>74</v>
      </c>
      <c r="BR928" t="s">
        <v>97</v>
      </c>
      <c r="BS928" t="s">
        <v>15867</v>
      </c>
      <c r="BT928" t="str">
        <f>HYPERLINK("https%3A%2F%2Fwww.webofscience.com%2Fwos%2Fwoscc%2Ffull-record%2FWOS:A1994PQ96700006","View Full Record in Web of Science")</f>
        <v>View Full Record in Web of Science</v>
      </c>
    </row>
    <row r="929" spans="1:72" x14ac:dyDescent="0.25">
      <c r="A929" t="s">
        <v>72</v>
      </c>
      <c r="B929" t="s">
        <v>15868</v>
      </c>
      <c r="C929" t="s">
        <v>74</v>
      </c>
      <c r="D929" t="s">
        <v>74</v>
      </c>
      <c r="E929" t="s">
        <v>74</v>
      </c>
      <c r="F929" t="s">
        <v>15868</v>
      </c>
      <c r="G929" t="s">
        <v>74</v>
      </c>
      <c r="H929" t="s">
        <v>74</v>
      </c>
      <c r="I929" t="s">
        <v>15869</v>
      </c>
      <c r="J929" t="s">
        <v>15870</v>
      </c>
      <c r="K929" t="s">
        <v>74</v>
      </c>
      <c r="L929" t="s">
        <v>74</v>
      </c>
      <c r="M929" t="s">
        <v>77</v>
      </c>
      <c r="N929" t="s">
        <v>319</v>
      </c>
      <c r="O929" t="s">
        <v>15871</v>
      </c>
      <c r="P929" t="s">
        <v>15872</v>
      </c>
      <c r="Q929" t="s">
        <v>15873</v>
      </c>
      <c r="R929" t="s">
        <v>15874</v>
      </c>
      <c r="S929" t="s">
        <v>74</v>
      </c>
      <c r="T929" t="s">
        <v>74</v>
      </c>
      <c r="U929" t="s">
        <v>74</v>
      </c>
      <c r="V929" t="s">
        <v>15875</v>
      </c>
      <c r="W929" t="s">
        <v>74</v>
      </c>
      <c r="X929" t="s">
        <v>74</v>
      </c>
      <c r="Y929" t="s">
        <v>15876</v>
      </c>
      <c r="Z929" t="s">
        <v>74</v>
      </c>
      <c r="AA929" t="s">
        <v>74</v>
      </c>
      <c r="AB929" t="s">
        <v>74</v>
      </c>
      <c r="AC929" t="s">
        <v>74</v>
      </c>
      <c r="AD929" t="s">
        <v>74</v>
      </c>
      <c r="AE929" t="s">
        <v>74</v>
      </c>
      <c r="AF929" t="s">
        <v>74</v>
      </c>
      <c r="AG929">
        <v>14</v>
      </c>
      <c r="AH929">
        <v>3</v>
      </c>
      <c r="AI929">
        <v>3</v>
      </c>
      <c r="AJ929">
        <v>0</v>
      </c>
      <c r="AK929">
        <v>0</v>
      </c>
      <c r="AL929" t="s">
        <v>15877</v>
      </c>
      <c r="AM929" t="s">
        <v>15878</v>
      </c>
      <c r="AN929" t="s">
        <v>15879</v>
      </c>
      <c r="AO929" t="s">
        <v>15880</v>
      </c>
      <c r="AP929" t="s">
        <v>74</v>
      </c>
      <c r="AQ929" t="s">
        <v>74</v>
      </c>
      <c r="AR929" t="s">
        <v>15881</v>
      </c>
      <c r="AS929" t="s">
        <v>15882</v>
      </c>
      <c r="AT929" t="s">
        <v>792</v>
      </c>
      <c r="AU929">
        <v>1992</v>
      </c>
      <c r="AV929">
        <v>23</v>
      </c>
      <c r="AW929">
        <v>3</v>
      </c>
      <c r="AX929" t="s">
        <v>74</v>
      </c>
      <c r="AY929" t="s">
        <v>74</v>
      </c>
      <c r="AZ929" t="s">
        <v>74</v>
      </c>
      <c r="BA929" t="s">
        <v>74</v>
      </c>
      <c r="BB929">
        <v>39</v>
      </c>
      <c r="BC929">
        <v>44</v>
      </c>
      <c r="BD929" t="s">
        <v>74</v>
      </c>
      <c r="BE929" t="s">
        <v>15883</v>
      </c>
      <c r="BF929" t="str">
        <f>HYPERLINK("http://dx.doi.org/10.1111/j.1759-5436.1992.mp23003008.x","http://dx.doi.org/10.1111/j.1759-5436.1992.mp23003008.x")</f>
        <v>http://dx.doi.org/10.1111/j.1759-5436.1992.mp23003008.x</v>
      </c>
      <c r="BG929" t="s">
        <v>74</v>
      </c>
      <c r="BH929" t="s">
        <v>74</v>
      </c>
      <c r="BI929">
        <v>6</v>
      </c>
      <c r="BJ929" t="s">
        <v>15884</v>
      </c>
      <c r="BK929" t="s">
        <v>14665</v>
      </c>
      <c r="BL929" t="s">
        <v>15884</v>
      </c>
      <c r="BM929" t="s">
        <v>15885</v>
      </c>
      <c r="BN929" t="s">
        <v>74</v>
      </c>
      <c r="BO929" t="s">
        <v>111</v>
      </c>
      <c r="BP929" t="s">
        <v>74</v>
      </c>
      <c r="BQ929" t="s">
        <v>74</v>
      </c>
      <c r="BR929" t="s">
        <v>97</v>
      </c>
      <c r="BS929" t="s">
        <v>15886</v>
      </c>
      <c r="BT929" t="str">
        <f>HYPERLINK("https%3A%2F%2Fwww.webofscience.com%2Fwos%2Fwoscc%2Ffull-record%2FWOS:A1992JD87800008","View Full Record in Web of Science")</f>
        <v>View Full Record in Web of Science</v>
      </c>
    </row>
    <row r="930" spans="1:72" x14ac:dyDescent="0.25">
      <c r="A930" t="s">
        <v>72</v>
      </c>
      <c r="B930" t="s">
        <v>15887</v>
      </c>
      <c r="C930" t="s">
        <v>74</v>
      </c>
      <c r="D930" t="s">
        <v>74</v>
      </c>
      <c r="E930" t="s">
        <v>74</v>
      </c>
      <c r="F930" t="s">
        <v>15887</v>
      </c>
      <c r="G930" t="s">
        <v>74</v>
      </c>
      <c r="H930" t="s">
        <v>74</v>
      </c>
      <c r="I930" t="s">
        <v>15888</v>
      </c>
      <c r="J930" t="s">
        <v>15889</v>
      </c>
      <c r="K930" t="s">
        <v>74</v>
      </c>
      <c r="L930" t="s">
        <v>74</v>
      </c>
      <c r="M930" t="s">
        <v>77</v>
      </c>
      <c r="N930" t="s">
        <v>78</v>
      </c>
      <c r="O930" t="s">
        <v>74</v>
      </c>
      <c r="P930" t="s">
        <v>74</v>
      </c>
      <c r="Q930" t="s">
        <v>74</v>
      </c>
      <c r="R930" t="s">
        <v>74</v>
      </c>
      <c r="S930" t="s">
        <v>74</v>
      </c>
      <c r="T930" t="s">
        <v>74</v>
      </c>
      <c r="U930" t="s">
        <v>74</v>
      </c>
      <c r="V930" t="s">
        <v>74</v>
      </c>
      <c r="W930" t="s">
        <v>15890</v>
      </c>
      <c r="X930" t="s">
        <v>15891</v>
      </c>
      <c r="Y930" t="s">
        <v>74</v>
      </c>
      <c r="Z930" t="s">
        <v>74</v>
      </c>
      <c r="AA930" t="s">
        <v>74</v>
      </c>
      <c r="AB930" t="s">
        <v>74</v>
      </c>
      <c r="AC930" t="s">
        <v>74</v>
      </c>
      <c r="AD930" t="s">
        <v>74</v>
      </c>
      <c r="AE930" t="s">
        <v>74</v>
      </c>
      <c r="AF930" t="s">
        <v>74</v>
      </c>
      <c r="AG930">
        <v>12</v>
      </c>
      <c r="AH930">
        <v>3</v>
      </c>
      <c r="AI930">
        <v>3</v>
      </c>
      <c r="AJ930">
        <v>0</v>
      </c>
      <c r="AK930">
        <v>4</v>
      </c>
      <c r="AL930" t="s">
        <v>15892</v>
      </c>
      <c r="AM930" t="s">
        <v>15893</v>
      </c>
      <c r="AN930" t="s">
        <v>15894</v>
      </c>
      <c r="AO930" t="s">
        <v>15895</v>
      </c>
      <c r="AP930" t="s">
        <v>74</v>
      </c>
      <c r="AQ930" t="s">
        <v>74</v>
      </c>
      <c r="AR930" t="s">
        <v>15896</v>
      </c>
      <c r="AS930" t="s">
        <v>15897</v>
      </c>
      <c r="AT930" t="s">
        <v>74</v>
      </c>
      <c r="AU930">
        <v>1985</v>
      </c>
      <c r="AV930">
        <v>21</v>
      </c>
      <c r="AW930">
        <v>4</v>
      </c>
      <c r="AX930" t="s">
        <v>74</v>
      </c>
      <c r="AY930" t="s">
        <v>74</v>
      </c>
      <c r="AZ930" t="s">
        <v>74</v>
      </c>
      <c r="BA930" t="s">
        <v>74</v>
      </c>
      <c r="BB930">
        <v>255</v>
      </c>
      <c r="BC930">
        <v>266</v>
      </c>
      <c r="BD930" t="s">
        <v>74</v>
      </c>
      <c r="BE930" t="s">
        <v>15898</v>
      </c>
      <c r="BF930" t="str">
        <f>HYPERLINK("http://dx.doi.org/10.2190/PL3E-WUF3-YDN3-WCTF","http://dx.doi.org/10.2190/PL3E-WUF3-YDN3-WCTF")</f>
        <v>http://dx.doi.org/10.2190/PL3E-WUF3-YDN3-WCTF</v>
      </c>
      <c r="BG930" t="s">
        <v>74</v>
      </c>
      <c r="BH930" t="s">
        <v>74</v>
      </c>
      <c r="BI930">
        <v>12</v>
      </c>
      <c r="BJ930" t="s">
        <v>15899</v>
      </c>
      <c r="BK930" t="s">
        <v>94</v>
      </c>
      <c r="BL930" t="s">
        <v>15900</v>
      </c>
      <c r="BM930" t="s">
        <v>15901</v>
      </c>
      <c r="BN930">
        <v>3830908</v>
      </c>
      <c r="BO930" t="s">
        <v>74</v>
      </c>
      <c r="BP930" t="s">
        <v>74</v>
      </c>
      <c r="BQ930" t="s">
        <v>74</v>
      </c>
      <c r="BR930" t="s">
        <v>97</v>
      </c>
      <c r="BS930" t="s">
        <v>15902</v>
      </c>
      <c r="BT930" t="str">
        <f>HYPERLINK("https%3A%2F%2Fwww.webofscience.com%2Fwos%2Fwoscc%2Ffull-record%2FWOS:A1985AUK4400002","View Full Record in Web of Science")</f>
        <v>View Full Record in Web of Science</v>
      </c>
    </row>
    <row r="931" spans="1:72" x14ac:dyDescent="0.25">
      <c r="A931" t="s">
        <v>72</v>
      </c>
      <c r="B931" t="s">
        <v>15903</v>
      </c>
      <c r="C931" t="s">
        <v>74</v>
      </c>
      <c r="D931" t="s">
        <v>74</v>
      </c>
      <c r="E931" t="s">
        <v>74</v>
      </c>
      <c r="F931" t="s">
        <v>15903</v>
      </c>
      <c r="G931" t="s">
        <v>74</v>
      </c>
      <c r="H931" t="s">
        <v>74</v>
      </c>
      <c r="I931" t="s">
        <v>15904</v>
      </c>
      <c r="J931" t="s">
        <v>2550</v>
      </c>
      <c r="K931" t="s">
        <v>74</v>
      </c>
      <c r="L931" t="s">
        <v>74</v>
      </c>
      <c r="M931" t="s">
        <v>77</v>
      </c>
      <c r="N931" t="s">
        <v>78</v>
      </c>
      <c r="O931" t="s">
        <v>74</v>
      </c>
      <c r="P931" t="s">
        <v>74</v>
      </c>
      <c r="Q931" t="s">
        <v>74</v>
      </c>
      <c r="R931" t="s">
        <v>74</v>
      </c>
      <c r="S931" t="s">
        <v>74</v>
      </c>
      <c r="T931" t="s">
        <v>74</v>
      </c>
      <c r="U931" t="s">
        <v>74</v>
      </c>
      <c r="V931" t="s">
        <v>74</v>
      </c>
      <c r="W931" t="s">
        <v>74</v>
      </c>
      <c r="X931" t="s">
        <v>74</v>
      </c>
      <c r="Y931" t="s">
        <v>74</v>
      </c>
      <c r="Z931" t="s">
        <v>74</v>
      </c>
      <c r="AA931" t="s">
        <v>74</v>
      </c>
      <c r="AB931" t="s">
        <v>74</v>
      </c>
      <c r="AC931" t="s">
        <v>74</v>
      </c>
      <c r="AD931" t="s">
        <v>74</v>
      </c>
      <c r="AE931" t="s">
        <v>74</v>
      </c>
      <c r="AF931" t="s">
        <v>74</v>
      </c>
      <c r="AG931">
        <v>8</v>
      </c>
      <c r="AH931">
        <v>3</v>
      </c>
      <c r="AI931">
        <v>3</v>
      </c>
      <c r="AJ931">
        <v>0</v>
      </c>
      <c r="AK931">
        <v>5</v>
      </c>
      <c r="AL931" t="s">
        <v>2557</v>
      </c>
      <c r="AM931" t="s">
        <v>330</v>
      </c>
      <c r="AN931" t="s">
        <v>6971</v>
      </c>
      <c r="AO931" t="s">
        <v>2559</v>
      </c>
      <c r="AP931" t="s">
        <v>74</v>
      </c>
      <c r="AQ931" t="s">
        <v>74</v>
      </c>
      <c r="AR931" t="s">
        <v>2560</v>
      </c>
      <c r="AS931" t="s">
        <v>2561</v>
      </c>
      <c r="AT931" t="s">
        <v>74</v>
      </c>
      <c r="AU931">
        <v>1965</v>
      </c>
      <c r="AV931">
        <v>12</v>
      </c>
      <c r="AW931">
        <v>1</v>
      </c>
      <c r="AX931" t="s">
        <v>74</v>
      </c>
      <c r="AY931" t="s">
        <v>74</v>
      </c>
      <c r="AZ931" t="s">
        <v>74</v>
      </c>
      <c r="BA931" t="s">
        <v>74</v>
      </c>
      <c r="BB931">
        <v>2</v>
      </c>
      <c r="BC931">
        <v>8</v>
      </c>
      <c r="BD931" t="s">
        <v>74</v>
      </c>
      <c r="BE931" t="s">
        <v>15905</v>
      </c>
      <c r="BF931" t="str">
        <f>HYPERLINK("http://dx.doi.org/10.1109/TEM.1965.6446432","http://dx.doi.org/10.1109/TEM.1965.6446432")</f>
        <v>http://dx.doi.org/10.1109/TEM.1965.6446432</v>
      </c>
      <c r="BG931" t="s">
        <v>74</v>
      </c>
      <c r="BH931" t="s">
        <v>74</v>
      </c>
      <c r="BI931">
        <v>7</v>
      </c>
      <c r="BJ931" t="s">
        <v>794</v>
      </c>
      <c r="BK931" t="s">
        <v>1347</v>
      </c>
      <c r="BL931" t="s">
        <v>795</v>
      </c>
      <c r="BM931" t="s">
        <v>15906</v>
      </c>
      <c r="BN931" t="s">
        <v>74</v>
      </c>
      <c r="BO931" t="s">
        <v>74</v>
      </c>
      <c r="BP931" t="s">
        <v>74</v>
      </c>
      <c r="BQ931" t="s">
        <v>74</v>
      </c>
      <c r="BR931" t="s">
        <v>97</v>
      </c>
      <c r="BS931" t="s">
        <v>15907</v>
      </c>
      <c r="BT931" t="str">
        <f>HYPERLINK("https%3A%2F%2Fwww.webofscience.com%2Fwos%2Fwoscc%2Ffull-record%2FWOS:A1965CBZ3600001","View Full Record in Web of Science")</f>
        <v>View Full Record in Web of Science</v>
      </c>
    </row>
    <row r="932" spans="1:72" x14ac:dyDescent="0.25">
      <c r="A932" t="s">
        <v>72</v>
      </c>
      <c r="B932" t="s">
        <v>15908</v>
      </c>
      <c r="C932" t="s">
        <v>74</v>
      </c>
      <c r="D932" t="s">
        <v>74</v>
      </c>
      <c r="E932" t="s">
        <v>74</v>
      </c>
      <c r="F932" t="s">
        <v>15909</v>
      </c>
      <c r="G932" t="s">
        <v>74</v>
      </c>
      <c r="H932" t="s">
        <v>74</v>
      </c>
      <c r="I932" t="s">
        <v>15910</v>
      </c>
      <c r="J932" t="s">
        <v>5442</v>
      </c>
      <c r="K932" t="s">
        <v>74</v>
      </c>
      <c r="L932" t="s">
        <v>74</v>
      </c>
      <c r="M932" t="s">
        <v>77</v>
      </c>
      <c r="N932" t="s">
        <v>78</v>
      </c>
      <c r="O932" t="s">
        <v>74</v>
      </c>
      <c r="P932" t="s">
        <v>74</v>
      </c>
      <c r="Q932" t="s">
        <v>74</v>
      </c>
      <c r="R932" t="s">
        <v>74</v>
      </c>
      <c r="S932" t="s">
        <v>74</v>
      </c>
      <c r="T932" t="s">
        <v>15911</v>
      </c>
      <c r="U932" t="s">
        <v>15912</v>
      </c>
      <c r="V932" t="s">
        <v>15913</v>
      </c>
      <c r="W932" t="s">
        <v>15914</v>
      </c>
      <c r="X932" t="s">
        <v>15915</v>
      </c>
      <c r="Y932" t="s">
        <v>15916</v>
      </c>
      <c r="Z932" t="s">
        <v>15917</v>
      </c>
      <c r="AA932" t="s">
        <v>74</v>
      </c>
      <c r="AB932" t="s">
        <v>74</v>
      </c>
      <c r="AC932" t="s">
        <v>74</v>
      </c>
      <c r="AD932" t="s">
        <v>74</v>
      </c>
      <c r="AE932" t="s">
        <v>74</v>
      </c>
      <c r="AF932" t="s">
        <v>74</v>
      </c>
      <c r="AG932">
        <v>85</v>
      </c>
      <c r="AH932">
        <v>2</v>
      </c>
      <c r="AI932">
        <v>2</v>
      </c>
      <c r="AJ932">
        <v>0</v>
      </c>
      <c r="AK932">
        <v>0</v>
      </c>
      <c r="AL932" t="s">
        <v>5452</v>
      </c>
      <c r="AM932" t="s">
        <v>5453</v>
      </c>
      <c r="AN932" t="s">
        <v>5454</v>
      </c>
      <c r="AO932" t="s">
        <v>5455</v>
      </c>
      <c r="AP932" t="s">
        <v>5456</v>
      </c>
      <c r="AQ932" t="s">
        <v>74</v>
      </c>
      <c r="AR932" t="s">
        <v>5457</v>
      </c>
      <c r="AS932" t="s">
        <v>5458</v>
      </c>
      <c r="AT932" t="s">
        <v>584</v>
      </c>
      <c r="AU932">
        <v>2022</v>
      </c>
      <c r="AV932">
        <v>28</v>
      </c>
      <c r="AW932">
        <v>6</v>
      </c>
      <c r="AX932" t="s">
        <v>74</v>
      </c>
      <c r="AY932" t="s">
        <v>74</v>
      </c>
      <c r="AZ932" t="s">
        <v>74</v>
      </c>
      <c r="BA932" t="s">
        <v>74</v>
      </c>
      <c r="BB932">
        <v>1235</v>
      </c>
      <c r="BC932">
        <v>1255</v>
      </c>
      <c r="BD932" t="s">
        <v>74</v>
      </c>
      <c r="BE932" t="s">
        <v>15918</v>
      </c>
      <c r="BF932" t="str">
        <f>HYPERLINK("http://dx.doi.org/10.1017/jmo.2019.50","http://dx.doi.org/10.1017/jmo.2019.50")</f>
        <v>http://dx.doi.org/10.1017/jmo.2019.50</v>
      </c>
      <c r="BG932" t="s">
        <v>74</v>
      </c>
      <c r="BH932" t="s">
        <v>74</v>
      </c>
      <c r="BI932">
        <v>21</v>
      </c>
      <c r="BJ932" t="s">
        <v>442</v>
      </c>
      <c r="BK932" t="s">
        <v>94</v>
      </c>
      <c r="BL932" t="s">
        <v>95</v>
      </c>
      <c r="BM932" t="s">
        <v>15919</v>
      </c>
      <c r="BN932" t="s">
        <v>74</v>
      </c>
      <c r="BO932" t="s">
        <v>74</v>
      </c>
      <c r="BP932" t="s">
        <v>74</v>
      </c>
      <c r="BQ932" t="s">
        <v>74</v>
      </c>
      <c r="BR932" t="s">
        <v>97</v>
      </c>
      <c r="BS932" t="s">
        <v>15920</v>
      </c>
      <c r="BT932" t="str">
        <f>HYPERLINK("https%3A%2F%2Fwww.webofscience.com%2Fwos%2Fwoscc%2Ffull-record%2FWOS:000967623500006","View Full Record in Web of Science")</f>
        <v>View Full Record in Web of Science</v>
      </c>
    </row>
    <row r="933" spans="1:72" x14ac:dyDescent="0.25">
      <c r="A933" t="s">
        <v>72</v>
      </c>
      <c r="B933" t="s">
        <v>15921</v>
      </c>
      <c r="C933" t="s">
        <v>74</v>
      </c>
      <c r="D933" t="s">
        <v>74</v>
      </c>
      <c r="E933" t="s">
        <v>74</v>
      </c>
      <c r="F933" t="s">
        <v>15922</v>
      </c>
      <c r="G933" t="s">
        <v>74</v>
      </c>
      <c r="H933" t="s">
        <v>74</v>
      </c>
      <c r="I933" t="s">
        <v>15923</v>
      </c>
      <c r="J933" t="s">
        <v>3184</v>
      </c>
      <c r="K933" t="s">
        <v>74</v>
      </c>
      <c r="L933" t="s">
        <v>74</v>
      </c>
      <c r="M933" t="s">
        <v>77</v>
      </c>
      <c r="N933" t="s">
        <v>78</v>
      </c>
      <c r="O933" t="s">
        <v>74</v>
      </c>
      <c r="P933" t="s">
        <v>74</v>
      </c>
      <c r="Q933" t="s">
        <v>74</v>
      </c>
      <c r="R933" t="s">
        <v>74</v>
      </c>
      <c r="S933" t="s">
        <v>74</v>
      </c>
      <c r="T933" t="s">
        <v>15924</v>
      </c>
      <c r="U933" t="s">
        <v>15925</v>
      </c>
      <c r="V933" t="s">
        <v>15926</v>
      </c>
      <c r="W933" t="s">
        <v>15927</v>
      </c>
      <c r="X933" t="s">
        <v>15928</v>
      </c>
      <c r="Y933" t="s">
        <v>15929</v>
      </c>
      <c r="Z933" t="s">
        <v>15930</v>
      </c>
      <c r="AA933" t="s">
        <v>74</v>
      </c>
      <c r="AB933" t="s">
        <v>74</v>
      </c>
      <c r="AC933" t="s">
        <v>15931</v>
      </c>
      <c r="AD933" t="s">
        <v>15932</v>
      </c>
      <c r="AE933" t="s">
        <v>15933</v>
      </c>
      <c r="AF933" t="s">
        <v>74</v>
      </c>
      <c r="AG933">
        <v>84</v>
      </c>
      <c r="AH933">
        <v>2</v>
      </c>
      <c r="AI933">
        <v>2</v>
      </c>
      <c r="AJ933">
        <v>21</v>
      </c>
      <c r="AK933">
        <v>24</v>
      </c>
      <c r="AL933" t="s">
        <v>3195</v>
      </c>
      <c r="AM933" t="s">
        <v>3196</v>
      </c>
      <c r="AN933" t="s">
        <v>3197</v>
      </c>
      <c r="AO933" t="s">
        <v>3198</v>
      </c>
      <c r="AP933" t="s">
        <v>74</v>
      </c>
      <c r="AQ933" t="s">
        <v>74</v>
      </c>
      <c r="AR933" t="s">
        <v>3199</v>
      </c>
      <c r="AS933" t="s">
        <v>3200</v>
      </c>
      <c r="AT933" t="s">
        <v>15934</v>
      </c>
      <c r="AU933">
        <v>2022</v>
      </c>
      <c r="AV933">
        <v>13</v>
      </c>
      <c r="AW933" t="s">
        <v>74</v>
      </c>
      <c r="AX933" t="s">
        <v>74</v>
      </c>
      <c r="AY933" t="s">
        <v>74</v>
      </c>
      <c r="AZ933" t="s">
        <v>74</v>
      </c>
      <c r="BA933" t="s">
        <v>74</v>
      </c>
      <c r="BB933" t="s">
        <v>74</v>
      </c>
      <c r="BC933" t="s">
        <v>74</v>
      </c>
      <c r="BD933">
        <v>978042</v>
      </c>
      <c r="BE933" t="s">
        <v>15935</v>
      </c>
      <c r="BF933" t="str">
        <f>HYPERLINK("http://dx.doi.org/10.3389/fpsyg.2022.978042","http://dx.doi.org/10.3389/fpsyg.2022.978042")</f>
        <v>http://dx.doi.org/10.3389/fpsyg.2022.978042</v>
      </c>
      <c r="BG933" t="s">
        <v>74</v>
      </c>
      <c r="BH933" t="s">
        <v>74</v>
      </c>
      <c r="BI933">
        <v>13</v>
      </c>
      <c r="BJ933" t="s">
        <v>3203</v>
      </c>
      <c r="BK933" t="s">
        <v>94</v>
      </c>
      <c r="BL933" t="s">
        <v>460</v>
      </c>
      <c r="BM933" t="s">
        <v>15936</v>
      </c>
      <c r="BN933">
        <v>36275323</v>
      </c>
      <c r="BO933" t="s">
        <v>4398</v>
      </c>
      <c r="BP933" t="s">
        <v>74</v>
      </c>
      <c r="BQ933" t="s">
        <v>74</v>
      </c>
      <c r="BR933" t="s">
        <v>97</v>
      </c>
      <c r="BS933" t="s">
        <v>15937</v>
      </c>
      <c r="BT933" t="str">
        <f>HYPERLINK("https%3A%2F%2Fwww.webofscience.com%2Fwos%2Fwoscc%2Ffull-record%2FWOS:000874600700001","View Full Record in Web of Science")</f>
        <v>View Full Record in Web of Science</v>
      </c>
    </row>
    <row r="934" spans="1:72" x14ac:dyDescent="0.25">
      <c r="A934" t="s">
        <v>72</v>
      </c>
      <c r="B934" t="s">
        <v>15938</v>
      </c>
      <c r="C934" t="s">
        <v>74</v>
      </c>
      <c r="D934" t="s">
        <v>74</v>
      </c>
      <c r="E934" t="s">
        <v>74</v>
      </c>
      <c r="F934" t="s">
        <v>15939</v>
      </c>
      <c r="G934" t="s">
        <v>74</v>
      </c>
      <c r="H934" t="s">
        <v>74</v>
      </c>
      <c r="I934" t="s">
        <v>15940</v>
      </c>
      <c r="J934" t="s">
        <v>10561</v>
      </c>
      <c r="K934" t="s">
        <v>74</v>
      </c>
      <c r="L934" t="s">
        <v>74</v>
      </c>
      <c r="M934" t="s">
        <v>77</v>
      </c>
      <c r="N934" t="s">
        <v>78</v>
      </c>
      <c r="O934" t="s">
        <v>74</v>
      </c>
      <c r="P934" t="s">
        <v>74</v>
      </c>
      <c r="Q934" t="s">
        <v>74</v>
      </c>
      <c r="R934" t="s">
        <v>74</v>
      </c>
      <c r="S934" t="s">
        <v>74</v>
      </c>
      <c r="T934" t="s">
        <v>15941</v>
      </c>
      <c r="U934" t="s">
        <v>15942</v>
      </c>
      <c r="V934" t="s">
        <v>15943</v>
      </c>
      <c r="W934" t="s">
        <v>15944</v>
      </c>
      <c r="X934" t="s">
        <v>15945</v>
      </c>
      <c r="Y934" t="s">
        <v>15946</v>
      </c>
      <c r="Z934" t="s">
        <v>15947</v>
      </c>
      <c r="AA934" t="s">
        <v>15948</v>
      </c>
      <c r="AB934" t="s">
        <v>74</v>
      </c>
      <c r="AC934" t="s">
        <v>15949</v>
      </c>
      <c r="AD934" t="s">
        <v>15950</v>
      </c>
      <c r="AE934" t="s">
        <v>15951</v>
      </c>
      <c r="AF934" t="s">
        <v>74</v>
      </c>
      <c r="AG934">
        <v>34</v>
      </c>
      <c r="AH934">
        <v>2</v>
      </c>
      <c r="AI934">
        <v>2</v>
      </c>
      <c r="AJ934">
        <v>6</v>
      </c>
      <c r="AK934">
        <v>8</v>
      </c>
      <c r="AL934" t="s">
        <v>2473</v>
      </c>
      <c r="AM934" t="s">
        <v>2102</v>
      </c>
      <c r="AN934" t="s">
        <v>2474</v>
      </c>
      <c r="AO934" t="s">
        <v>74</v>
      </c>
      <c r="AP934" t="s">
        <v>10570</v>
      </c>
      <c r="AQ934" t="s">
        <v>74</v>
      </c>
      <c r="AR934" t="s">
        <v>10571</v>
      </c>
      <c r="AS934" t="s">
        <v>10572</v>
      </c>
      <c r="AT934" t="s">
        <v>496</v>
      </c>
      <c r="AU934">
        <v>2022</v>
      </c>
      <c r="AV934">
        <v>12</v>
      </c>
      <c r="AW934">
        <v>9</v>
      </c>
      <c r="AX934" t="s">
        <v>74</v>
      </c>
      <c r="AY934" t="s">
        <v>74</v>
      </c>
      <c r="AZ934" t="s">
        <v>74</v>
      </c>
      <c r="BA934" t="s">
        <v>74</v>
      </c>
      <c r="BB934" t="s">
        <v>74</v>
      </c>
      <c r="BC934" t="s">
        <v>74</v>
      </c>
      <c r="BD934">
        <v>340</v>
      </c>
      <c r="BE934" t="s">
        <v>15952</v>
      </c>
      <c r="BF934" t="str">
        <f>HYPERLINK("http://dx.doi.org/10.3390/bs12090340","http://dx.doi.org/10.3390/bs12090340")</f>
        <v>http://dx.doi.org/10.3390/bs12090340</v>
      </c>
      <c r="BG934" t="s">
        <v>74</v>
      </c>
      <c r="BH934" t="s">
        <v>74</v>
      </c>
      <c r="BI934">
        <v>17</v>
      </c>
      <c r="BJ934" t="s">
        <v>3203</v>
      </c>
      <c r="BK934" t="s">
        <v>94</v>
      </c>
      <c r="BL934" t="s">
        <v>460</v>
      </c>
      <c r="BM934" t="s">
        <v>15953</v>
      </c>
      <c r="BN934">
        <v>36135144</v>
      </c>
      <c r="BO934" t="s">
        <v>4398</v>
      </c>
      <c r="BP934" t="s">
        <v>74</v>
      </c>
      <c r="BQ934" t="s">
        <v>74</v>
      </c>
      <c r="BR934" t="s">
        <v>97</v>
      </c>
      <c r="BS934" t="s">
        <v>15954</v>
      </c>
      <c r="BT934" t="str">
        <f>HYPERLINK("https%3A%2F%2Fwww.webofscience.com%2Fwos%2Fwoscc%2Ffull-record%2FWOS:000858012100001","View Full Record in Web of Science")</f>
        <v>View Full Record in Web of Science</v>
      </c>
    </row>
    <row r="935" spans="1:72" x14ac:dyDescent="0.25">
      <c r="A935" t="s">
        <v>72</v>
      </c>
      <c r="B935" t="s">
        <v>15955</v>
      </c>
      <c r="C935" t="s">
        <v>74</v>
      </c>
      <c r="D935" t="s">
        <v>74</v>
      </c>
      <c r="E935" t="s">
        <v>74</v>
      </c>
      <c r="F935" t="s">
        <v>15956</v>
      </c>
      <c r="G935" t="s">
        <v>74</v>
      </c>
      <c r="H935" t="s">
        <v>74</v>
      </c>
      <c r="I935" t="s">
        <v>15957</v>
      </c>
      <c r="J935" t="s">
        <v>3184</v>
      </c>
      <c r="K935" t="s">
        <v>74</v>
      </c>
      <c r="L935" t="s">
        <v>74</v>
      </c>
      <c r="M935" t="s">
        <v>77</v>
      </c>
      <c r="N935" t="s">
        <v>78</v>
      </c>
      <c r="O935" t="s">
        <v>74</v>
      </c>
      <c r="P935" t="s">
        <v>74</v>
      </c>
      <c r="Q935" t="s">
        <v>74</v>
      </c>
      <c r="R935" t="s">
        <v>74</v>
      </c>
      <c r="S935" t="s">
        <v>74</v>
      </c>
      <c r="T935" t="s">
        <v>15958</v>
      </c>
      <c r="U935" t="s">
        <v>15959</v>
      </c>
      <c r="V935" t="s">
        <v>15960</v>
      </c>
      <c r="W935" t="s">
        <v>15961</v>
      </c>
      <c r="X935" t="s">
        <v>15962</v>
      </c>
      <c r="Y935" t="s">
        <v>15963</v>
      </c>
      <c r="Z935" t="s">
        <v>15964</v>
      </c>
      <c r="AA935" t="s">
        <v>15965</v>
      </c>
      <c r="AB935" t="s">
        <v>15966</v>
      </c>
      <c r="AC935" t="s">
        <v>74</v>
      </c>
      <c r="AD935" t="s">
        <v>74</v>
      </c>
      <c r="AE935" t="s">
        <v>74</v>
      </c>
      <c r="AF935" t="s">
        <v>74</v>
      </c>
      <c r="AG935">
        <v>85</v>
      </c>
      <c r="AH935">
        <v>2</v>
      </c>
      <c r="AI935">
        <v>2</v>
      </c>
      <c r="AJ935">
        <v>7</v>
      </c>
      <c r="AK935">
        <v>12</v>
      </c>
      <c r="AL935" t="s">
        <v>3195</v>
      </c>
      <c r="AM935" t="s">
        <v>3196</v>
      </c>
      <c r="AN935" t="s">
        <v>3197</v>
      </c>
      <c r="AO935" t="s">
        <v>3198</v>
      </c>
      <c r="AP935" t="s">
        <v>74</v>
      </c>
      <c r="AQ935" t="s">
        <v>74</v>
      </c>
      <c r="AR935" t="s">
        <v>3199</v>
      </c>
      <c r="AS935" t="s">
        <v>3200</v>
      </c>
      <c r="AT935" t="s">
        <v>1614</v>
      </c>
      <c r="AU935">
        <v>2022</v>
      </c>
      <c r="AV935">
        <v>13</v>
      </c>
      <c r="AW935" t="s">
        <v>74</v>
      </c>
      <c r="AX935" t="s">
        <v>74</v>
      </c>
      <c r="AY935" t="s">
        <v>74</v>
      </c>
      <c r="AZ935" t="s">
        <v>74</v>
      </c>
      <c r="BA935" t="s">
        <v>74</v>
      </c>
      <c r="BB935" t="s">
        <v>74</v>
      </c>
      <c r="BC935" t="s">
        <v>74</v>
      </c>
      <c r="BD935">
        <v>979909</v>
      </c>
      <c r="BE935" t="s">
        <v>15967</v>
      </c>
      <c r="BF935" t="str">
        <f>HYPERLINK("http://dx.doi.org/10.3389/fpsyg.2022.979909","http://dx.doi.org/10.3389/fpsyg.2022.979909")</f>
        <v>http://dx.doi.org/10.3389/fpsyg.2022.979909</v>
      </c>
      <c r="BG935" t="s">
        <v>74</v>
      </c>
      <c r="BH935" t="s">
        <v>74</v>
      </c>
      <c r="BI935">
        <v>10</v>
      </c>
      <c r="BJ935" t="s">
        <v>3203</v>
      </c>
      <c r="BK935" t="s">
        <v>94</v>
      </c>
      <c r="BL935" t="s">
        <v>460</v>
      </c>
      <c r="BM935" t="s">
        <v>15968</v>
      </c>
      <c r="BN935">
        <v>36118479</v>
      </c>
      <c r="BO935" t="s">
        <v>3205</v>
      </c>
      <c r="BP935" t="s">
        <v>74</v>
      </c>
      <c r="BQ935" t="s">
        <v>74</v>
      </c>
      <c r="BR935" t="s">
        <v>97</v>
      </c>
      <c r="BS935" t="s">
        <v>15969</v>
      </c>
      <c r="BT935" t="str">
        <f>HYPERLINK("https%3A%2F%2Fwww.webofscience.com%2Fwos%2Fwoscc%2Ffull-record%2FWOS:000854440000001","View Full Record in Web of Science")</f>
        <v>View Full Record in Web of Science</v>
      </c>
    </row>
    <row r="936" spans="1:72" x14ac:dyDescent="0.25">
      <c r="A936" t="s">
        <v>72</v>
      </c>
      <c r="B936" t="s">
        <v>15970</v>
      </c>
      <c r="C936" t="s">
        <v>74</v>
      </c>
      <c r="D936" t="s">
        <v>74</v>
      </c>
      <c r="E936" t="s">
        <v>74</v>
      </c>
      <c r="F936" t="s">
        <v>15971</v>
      </c>
      <c r="G936" t="s">
        <v>74</v>
      </c>
      <c r="H936" t="s">
        <v>74</v>
      </c>
      <c r="I936" t="s">
        <v>15972</v>
      </c>
      <c r="J936" t="s">
        <v>15973</v>
      </c>
      <c r="K936" t="s">
        <v>74</v>
      </c>
      <c r="L936" t="s">
        <v>74</v>
      </c>
      <c r="M936" t="s">
        <v>77</v>
      </c>
      <c r="N936" t="s">
        <v>78</v>
      </c>
      <c r="O936" t="s">
        <v>74</v>
      </c>
      <c r="P936" t="s">
        <v>74</v>
      </c>
      <c r="Q936" t="s">
        <v>74</v>
      </c>
      <c r="R936" t="s">
        <v>74</v>
      </c>
      <c r="S936" t="s">
        <v>74</v>
      </c>
      <c r="T936" t="s">
        <v>74</v>
      </c>
      <c r="U936" t="s">
        <v>15974</v>
      </c>
      <c r="V936" t="s">
        <v>15975</v>
      </c>
      <c r="W936" t="s">
        <v>15976</v>
      </c>
      <c r="X936" t="s">
        <v>15977</v>
      </c>
      <c r="Y936" t="s">
        <v>15978</v>
      </c>
      <c r="Z936" t="s">
        <v>15979</v>
      </c>
      <c r="AA936" t="s">
        <v>74</v>
      </c>
      <c r="AB936" t="s">
        <v>15980</v>
      </c>
      <c r="AC936" t="s">
        <v>74</v>
      </c>
      <c r="AD936" t="s">
        <v>74</v>
      </c>
      <c r="AE936" t="s">
        <v>74</v>
      </c>
      <c r="AF936" t="s">
        <v>74</v>
      </c>
      <c r="AG936">
        <v>42</v>
      </c>
      <c r="AH936">
        <v>2</v>
      </c>
      <c r="AI936">
        <v>2</v>
      </c>
      <c r="AJ936">
        <v>8</v>
      </c>
      <c r="AK936">
        <v>8</v>
      </c>
      <c r="AL936" t="s">
        <v>15981</v>
      </c>
      <c r="AM936" t="s">
        <v>541</v>
      </c>
      <c r="AN936" t="s">
        <v>15982</v>
      </c>
      <c r="AO936" t="s">
        <v>15983</v>
      </c>
      <c r="AP936" t="s">
        <v>15984</v>
      </c>
      <c r="AQ936" t="s">
        <v>74</v>
      </c>
      <c r="AR936" t="s">
        <v>15985</v>
      </c>
      <c r="AS936" t="s">
        <v>15986</v>
      </c>
      <c r="AT936" t="s">
        <v>10405</v>
      </c>
      <c r="AU936">
        <v>2022</v>
      </c>
      <c r="AV936">
        <v>2022</v>
      </c>
      <c r="AW936" t="s">
        <v>74</v>
      </c>
      <c r="AX936" t="s">
        <v>74</v>
      </c>
      <c r="AY936" t="s">
        <v>74</v>
      </c>
      <c r="AZ936" t="s">
        <v>74</v>
      </c>
      <c r="BA936" t="s">
        <v>74</v>
      </c>
      <c r="BB936" t="s">
        <v>74</v>
      </c>
      <c r="BC936" t="s">
        <v>74</v>
      </c>
      <c r="BD936">
        <v>4358132</v>
      </c>
      <c r="BE936" t="s">
        <v>15987</v>
      </c>
      <c r="BF936" t="str">
        <f>HYPERLINK("http://dx.doi.org/10.1155/2022/4358132","http://dx.doi.org/10.1155/2022/4358132")</f>
        <v>http://dx.doi.org/10.1155/2022/4358132</v>
      </c>
      <c r="BG936" t="s">
        <v>74</v>
      </c>
      <c r="BH936" t="s">
        <v>74</v>
      </c>
      <c r="BI936">
        <v>9</v>
      </c>
      <c r="BJ936" t="s">
        <v>15988</v>
      </c>
      <c r="BK936" t="s">
        <v>283</v>
      </c>
      <c r="BL936" t="s">
        <v>15989</v>
      </c>
      <c r="BM936" t="s">
        <v>15990</v>
      </c>
      <c r="BN936" t="s">
        <v>74</v>
      </c>
      <c r="BO936" t="s">
        <v>2482</v>
      </c>
      <c r="BP936" t="s">
        <v>74</v>
      </c>
      <c r="BQ936" t="s">
        <v>74</v>
      </c>
      <c r="BR936" t="s">
        <v>97</v>
      </c>
      <c r="BS936" t="s">
        <v>15991</v>
      </c>
      <c r="BT936" t="str">
        <f>HYPERLINK("https%3A%2F%2Fwww.webofscience.com%2Fwos%2Fwoscc%2Ffull-record%2FWOS:000884365700003","View Full Record in Web of Science")</f>
        <v>View Full Record in Web of Science</v>
      </c>
    </row>
    <row r="937" spans="1:72" x14ac:dyDescent="0.25">
      <c r="A937" t="s">
        <v>72</v>
      </c>
      <c r="B937" t="s">
        <v>15992</v>
      </c>
      <c r="C937" t="s">
        <v>74</v>
      </c>
      <c r="D937" t="s">
        <v>74</v>
      </c>
      <c r="E937" t="s">
        <v>74</v>
      </c>
      <c r="F937" t="s">
        <v>15993</v>
      </c>
      <c r="G937" t="s">
        <v>74</v>
      </c>
      <c r="H937" t="s">
        <v>74</v>
      </c>
      <c r="I937" t="s">
        <v>15994</v>
      </c>
      <c r="J937" t="s">
        <v>616</v>
      </c>
      <c r="K937" t="s">
        <v>74</v>
      </c>
      <c r="L937" t="s">
        <v>74</v>
      </c>
      <c r="M937" t="s">
        <v>77</v>
      </c>
      <c r="N937" t="s">
        <v>78</v>
      </c>
      <c r="O937" t="s">
        <v>74</v>
      </c>
      <c r="P937" t="s">
        <v>74</v>
      </c>
      <c r="Q937" t="s">
        <v>74</v>
      </c>
      <c r="R937" t="s">
        <v>74</v>
      </c>
      <c r="S937" t="s">
        <v>74</v>
      </c>
      <c r="T937" t="s">
        <v>15995</v>
      </c>
      <c r="U937" t="s">
        <v>15996</v>
      </c>
      <c r="V937" t="s">
        <v>15997</v>
      </c>
      <c r="W937" t="s">
        <v>15998</v>
      </c>
      <c r="X937" t="s">
        <v>15999</v>
      </c>
      <c r="Y937" t="s">
        <v>16000</v>
      </c>
      <c r="Z937" t="s">
        <v>16001</v>
      </c>
      <c r="AA937" t="s">
        <v>16002</v>
      </c>
      <c r="AB937" t="s">
        <v>16003</v>
      </c>
      <c r="AC937" t="s">
        <v>16004</v>
      </c>
      <c r="AD937" t="s">
        <v>16005</v>
      </c>
      <c r="AE937" t="s">
        <v>16006</v>
      </c>
      <c r="AF937" t="s">
        <v>74</v>
      </c>
      <c r="AG937">
        <v>93</v>
      </c>
      <c r="AH937">
        <v>2</v>
      </c>
      <c r="AI937">
        <v>2</v>
      </c>
      <c r="AJ937">
        <v>13</v>
      </c>
      <c r="AK937">
        <v>24</v>
      </c>
      <c r="AL937" t="s">
        <v>602</v>
      </c>
      <c r="AM937" t="s">
        <v>160</v>
      </c>
      <c r="AN937" t="s">
        <v>603</v>
      </c>
      <c r="AO937" t="s">
        <v>625</v>
      </c>
      <c r="AP937" t="s">
        <v>626</v>
      </c>
      <c r="AQ937" t="s">
        <v>74</v>
      </c>
      <c r="AR937" t="s">
        <v>627</v>
      </c>
      <c r="AS937" t="s">
        <v>628</v>
      </c>
      <c r="AT937" t="s">
        <v>392</v>
      </c>
      <c r="AU937">
        <v>2022</v>
      </c>
      <c r="AV937">
        <v>105</v>
      </c>
      <c r="AW937" t="s">
        <v>74</v>
      </c>
      <c r="AX937" t="s">
        <v>74</v>
      </c>
      <c r="AY937" t="s">
        <v>74</v>
      </c>
      <c r="AZ937" t="s">
        <v>74</v>
      </c>
      <c r="BA937" t="s">
        <v>74</v>
      </c>
      <c r="BB937" t="s">
        <v>74</v>
      </c>
      <c r="BC937" t="s">
        <v>74</v>
      </c>
      <c r="BD937">
        <v>103269</v>
      </c>
      <c r="BE937" t="s">
        <v>16007</v>
      </c>
      <c r="BF937" t="str">
        <f>HYPERLINK("http://dx.doi.org/10.1016/j.ijhm.2022.103269","http://dx.doi.org/10.1016/j.ijhm.2022.103269")</f>
        <v>http://dx.doi.org/10.1016/j.ijhm.2022.103269</v>
      </c>
      <c r="BG937" t="s">
        <v>74</v>
      </c>
      <c r="BH937" t="s">
        <v>74</v>
      </c>
      <c r="BI937">
        <v>12</v>
      </c>
      <c r="BJ937" t="s">
        <v>630</v>
      </c>
      <c r="BK937" t="s">
        <v>94</v>
      </c>
      <c r="BL937" t="s">
        <v>631</v>
      </c>
      <c r="BM937" t="s">
        <v>16008</v>
      </c>
      <c r="BN937" t="s">
        <v>74</v>
      </c>
      <c r="BO937" t="s">
        <v>4225</v>
      </c>
      <c r="BP937" t="s">
        <v>74</v>
      </c>
      <c r="BQ937" t="s">
        <v>74</v>
      </c>
      <c r="BR937" t="s">
        <v>97</v>
      </c>
      <c r="BS937" t="s">
        <v>16009</v>
      </c>
      <c r="BT937" t="str">
        <f>HYPERLINK("https%3A%2F%2Fwww.webofscience.com%2Fwos%2Fwoscc%2Ffull-record%2FWOS:000834892900010","View Full Record in Web of Science")</f>
        <v>View Full Record in Web of Science</v>
      </c>
    </row>
    <row r="938" spans="1:72" x14ac:dyDescent="0.25">
      <c r="A938" t="s">
        <v>72</v>
      </c>
      <c r="B938" t="s">
        <v>16010</v>
      </c>
      <c r="C938" t="s">
        <v>74</v>
      </c>
      <c r="D938" t="s">
        <v>74</v>
      </c>
      <c r="E938" t="s">
        <v>74</v>
      </c>
      <c r="F938" t="s">
        <v>16011</v>
      </c>
      <c r="G938" t="s">
        <v>74</v>
      </c>
      <c r="H938" t="s">
        <v>74</v>
      </c>
      <c r="I938" t="s">
        <v>16012</v>
      </c>
      <c r="J938" t="s">
        <v>16013</v>
      </c>
      <c r="K938" t="s">
        <v>74</v>
      </c>
      <c r="L938" t="s">
        <v>74</v>
      </c>
      <c r="M938" t="s">
        <v>77</v>
      </c>
      <c r="N938" t="s">
        <v>78</v>
      </c>
      <c r="O938" t="s">
        <v>74</v>
      </c>
      <c r="P938" t="s">
        <v>74</v>
      </c>
      <c r="Q938" t="s">
        <v>74</v>
      </c>
      <c r="R938" t="s">
        <v>74</v>
      </c>
      <c r="S938" t="s">
        <v>74</v>
      </c>
      <c r="T938" t="s">
        <v>16014</v>
      </c>
      <c r="U938" t="s">
        <v>16015</v>
      </c>
      <c r="V938" t="s">
        <v>16016</v>
      </c>
      <c r="W938" t="s">
        <v>16017</v>
      </c>
      <c r="X938" t="s">
        <v>16018</v>
      </c>
      <c r="Y938" t="s">
        <v>16019</v>
      </c>
      <c r="Z938" t="s">
        <v>16020</v>
      </c>
      <c r="AA938" t="s">
        <v>16021</v>
      </c>
      <c r="AB938" t="s">
        <v>16022</v>
      </c>
      <c r="AC938" t="s">
        <v>16023</v>
      </c>
      <c r="AD938" t="s">
        <v>16024</v>
      </c>
      <c r="AE938" t="s">
        <v>16025</v>
      </c>
      <c r="AF938" t="s">
        <v>74</v>
      </c>
      <c r="AG938">
        <v>74</v>
      </c>
      <c r="AH938">
        <v>2</v>
      </c>
      <c r="AI938">
        <v>2</v>
      </c>
      <c r="AJ938">
        <v>4</v>
      </c>
      <c r="AK938">
        <v>10</v>
      </c>
      <c r="AL938" t="s">
        <v>2473</v>
      </c>
      <c r="AM938" t="s">
        <v>2102</v>
      </c>
      <c r="AN938" t="s">
        <v>2474</v>
      </c>
      <c r="AO938" t="s">
        <v>74</v>
      </c>
      <c r="AP938" t="s">
        <v>16026</v>
      </c>
      <c r="AQ938" t="s">
        <v>74</v>
      </c>
      <c r="AR938" t="s">
        <v>16013</v>
      </c>
      <c r="AS938" t="s">
        <v>16027</v>
      </c>
      <c r="AT938" t="s">
        <v>392</v>
      </c>
      <c r="AU938">
        <v>2022</v>
      </c>
      <c r="AV938">
        <v>12</v>
      </c>
      <c r="AW938">
        <v>8</v>
      </c>
      <c r="AX938" t="s">
        <v>74</v>
      </c>
      <c r="AY938" t="s">
        <v>74</v>
      </c>
      <c r="AZ938" t="s">
        <v>74</v>
      </c>
      <c r="BA938" t="s">
        <v>74</v>
      </c>
      <c r="BB938" t="s">
        <v>74</v>
      </c>
      <c r="BC938" t="s">
        <v>74</v>
      </c>
      <c r="BD938">
        <v>1161</v>
      </c>
      <c r="BE938" t="s">
        <v>16028</v>
      </c>
      <c r="BF938" t="str">
        <f>HYPERLINK("http://dx.doi.org/10.3390/agriculture12081161","http://dx.doi.org/10.3390/agriculture12081161")</f>
        <v>http://dx.doi.org/10.3390/agriculture12081161</v>
      </c>
      <c r="BG938" t="s">
        <v>74</v>
      </c>
      <c r="BH938" t="s">
        <v>74</v>
      </c>
      <c r="BI938">
        <v>16</v>
      </c>
      <c r="BJ938" t="s">
        <v>11214</v>
      </c>
      <c r="BK938" t="s">
        <v>283</v>
      </c>
      <c r="BL938" t="s">
        <v>5436</v>
      </c>
      <c r="BM938" t="s">
        <v>16029</v>
      </c>
      <c r="BN938" t="s">
        <v>74</v>
      </c>
      <c r="BO938" t="s">
        <v>2482</v>
      </c>
      <c r="BP938" t="s">
        <v>74</v>
      </c>
      <c r="BQ938" t="s">
        <v>74</v>
      </c>
      <c r="BR938" t="s">
        <v>97</v>
      </c>
      <c r="BS938" t="s">
        <v>16030</v>
      </c>
      <c r="BT938" t="str">
        <f>HYPERLINK("https%3A%2F%2Fwww.webofscience.com%2Fwos%2Fwoscc%2Ffull-record%2FWOS:000846431700001","View Full Record in Web of Science")</f>
        <v>View Full Record in Web of Science</v>
      </c>
    </row>
    <row r="939" spans="1:72" x14ac:dyDescent="0.25">
      <c r="A939" t="s">
        <v>72</v>
      </c>
      <c r="B939" t="s">
        <v>16031</v>
      </c>
      <c r="C939" t="s">
        <v>74</v>
      </c>
      <c r="D939" t="s">
        <v>74</v>
      </c>
      <c r="E939" t="s">
        <v>74</v>
      </c>
      <c r="F939" t="s">
        <v>16032</v>
      </c>
      <c r="G939" t="s">
        <v>74</v>
      </c>
      <c r="H939" t="s">
        <v>74</v>
      </c>
      <c r="I939" t="s">
        <v>16033</v>
      </c>
      <c r="J939" t="s">
        <v>6372</v>
      </c>
      <c r="K939" t="s">
        <v>74</v>
      </c>
      <c r="L939" t="s">
        <v>74</v>
      </c>
      <c r="M939" t="s">
        <v>77</v>
      </c>
      <c r="N939" t="s">
        <v>78</v>
      </c>
      <c r="O939" t="s">
        <v>74</v>
      </c>
      <c r="P939" t="s">
        <v>74</v>
      </c>
      <c r="Q939" t="s">
        <v>74</v>
      </c>
      <c r="R939" t="s">
        <v>74</v>
      </c>
      <c r="S939" t="s">
        <v>74</v>
      </c>
      <c r="T939" t="s">
        <v>16034</v>
      </c>
      <c r="U939" t="s">
        <v>16035</v>
      </c>
      <c r="V939" t="s">
        <v>16036</v>
      </c>
      <c r="W939" t="s">
        <v>16037</v>
      </c>
      <c r="X939" t="s">
        <v>16038</v>
      </c>
      <c r="Y939" t="s">
        <v>16039</v>
      </c>
      <c r="Z939" t="s">
        <v>16040</v>
      </c>
      <c r="AA939" t="s">
        <v>74</v>
      </c>
      <c r="AB939" t="s">
        <v>74</v>
      </c>
      <c r="AC939" t="s">
        <v>16041</v>
      </c>
      <c r="AD939" t="s">
        <v>16042</v>
      </c>
      <c r="AE939" t="s">
        <v>16043</v>
      </c>
      <c r="AF939" t="s">
        <v>74</v>
      </c>
      <c r="AG939">
        <v>59</v>
      </c>
      <c r="AH939">
        <v>2</v>
      </c>
      <c r="AI939">
        <v>2</v>
      </c>
      <c r="AJ939">
        <v>9</v>
      </c>
      <c r="AK939">
        <v>12</v>
      </c>
      <c r="AL939" t="s">
        <v>2473</v>
      </c>
      <c r="AM939" t="s">
        <v>2102</v>
      </c>
      <c r="AN939" t="s">
        <v>2474</v>
      </c>
      <c r="AO939" t="s">
        <v>74</v>
      </c>
      <c r="AP939" t="s">
        <v>6384</v>
      </c>
      <c r="AQ939" t="s">
        <v>74</v>
      </c>
      <c r="AR939" t="s">
        <v>6385</v>
      </c>
      <c r="AS939" t="s">
        <v>6386</v>
      </c>
      <c r="AT939" t="s">
        <v>392</v>
      </c>
      <c r="AU939">
        <v>2022</v>
      </c>
      <c r="AV939">
        <v>19</v>
      </c>
      <c r="AW939">
        <v>15</v>
      </c>
      <c r="AX939" t="s">
        <v>74</v>
      </c>
      <c r="AY939" t="s">
        <v>74</v>
      </c>
      <c r="AZ939" t="s">
        <v>74</v>
      </c>
      <c r="BA939" t="s">
        <v>74</v>
      </c>
      <c r="BB939" t="s">
        <v>74</v>
      </c>
      <c r="BC939" t="s">
        <v>74</v>
      </c>
      <c r="BD939">
        <v>9407</v>
      </c>
      <c r="BE939" t="s">
        <v>16044</v>
      </c>
      <c r="BF939" t="str">
        <f>HYPERLINK("http://dx.doi.org/10.3390/ijerph19159407","http://dx.doi.org/10.3390/ijerph19159407")</f>
        <v>http://dx.doi.org/10.3390/ijerph19159407</v>
      </c>
      <c r="BG939" t="s">
        <v>74</v>
      </c>
      <c r="BH939" t="s">
        <v>74</v>
      </c>
      <c r="BI939">
        <v>14</v>
      </c>
      <c r="BJ939" t="s">
        <v>6388</v>
      </c>
      <c r="BK939" t="s">
        <v>147</v>
      </c>
      <c r="BL939" t="s">
        <v>6389</v>
      </c>
      <c r="BM939" t="s">
        <v>16045</v>
      </c>
      <c r="BN939">
        <v>35954760</v>
      </c>
      <c r="BO939" t="s">
        <v>4398</v>
      </c>
      <c r="BP939" t="s">
        <v>74</v>
      </c>
      <c r="BQ939" t="s">
        <v>74</v>
      </c>
      <c r="BR939" t="s">
        <v>97</v>
      </c>
      <c r="BS939" t="s">
        <v>16046</v>
      </c>
      <c r="BT939" t="str">
        <f>HYPERLINK("https%3A%2F%2Fwww.webofscience.com%2Fwos%2Fwoscc%2Ffull-record%2FWOS:000840214300001","View Full Record in Web of Science")</f>
        <v>View Full Record in Web of Science</v>
      </c>
    </row>
    <row r="940" spans="1:72" x14ac:dyDescent="0.25">
      <c r="A940" t="s">
        <v>72</v>
      </c>
      <c r="B940" t="s">
        <v>16047</v>
      </c>
      <c r="C940" t="s">
        <v>74</v>
      </c>
      <c r="D940" t="s">
        <v>74</v>
      </c>
      <c r="E940" t="s">
        <v>74</v>
      </c>
      <c r="F940" t="s">
        <v>16048</v>
      </c>
      <c r="G940" t="s">
        <v>74</v>
      </c>
      <c r="H940" t="s">
        <v>74</v>
      </c>
      <c r="I940" t="s">
        <v>16049</v>
      </c>
      <c r="J940" t="s">
        <v>2771</v>
      </c>
      <c r="K940" t="s">
        <v>74</v>
      </c>
      <c r="L940" t="s">
        <v>74</v>
      </c>
      <c r="M940" t="s">
        <v>77</v>
      </c>
      <c r="N940" t="s">
        <v>10095</v>
      </c>
      <c r="O940" t="s">
        <v>74</v>
      </c>
      <c r="P940" t="s">
        <v>74</v>
      </c>
      <c r="Q940" t="s">
        <v>74</v>
      </c>
      <c r="R940" t="s">
        <v>74</v>
      </c>
      <c r="S940" t="s">
        <v>74</v>
      </c>
      <c r="T940" t="s">
        <v>16050</v>
      </c>
      <c r="U940" t="s">
        <v>16051</v>
      </c>
      <c r="V940" t="s">
        <v>16052</v>
      </c>
      <c r="W940" t="s">
        <v>16053</v>
      </c>
      <c r="X940" t="s">
        <v>16054</v>
      </c>
      <c r="Y940" t="s">
        <v>16055</v>
      </c>
      <c r="Z940" t="s">
        <v>16056</v>
      </c>
      <c r="AA940" t="s">
        <v>16057</v>
      </c>
      <c r="AB940" t="s">
        <v>16058</v>
      </c>
      <c r="AC940" t="s">
        <v>16059</v>
      </c>
      <c r="AD940" t="s">
        <v>16060</v>
      </c>
      <c r="AE940" t="s">
        <v>16061</v>
      </c>
      <c r="AF940" t="s">
        <v>74</v>
      </c>
      <c r="AG940">
        <v>80</v>
      </c>
      <c r="AH940">
        <v>2</v>
      </c>
      <c r="AI940">
        <v>2</v>
      </c>
      <c r="AJ940">
        <v>15</v>
      </c>
      <c r="AK940">
        <v>27</v>
      </c>
      <c r="AL940" t="s">
        <v>665</v>
      </c>
      <c r="AM940" t="s">
        <v>666</v>
      </c>
      <c r="AN940" t="s">
        <v>667</v>
      </c>
      <c r="AO940" t="s">
        <v>2781</v>
      </c>
      <c r="AP940" t="s">
        <v>2782</v>
      </c>
      <c r="AQ940" t="s">
        <v>74</v>
      </c>
      <c r="AR940" t="s">
        <v>2771</v>
      </c>
      <c r="AS940" t="s">
        <v>2783</v>
      </c>
      <c r="AT940" t="s">
        <v>74</v>
      </c>
      <c r="AU940" t="s">
        <v>74</v>
      </c>
      <c r="AV940" t="s">
        <v>74</v>
      </c>
      <c r="AW940" t="s">
        <v>74</v>
      </c>
      <c r="AX940" t="s">
        <v>74</v>
      </c>
      <c r="AY940" t="s">
        <v>74</v>
      </c>
      <c r="AZ940" t="s">
        <v>74</v>
      </c>
      <c r="BA940" t="s">
        <v>74</v>
      </c>
      <c r="BB940" t="s">
        <v>74</v>
      </c>
      <c r="BC940" t="s">
        <v>74</v>
      </c>
      <c r="BD940" t="s">
        <v>74</v>
      </c>
      <c r="BE940" t="s">
        <v>16062</v>
      </c>
      <c r="BF940" t="str">
        <f>HYPERLINK("http://dx.doi.org/10.1108/K-09-2021-0884","http://dx.doi.org/10.1108/K-09-2021-0884")</f>
        <v>http://dx.doi.org/10.1108/K-09-2021-0884</v>
      </c>
      <c r="BG940" t="s">
        <v>74</v>
      </c>
      <c r="BH940" t="s">
        <v>11958</v>
      </c>
      <c r="BI940">
        <v>23</v>
      </c>
      <c r="BJ940" t="s">
        <v>2785</v>
      </c>
      <c r="BK940" t="s">
        <v>283</v>
      </c>
      <c r="BL940" t="s">
        <v>2786</v>
      </c>
      <c r="BM940" t="s">
        <v>16063</v>
      </c>
      <c r="BN940" t="s">
        <v>74</v>
      </c>
      <c r="BO940" t="s">
        <v>74</v>
      </c>
      <c r="BP940" t="s">
        <v>74</v>
      </c>
      <c r="BQ940" t="s">
        <v>74</v>
      </c>
      <c r="BR940" t="s">
        <v>97</v>
      </c>
      <c r="BS940" t="s">
        <v>16064</v>
      </c>
      <c r="BT940" t="str">
        <f>HYPERLINK("https%3A%2F%2Fwww.webofscience.com%2Fwos%2Fwoscc%2Ffull-record%2FWOS:000826682500001","View Full Record in Web of Science")</f>
        <v>View Full Record in Web of Science</v>
      </c>
    </row>
    <row r="941" spans="1:72" x14ac:dyDescent="0.25">
      <c r="A941" t="s">
        <v>72</v>
      </c>
      <c r="B941" t="s">
        <v>16065</v>
      </c>
      <c r="C941" t="s">
        <v>74</v>
      </c>
      <c r="D941" t="s">
        <v>74</v>
      </c>
      <c r="E941" t="s">
        <v>74</v>
      </c>
      <c r="F941" t="s">
        <v>16066</v>
      </c>
      <c r="G941" t="s">
        <v>74</v>
      </c>
      <c r="H941" t="s">
        <v>74</v>
      </c>
      <c r="I941" t="s">
        <v>16067</v>
      </c>
      <c r="J941" t="s">
        <v>9332</v>
      </c>
      <c r="K941" t="s">
        <v>74</v>
      </c>
      <c r="L941" t="s">
        <v>74</v>
      </c>
      <c r="M941" t="s">
        <v>77</v>
      </c>
      <c r="N941" t="s">
        <v>10095</v>
      </c>
      <c r="O941" t="s">
        <v>74</v>
      </c>
      <c r="P941" t="s">
        <v>74</v>
      </c>
      <c r="Q941" t="s">
        <v>74</v>
      </c>
      <c r="R941" t="s">
        <v>74</v>
      </c>
      <c r="S941" t="s">
        <v>74</v>
      </c>
      <c r="T941" t="s">
        <v>16068</v>
      </c>
      <c r="U941" t="s">
        <v>16069</v>
      </c>
      <c r="V941" t="s">
        <v>16070</v>
      </c>
      <c r="W941" t="s">
        <v>16071</v>
      </c>
      <c r="X941" t="s">
        <v>16072</v>
      </c>
      <c r="Y941" t="s">
        <v>16073</v>
      </c>
      <c r="Z941" t="s">
        <v>16074</v>
      </c>
      <c r="AA941" t="s">
        <v>74</v>
      </c>
      <c r="AB941" t="s">
        <v>16075</v>
      </c>
      <c r="AC941" t="s">
        <v>16076</v>
      </c>
      <c r="AD941" t="s">
        <v>16077</v>
      </c>
      <c r="AE941" t="s">
        <v>16078</v>
      </c>
      <c r="AF941" t="s">
        <v>74</v>
      </c>
      <c r="AG941">
        <v>61</v>
      </c>
      <c r="AH941">
        <v>2</v>
      </c>
      <c r="AI941">
        <v>2</v>
      </c>
      <c r="AJ941">
        <v>9</v>
      </c>
      <c r="AK941">
        <v>13</v>
      </c>
      <c r="AL941" t="s">
        <v>766</v>
      </c>
      <c r="AM941" t="s">
        <v>330</v>
      </c>
      <c r="AN941" t="s">
        <v>1452</v>
      </c>
      <c r="AO941" t="s">
        <v>9344</v>
      </c>
      <c r="AP941" t="s">
        <v>9345</v>
      </c>
      <c r="AQ941" t="s">
        <v>74</v>
      </c>
      <c r="AR941" t="s">
        <v>9346</v>
      </c>
      <c r="AS941" t="s">
        <v>9347</v>
      </c>
      <c r="AT941" t="s">
        <v>74</v>
      </c>
      <c r="AU941" t="s">
        <v>74</v>
      </c>
      <c r="AV941" t="s">
        <v>74</v>
      </c>
      <c r="AW941" t="s">
        <v>74</v>
      </c>
      <c r="AX941" t="s">
        <v>74</v>
      </c>
      <c r="AY941" t="s">
        <v>74</v>
      </c>
      <c r="AZ941" t="s">
        <v>74</v>
      </c>
      <c r="BA941" t="s">
        <v>74</v>
      </c>
      <c r="BB941" t="s">
        <v>74</v>
      </c>
      <c r="BC941" t="s">
        <v>74</v>
      </c>
      <c r="BD941" t="s">
        <v>74</v>
      </c>
      <c r="BE941" t="s">
        <v>16079</v>
      </c>
      <c r="BF941" t="str">
        <f>HYPERLINK("http://dx.doi.org/10.1007/s12144-022-03489-x","http://dx.doi.org/10.1007/s12144-022-03489-x")</f>
        <v>http://dx.doi.org/10.1007/s12144-022-03489-x</v>
      </c>
      <c r="BG941" t="s">
        <v>74</v>
      </c>
      <c r="BH941" t="s">
        <v>11958</v>
      </c>
      <c r="BI941">
        <v>15</v>
      </c>
      <c r="BJ941" t="s">
        <v>3203</v>
      </c>
      <c r="BK941" t="s">
        <v>94</v>
      </c>
      <c r="BL941" t="s">
        <v>460</v>
      </c>
      <c r="BM941" t="s">
        <v>16080</v>
      </c>
      <c r="BN941" t="s">
        <v>74</v>
      </c>
      <c r="BO941" t="s">
        <v>74</v>
      </c>
      <c r="BP941" t="s">
        <v>74</v>
      </c>
      <c r="BQ941" t="s">
        <v>74</v>
      </c>
      <c r="BR941" t="s">
        <v>97</v>
      </c>
      <c r="BS941" t="s">
        <v>16081</v>
      </c>
      <c r="BT941" t="str">
        <f>HYPERLINK("https%3A%2F%2Fwww.webofscience.com%2Fwos%2Fwoscc%2Ffull-record%2FWOS:000826144200005","View Full Record in Web of Science")</f>
        <v>View Full Record in Web of Science</v>
      </c>
    </row>
    <row r="942" spans="1:72" x14ac:dyDescent="0.25">
      <c r="A942" t="s">
        <v>72</v>
      </c>
      <c r="B942" t="s">
        <v>16082</v>
      </c>
      <c r="C942" t="s">
        <v>74</v>
      </c>
      <c r="D942" t="s">
        <v>74</v>
      </c>
      <c r="E942" t="s">
        <v>74</v>
      </c>
      <c r="F942" t="s">
        <v>16083</v>
      </c>
      <c r="G942" t="s">
        <v>74</v>
      </c>
      <c r="H942" t="s">
        <v>74</v>
      </c>
      <c r="I942" t="s">
        <v>16084</v>
      </c>
      <c r="J942" t="s">
        <v>3184</v>
      </c>
      <c r="K942" t="s">
        <v>74</v>
      </c>
      <c r="L942" t="s">
        <v>74</v>
      </c>
      <c r="M942" t="s">
        <v>77</v>
      </c>
      <c r="N942" t="s">
        <v>78</v>
      </c>
      <c r="O942" t="s">
        <v>74</v>
      </c>
      <c r="P942" t="s">
        <v>74</v>
      </c>
      <c r="Q942" t="s">
        <v>74</v>
      </c>
      <c r="R942" t="s">
        <v>74</v>
      </c>
      <c r="S942" t="s">
        <v>74</v>
      </c>
      <c r="T942" t="s">
        <v>16085</v>
      </c>
      <c r="U942" t="s">
        <v>16086</v>
      </c>
      <c r="V942" t="s">
        <v>16087</v>
      </c>
      <c r="W942" t="s">
        <v>16088</v>
      </c>
      <c r="X942" t="s">
        <v>16089</v>
      </c>
      <c r="Y942" t="s">
        <v>16090</v>
      </c>
      <c r="Z942" t="s">
        <v>16091</v>
      </c>
      <c r="AA942" t="s">
        <v>74</v>
      </c>
      <c r="AB942" t="s">
        <v>16092</v>
      </c>
      <c r="AC942" t="s">
        <v>74</v>
      </c>
      <c r="AD942" t="s">
        <v>74</v>
      </c>
      <c r="AE942" t="s">
        <v>74</v>
      </c>
      <c r="AF942" t="s">
        <v>74</v>
      </c>
      <c r="AG942">
        <v>184</v>
      </c>
      <c r="AH942">
        <v>2</v>
      </c>
      <c r="AI942">
        <v>2</v>
      </c>
      <c r="AJ942">
        <v>15</v>
      </c>
      <c r="AK942">
        <v>31</v>
      </c>
      <c r="AL942" t="s">
        <v>3195</v>
      </c>
      <c r="AM942" t="s">
        <v>3196</v>
      </c>
      <c r="AN942" t="s">
        <v>3197</v>
      </c>
      <c r="AO942" t="s">
        <v>3198</v>
      </c>
      <c r="AP942" t="s">
        <v>74</v>
      </c>
      <c r="AQ942" t="s">
        <v>74</v>
      </c>
      <c r="AR942" t="s">
        <v>3199</v>
      </c>
      <c r="AS942" t="s">
        <v>3200</v>
      </c>
      <c r="AT942" t="s">
        <v>11567</v>
      </c>
      <c r="AU942">
        <v>2022</v>
      </c>
      <c r="AV942">
        <v>13</v>
      </c>
      <c r="AW942" t="s">
        <v>74</v>
      </c>
      <c r="AX942" t="s">
        <v>74</v>
      </c>
      <c r="AY942" t="s">
        <v>74</v>
      </c>
      <c r="AZ942" t="s">
        <v>74</v>
      </c>
      <c r="BA942" t="s">
        <v>74</v>
      </c>
      <c r="BB942" t="s">
        <v>74</v>
      </c>
      <c r="BC942" t="s">
        <v>74</v>
      </c>
      <c r="BD942">
        <v>918289</v>
      </c>
      <c r="BE942" t="s">
        <v>16093</v>
      </c>
      <c r="BF942" t="str">
        <f>HYPERLINK("http://dx.doi.org/10.3389/fpsyg.2022.918289","http://dx.doi.org/10.3389/fpsyg.2022.918289")</f>
        <v>http://dx.doi.org/10.3389/fpsyg.2022.918289</v>
      </c>
      <c r="BG942" t="s">
        <v>74</v>
      </c>
      <c r="BH942" t="s">
        <v>74</v>
      </c>
      <c r="BI942">
        <v>14</v>
      </c>
      <c r="BJ942" t="s">
        <v>3203</v>
      </c>
      <c r="BK942" t="s">
        <v>94</v>
      </c>
      <c r="BL942" t="s">
        <v>460</v>
      </c>
      <c r="BM942" t="s">
        <v>16094</v>
      </c>
      <c r="BN942">
        <v>35800937</v>
      </c>
      <c r="BO942" t="s">
        <v>4398</v>
      </c>
      <c r="BP942" t="s">
        <v>74</v>
      </c>
      <c r="BQ942" t="s">
        <v>74</v>
      </c>
      <c r="BR942" t="s">
        <v>97</v>
      </c>
      <c r="BS942" t="s">
        <v>16095</v>
      </c>
      <c r="BT942" t="str">
        <f>HYPERLINK("https%3A%2F%2Fwww.webofscience.com%2Fwos%2Fwoscc%2Ffull-record%2FWOS:000820855700001","View Full Record in Web of Science")</f>
        <v>View Full Record in Web of Science</v>
      </c>
    </row>
    <row r="943" spans="1:72" x14ac:dyDescent="0.25">
      <c r="A943" t="s">
        <v>72</v>
      </c>
      <c r="B943" t="s">
        <v>16096</v>
      </c>
      <c r="C943" t="s">
        <v>74</v>
      </c>
      <c r="D943" t="s">
        <v>74</v>
      </c>
      <c r="E943" t="s">
        <v>74</v>
      </c>
      <c r="F943" t="s">
        <v>16097</v>
      </c>
      <c r="G943" t="s">
        <v>74</v>
      </c>
      <c r="H943" t="s">
        <v>74</v>
      </c>
      <c r="I943" t="s">
        <v>16098</v>
      </c>
      <c r="J943" t="s">
        <v>3184</v>
      </c>
      <c r="K943" t="s">
        <v>74</v>
      </c>
      <c r="L943" t="s">
        <v>74</v>
      </c>
      <c r="M943" t="s">
        <v>77</v>
      </c>
      <c r="N943" t="s">
        <v>78</v>
      </c>
      <c r="O943" t="s">
        <v>74</v>
      </c>
      <c r="P943" t="s">
        <v>74</v>
      </c>
      <c r="Q943" t="s">
        <v>74</v>
      </c>
      <c r="R943" t="s">
        <v>74</v>
      </c>
      <c r="S943" t="s">
        <v>74</v>
      </c>
      <c r="T943" t="s">
        <v>16099</v>
      </c>
      <c r="U943" t="s">
        <v>16100</v>
      </c>
      <c r="V943" t="s">
        <v>16101</v>
      </c>
      <c r="W943" t="s">
        <v>16102</v>
      </c>
      <c r="X943" t="s">
        <v>16103</v>
      </c>
      <c r="Y943" t="s">
        <v>16104</v>
      </c>
      <c r="Z943" t="s">
        <v>16105</v>
      </c>
      <c r="AA943" t="s">
        <v>74</v>
      </c>
      <c r="AB943" t="s">
        <v>74</v>
      </c>
      <c r="AC943" t="s">
        <v>74</v>
      </c>
      <c r="AD943" t="s">
        <v>74</v>
      </c>
      <c r="AE943" t="s">
        <v>74</v>
      </c>
      <c r="AF943" t="s">
        <v>74</v>
      </c>
      <c r="AG943">
        <v>84</v>
      </c>
      <c r="AH943">
        <v>2</v>
      </c>
      <c r="AI943">
        <v>2</v>
      </c>
      <c r="AJ943">
        <v>40</v>
      </c>
      <c r="AK943">
        <v>75</v>
      </c>
      <c r="AL943" t="s">
        <v>3195</v>
      </c>
      <c r="AM943" t="s">
        <v>3196</v>
      </c>
      <c r="AN943" t="s">
        <v>3197</v>
      </c>
      <c r="AO943" t="s">
        <v>3198</v>
      </c>
      <c r="AP943" t="s">
        <v>74</v>
      </c>
      <c r="AQ943" t="s">
        <v>74</v>
      </c>
      <c r="AR943" t="s">
        <v>3199</v>
      </c>
      <c r="AS943" t="s">
        <v>3200</v>
      </c>
      <c r="AT943" t="s">
        <v>16106</v>
      </c>
      <c r="AU943">
        <v>2022</v>
      </c>
      <c r="AV943">
        <v>13</v>
      </c>
      <c r="AW943" t="s">
        <v>74</v>
      </c>
      <c r="AX943" t="s">
        <v>74</v>
      </c>
      <c r="AY943" t="s">
        <v>74</v>
      </c>
      <c r="AZ943" t="s">
        <v>74</v>
      </c>
      <c r="BA943" t="s">
        <v>74</v>
      </c>
      <c r="BB943" t="s">
        <v>74</v>
      </c>
      <c r="BC943" t="s">
        <v>74</v>
      </c>
      <c r="BD943">
        <v>814154</v>
      </c>
      <c r="BE943" t="s">
        <v>16107</v>
      </c>
      <c r="BF943" t="str">
        <f>HYPERLINK("http://dx.doi.org/10.3389/fpsyg.2022.814154","http://dx.doi.org/10.3389/fpsyg.2022.814154")</f>
        <v>http://dx.doi.org/10.3389/fpsyg.2022.814154</v>
      </c>
      <c r="BG943" t="s">
        <v>74</v>
      </c>
      <c r="BH943" t="s">
        <v>74</v>
      </c>
      <c r="BI943">
        <v>12</v>
      </c>
      <c r="BJ943" t="s">
        <v>3203</v>
      </c>
      <c r="BK943" t="s">
        <v>94</v>
      </c>
      <c r="BL943" t="s">
        <v>460</v>
      </c>
      <c r="BM943" t="s">
        <v>16108</v>
      </c>
      <c r="BN943">
        <v>35795437</v>
      </c>
      <c r="BO943" t="s">
        <v>4398</v>
      </c>
      <c r="BP943" t="s">
        <v>74</v>
      </c>
      <c r="BQ943" t="s">
        <v>74</v>
      </c>
      <c r="BR943" t="s">
        <v>97</v>
      </c>
      <c r="BS943" t="s">
        <v>16109</v>
      </c>
      <c r="BT943" t="str">
        <f>HYPERLINK("https%3A%2F%2Fwww.webofscience.com%2Fwos%2Fwoscc%2Ffull-record%2FWOS:000820445800001","View Full Record in Web of Science")</f>
        <v>View Full Record in Web of Science</v>
      </c>
    </row>
    <row r="944" spans="1:72" x14ac:dyDescent="0.25">
      <c r="A944" t="s">
        <v>72</v>
      </c>
      <c r="B944" t="s">
        <v>16110</v>
      </c>
      <c r="C944" t="s">
        <v>74</v>
      </c>
      <c r="D944" t="s">
        <v>74</v>
      </c>
      <c r="E944" t="s">
        <v>74</v>
      </c>
      <c r="F944" t="s">
        <v>16111</v>
      </c>
      <c r="G944" t="s">
        <v>74</v>
      </c>
      <c r="H944" t="s">
        <v>74</v>
      </c>
      <c r="I944" t="s">
        <v>16112</v>
      </c>
      <c r="J944" t="s">
        <v>2365</v>
      </c>
      <c r="K944" t="s">
        <v>74</v>
      </c>
      <c r="L944" t="s">
        <v>74</v>
      </c>
      <c r="M944" t="s">
        <v>77</v>
      </c>
      <c r="N944" t="s">
        <v>78</v>
      </c>
      <c r="O944" t="s">
        <v>74</v>
      </c>
      <c r="P944" t="s">
        <v>74</v>
      </c>
      <c r="Q944" t="s">
        <v>74</v>
      </c>
      <c r="R944" t="s">
        <v>74</v>
      </c>
      <c r="S944" t="s">
        <v>74</v>
      </c>
      <c r="T944" t="s">
        <v>16113</v>
      </c>
      <c r="U944" t="s">
        <v>16114</v>
      </c>
      <c r="V944" t="s">
        <v>16115</v>
      </c>
      <c r="W944" t="s">
        <v>16116</v>
      </c>
      <c r="X944" t="s">
        <v>16117</v>
      </c>
      <c r="Y944" t="s">
        <v>16118</v>
      </c>
      <c r="Z944" t="s">
        <v>16119</v>
      </c>
      <c r="AA944" t="s">
        <v>74</v>
      </c>
      <c r="AB944" t="s">
        <v>74</v>
      </c>
      <c r="AC944" t="s">
        <v>74</v>
      </c>
      <c r="AD944" t="s">
        <v>74</v>
      </c>
      <c r="AE944" t="s">
        <v>74</v>
      </c>
      <c r="AF944" t="s">
        <v>74</v>
      </c>
      <c r="AG944">
        <v>95</v>
      </c>
      <c r="AH944">
        <v>2</v>
      </c>
      <c r="AI944">
        <v>2</v>
      </c>
      <c r="AJ944">
        <v>21</v>
      </c>
      <c r="AK944">
        <v>49</v>
      </c>
      <c r="AL944" t="s">
        <v>329</v>
      </c>
      <c r="AM944" t="s">
        <v>330</v>
      </c>
      <c r="AN944" t="s">
        <v>331</v>
      </c>
      <c r="AO944" t="s">
        <v>2375</v>
      </c>
      <c r="AP944" t="s">
        <v>2376</v>
      </c>
      <c r="AQ944" t="s">
        <v>74</v>
      </c>
      <c r="AR944" t="s">
        <v>2377</v>
      </c>
      <c r="AS944" t="s">
        <v>2378</v>
      </c>
      <c r="AT944" t="s">
        <v>392</v>
      </c>
      <c r="AU944">
        <v>2022</v>
      </c>
      <c r="AV944">
        <v>181</v>
      </c>
      <c r="AW944" t="s">
        <v>74</v>
      </c>
      <c r="AX944" t="s">
        <v>74</v>
      </c>
      <c r="AY944" t="s">
        <v>74</v>
      </c>
      <c r="AZ944" t="s">
        <v>74</v>
      </c>
      <c r="BA944" t="s">
        <v>74</v>
      </c>
      <c r="BB944" t="s">
        <v>74</v>
      </c>
      <c r="BC944" t="s">
        <v>74</v>
      </c>
      <c r="BD944">
        <v>121751</v>
      </c>
      <c r="BE944" t="s">
        <v>16120</v>
      </c>
      <c r="BF944" t="str">
        <f>HYPERLINK("http://dx.doi.org/10.1016/j.techfore.2022.121751","http://dx.doi.org/10.1016/j.techfore.2022.121751")</f>
        <v>http://dx.doi.org/10.1016/j.techfore.2022.121751</v>
      </c>
      <c r="BG944" t="s">
        <v>74</v>
      </c>
      <c r="BH944" t="s">
        <v>12534</v>
      </c>
      <c r="BI944">
        <v>13</v>
      </c>
      <c r="BJ944" t="s">
        <v>2380</v>
      </c>
      <c r="BK944" t="s">
        <v>94</v>
      </c>
      <c r="BL944" t="s">
        <v>2246</v>
      </c>
      <c r="BM944" t="s">
        <v>16121</v>
      </c>
      <c r="BN944" t="s">
        <v>74</v>
      </c>
      <c r="BO944" t="s">
        <v>74</v>
      </c>
      <c r="BP944" t="s">
        <v>74</v>
      </c>
      <c r="BQ944" t="s">
        <v>74</v>
      </c>
      <c r="BR944" t="s">
        <v>97</v>
      </c>
      <c r="BS944" t="s">
        <v>16122</v>
      </c>
      <c r="BT944" t="str">
        <f>HYPERLINK("https%3A%2F%2Fwww.webofscience.com%2Fwos%2Fwoscc%2Ffull-record%2FWOS:000833546300007","View Full Record in Web of Science")</f>
        <v>View Full Record in Web of Science</v>
      </c>
    </row>
    <row r="945" spans="1:72" x14ac:dyDescent="0.25">
      <c r="A945" t="s">
        <v>72</v>
      </c>
      <c r="B945" t="s">
        <v>16123</v>
      </c>
      <c r="C945" t="s">
        <v>74</v>
      </c>
      <c r="D945" t="s">
        <v>74</v>
      </c>
      <c r="E945" t="s">
        <v>74</v>
      </c>
      <c r="F945" t="s">
        <v>16124</v>
      </c>
      <c r="G945" t="s">
        <v>74</v>
      </c>
      <c r="H945" t="s">
        <v>74</v>
      </c>
      <c r="I945" t="s">
        <v>16125</v>
      </c>
      <c r="J945" t="s">
        <v>758</v>
      </c>
      <c r="K945" t="s">
        <v>74</v>
      </c>
      <c r="L945" t="s">
        <v>74</v>
      </c>
      <c r="M945" t="s">
        <v>77</v>
      </c>
      <c r="N945" t="s">
        <v>10095</v>
      </c>
      <c r="O945" t="s">
        <v>74</v>
      </c>
      <c r="P945" t="s">
        <v>74</v>
      </c>
      <c r="Q945" t="s">
        <v>74</v>
      </c>
      <c r="R945" t="s">
        <v>74</v>
      </c>
      <c r="S945" t="s">
        <v>74</v>
      </c>
      <c r="T945" t="s">
        <v>16126</v>
      </c>
      <c r="U945" t="s">
        <v>16127</v>
      </c>
      <c r="V945" t="s">
        <v>16128</v>
      </c>
      <c r="W945" t="s">
        <v>16129</v>
      </c>
      <c r="X945" t="s">
        <v>16130</v>
      </c>
      <c r="Y945" t="s">
        <v>16131</v>
      </c>
      <c r="Z945" t="s">
        <v>16132</v>
      </c>
      <c r="AA945" t="s">
        <v>16133</v>
      </c>
      <c r="AB945" t="s">
        <v>16134</v>
      </c>
      <c r="AC945" t="s">
        <v>74</v>
      </c>
      <c r="AD945" t="s">
        <v>74</v>
      </c>
      <c r="AE945" t="s">
        <v>74</v>
      </c>
      <c r="AF945" t="s">
        <v>74</v>
      </c>
      <c r="AG945">
        <v>52</v>
      </c>
      <c r="AH945">
        <v>2</v>
      </c>
      <c r="AI945">
        <v>2</v>
      </c>
      <c r="AJ945">
        <v>4</v>
      </c>
      <c r="AK945">
        <v>10</v>
      </c>
      <c r="AL945" t="s">
        <v>766</v>
      </c>
      <c r="AM945" t="s">
        <v>330</v>
      </c>
      <c r="AN945" t="s">
        <v>1452</v>
      </c>
      <c r="AO945" t="s">
        <v>768</v>
      </c>
      <c r="AP945" t="s">
        <v>769</v>
      </c>
      <c r="AQ945" t="s">
        <v>74</v>
      </c>
      <c r="AR945" t="s">
        <v>770</v>
      </c>
      <c r="AS945" t="s">
        <v>771</v>
      </c>
      <c r="AT945" t="s">
        <v>74</v>
      </c>
      <c r="AU945" t="s">
        <v>74</v>
      </c>
      <c r="AV945" t="s">
        <v>74</v>
      </c>
      <c r="AW945" t="s">
        <v>74</v>
      </c>
      <c r="AX945" t="s">
        <v>74</v>
      </c>
      <c r="AY945" t="s">
        <v>74</v>
      </c>
      <c r="AZ945" t="s">
        <v>74</v>
      </c>
      <c r="BA945" t="s">
        <v>74</v>
      </c>
      <c r="BB945" t="s">
        <v>74</v>
      </c>
      <c r="BC945" t="s">
        <v>74</v>
      </c>
      <c r="BD945" t="s">
        <v>74</v>
      </c>
      <c r="BE945" t="s">
        <v>16135</v>
      </c>
      <c r="BF945" t="str">
        <f>HYPERLINK("http://dx.doi.org/10.1007/s10869-022-09820-4","http://dx.doi.org/10.1007/s10869-022-09820-4")</f>
        <v>http://dx.doi.org/10.1007/s10869-022-09820-4</v>
      </c>
      <c r="BG945" t="s">
        <v>74</v>
      </c>
      <c r="BH945" t="s">
        <v>12534</v>
      </c>
      <c r="BI945">
        <v>9</v>
      </c>
      <c r="BJ945" t="s">
        <v>773</v>
      </c>
      <c r="BK945" t="s">
        <v>94</v>
      </c>
      <c r="BL945" t="s">
        <v>227</v>
      </c>
      <c r="BM945" t="s">
        <v>16136</v>
      </c>
      <c r="BN945" t="s">
        <v>74</v>
      </c>
      <c r="BO945" t="s">
        <v>74</v>
      </c>
      <c r="BP945" t="s">
        <v>74</v>
      </c>
      <c r="BQ945" t="s">
        <v>74</v>
      </c>
      <c r="BR945" t="s">
        <v>97</v>
      </c>
      <c r="BS945" t="s">
        <v>16137</v>
      </c>
      <c r="BT945" t="str">
        <f>HYPERLINK("https%3A%2F%2Fwww.webofscience.com%2Fwos%2Fwoscc%2Ffull-record%2FWOS:000799720700001","View Full Record in Web of Science")</f>
        <v>View Full Record in Web of Science</v>
      </c>
    </row>
    <row r="946" spans="1:72" x14ac:dyDescent="0.25">
      <c r="A946" t="s">
        <v>72</v>
      </c>
      <c r="B946" t="s">
        <v>16138</v>
      </c>
      <c r="C946" t="s">
        <v>74</v>
      </c>
      <c r="D946" t="s">
        <v>74</v>
      </c>
      <c r="E946" t="s">
        <v>74</v>
      </c>
      <c r="F946" t="s">
        <v>16139</v>
      </c>
      <c r="G946" t="s">
        <v>74</v>
      </c>
      <c r="H946" t="s">
        <v>74</v>
      </c>
      <c r="I946" t="s">
        <v>16140</v>
      </c>
      <c r="J946" t="s">
        <v>16141</v>
      </c>
      <c r="K946" t="s">
        <v>74</v>
      </c>
      <c r="L946" t="s">
        <v>74</v>
      </c>
      <c r="M946" t="s">
        <v>77</v>
      </c>
      <c r="N946" t="s">
        <v>78</v>
      </c>
      <c r="O946" t="s">
        <v>74</v>
      </c>
      <c r="P946" t="s">
        <v>74</v>
      </c>
      <c r="Q946" t="s">
        <v>74</v>
      </c>
      <c r="R946" t="s">
        <v>74</v>
      </c>
      <c r="S946" t="s">
        <v>74</v>
      </c>
      <c r="T946" t="s">
        <v>16142</v>
      </c>
      <c r="U946" t="s">
        <v>16143</v>
      </c>
      <c r="V946" t="s">
        <v>16144</v>
      </c>
      <c r="W946" t="s">
        <v>16145</v>
      </c>
      <c r="X946" t="s">
        <v>16146</v>
      </c>
      <c r="Y946" t="s">
        <v>16147</v>
      </c>
      <c r="Z946" t="s">
        <v>16148</v>
      </c>
      <c r="AA946" t="s">
        <v>74</v>
      </c>
      <c r="AB946" t="s">
        <v>74</v>
      </c>
      <c r="AC946" t="s">
        <v>16149</v>
      </c>
      <c r="AD946" t="s">
        <v>16149</v>
      </c>
      <c r="AE946" t="s">
        <v>16150</v>
      </c>
      <c r="AF946" t="s">
        <v>74</v>
      </c>
      <c r="AG946">
        <v>30</v>
      </c>
      <c r="AH946">
        <v>2</v>
      </c>
      <c r="AI946">
        <v>2</v>
      </c>
      <c r="AJ946">
        <v>5</v>
      </c>
      <c r="AK946">
        <v>11</v>
      </c>
      <c r="AL946" t="s">
        <v>434</v>
      </c>
      <c r="AM946" t="s">
        <v>435</v>
      </c>
      <c r="AN946" t="s">
        <v>436</v>
      </c>
      <c r="AO946" t="s">
        <v>16151</v>
      </c>
      <c r="AP946" t="s">
        <v>16152</v>
      </c>
      <c r="AQ946" t="s">
        <v>74</v>
      </c>
      <c r="AR946" t="s">
        <v>16153</v>
      </c>
      <c r="AS946" t="s">
        <v>16154</v>
      </c>
      <c r="AT946" t="s">
        <v>392</v>
      </c>
      <c r="AU946">
        <v>2022</v>
      </c>
      <c r="AV946">
        <v>19</v>
      </c>
      <c r="AW946" t="s">
        <v>74</v>
      </c>
      <c r="AX946" t="s">
        <v>74</v>
      </c>
      <c r="AY946" t="s">
        <v>74</v>
      </c>
      <c r="AZ946" t="s">
        <v>74</v>
      </c>
      <c r="BA946" t="s">
        <v>74</v>
      </c>
      <c r="BB946" t="s">
        <v>74</v>
      </c>
      <c r="BC946" t="s">
        <v>74</v>
      </c>
      <c r="BD946">
        <v>100539</v>
      </c>
      <c r="BE946" t="s">
        <v>16155</v>
      </c>
      <c r="BF946" t="str">
        <f>HYPERLINK("http://dx.doi.org/10.1016/j.iot.2022.100539","http://dx.doi.org/10.1016/j.iot.2022.100539")</f>
        <v>http://dx.doi.org/10.1016/j.iot.2022.100539</v>
      </c>
      <c r="BG946" t="s">
        <v>74</v>
      </c>
      <c r="BH946" t="s">
        <v>12534</v>
      </c>
      <c r="BI946">
        <v>14</v>
      </c>
      <c r="BJ946" t="s">
        <v>16156</v>
      </c>
      <c r="BK946" t="s">
        <v>283</v>
      </c>
      <c r="BL946" t="s">
        <v>16157</v>
      </c>
      <c r="BM946" t="s">
        <v>16158</v>
      </c>
      <c r="BN946" t="s">
        <v>74</v>
      </c>
      <c r="BO946" t="s">
        <v>74</v>
      </c>
      <c r="BP946" t="s">
        <v>74</v>
      </c>
      <c r="BQ946" t="s">
        <v>74</v>
      </c>
      <c r="BR946" t="s">
        <v>97</v>
      </c>
      <c r="BS946" t="s">
        <v>16159</v>
      </c>
      <c r="BT946" t="str">
        <f>HYPERLINK("https%3A%2F%2Fwww.webofscience.com%2Fwos%2Fwoscc%2Ffull-record%2FWOS:000801946400001","View Full Record in Web of Science")</f>
        <v>View Full Record in Web of Science</v>
      </c>
    </row>
    <row r="947" spans="1:72" x14ac:dyDescent="0.25">
      <c r="A947" t="s">
        <v>72</v>
      </c>
      <c r="B947" t="s">
        <v>16160</v>
      </c>
      <c r="C947" t="s">
        <v>74</v>
      </c>
      <c r="D947" t="s">
        <v>74</v>
      </c>
      <c r="E947" t="s">
        <v>74</v>
      </c>
      <c r="F947" t="s">
        <v>16161</v>
      </c>
      <c r="G947" t="s">
        <v>74</v>
      </c>
      <c r="H947" t="s">
        <v>74</v>
      </c>
      <c r="I947" t="s">
        <v>16162</v>
      </c>
      <c r="J947" t="s">
        <v>2502</v>
      </c>
      <c r="K947" t="s">
        <v>74</v>
      </c>
      <c r="L947" t="s">
        <v>74</v>
      </c>
      <c r="M947" t="s">
        <v>77</v>
      </c>
      <c r="N947" t="s">
        <v>10095</v>
      </c>
      <c r="O947" t="s">
        <v>74</v>
      </c>
      <c r="P947" t="s">
        <v>74</v>
      </c>
      <c r="Q947" t="s">
        <v>74</v>
      </c>
      <c r="R947" t="s">
        <v>74</v>
      </c>
      <c r="S947" t="s">
        <v>74</v>
      </c>
      <c r="T947" t="s">
        <v>16163</v>
      </c>
      <c r="U947" t="s">
        <v>16164</v>
      </c>
      <c r="V947" t="s">
        <v>16165</v>
      </c>
      <c r="W947" t="s">
        <v>16166</v>
      </c>
      <c r="X947" t="s">
        <v>11167</v>
      </c>
      <c r="Y947" t="s">
        <v>16167</v>
      </c>
      <c r="Z947" t="s">
        <v>16168</v>
      </c>
      <c r="AA947" t="s">
        <v>74</v>
      </c>
      <c r="AB947" t="s">
        <v>16169</v>
      </c>
      <c r="AC947" t="s">
        <v>74</v>
      </c>
      <c r="AD947" t="s">
        <v>74</v>
      </c>
      <c r="AE947" t="s">
        <v>74</v>
      </c>
      <c r="AF947" t="s">
        <v>74</v>
      </c>
      <c r="AG947">
        <v>65</v>
      </c>
      <c r="AH947">
        <v>2</v>
      </c>
      <c r="AI947">
        <v>2</v>
      </c>
      <c r="AJ947">
        <v>10</v>
      </c>
      <c r="AK947">
        <v>20</v>
      </c>
      <c r="AL947" t="s">
        <v>665</v>
      </c>
      <c r="AM947" t="s">
        <v>666</v>
      </c>
      <c r="AN947" t="s">
        <v>667</v>
      </c>
      <c r="AO947" t="s">
        <v>2510</v>
      </c>
      <c r="AP947" t="s">
        <v>2511</v>
      </c>
      <c r="AQ947" t="s">
        <v>74</v>
      </c>
      <c r="AR947" t="s">
        <v>2512</v>
      </c>
      <c r="AS947" t="s">
        <v>2513</v>
      </c>
      <c r="AT947" t="s">
        <v>74</v>
      </c>
      <c r="AU947" t="s">
        <v>74</v>
      </c>
      <c r="AV947" t="s">
        <v>74</v>
      </c>
      <c r="AW947" t="s">
        <v>74</v>
      </c>
      <c r="AX947" t="s">
        <v>74</v>
      </c>
      <c r="AY947" t="s">
        <v>74</v>
      </c>
      <c r="AZ947" t="s">
        <v>74</v>
      </c>
      <c r="BA947" t="s">
        <v>74</v>
      </c>
      <c r="BB947" t="s">
        <v>74</v>
      </c>
      <c r="BC947" t="s">
        <v>74</v>
      </c>
      <c r="BD947" t="s">
        <v>74</v>
      </c>
      <c r="BE947" t="s">
        <v>16170</v>
      </c>
      <c r="BF947" t="str">
        <f>HYPERLINK("http://dx.doi.org/10.1108/PR-05-2021-0320","http://dx.doi.org/10.1108/PR-05-2021-0320")</f>
        <v>http://dx.doi.org/10.1108/PR-05-2021-0320</v>
      </c>
      <c r="BG947" t="s">
        <v>74</v>
      </c>
      <c r="BH947" t="s">
        <v>12534</v>
      </c>
      <c r="BI947">
        <v>18</v>
      </c>
      <c r="BJ947" t="s">
        <v>2515</v>
      </c>
      <c r="BK947" t="s">
        <v>94</v>
      </c>
      <c r="BL947" t="s">
        <v>227</v>
      </c>
      <c r="BM947" t="s">
        <v>16171</v>
      </c>
      <c r="BN947" t="s">
        <v>74</v>
      </c>
      <c r="BO947" t="s">
        <v>74</v>
      </c>
      <c r="BP947" t="s">
        <v>74</v>
      </c>
      <c r="BQ947" t="s">
        <v>74</v>
      </c>
      <c r="BR947" t="s">
        <v>97</v>
      </c>
      <c r="BS947" t="s">
        <v>16172</v>
      </c>
      <c r="BT947" t="str">
        <f>HYPERLINK("https%3A%2F%2Fwww.webofscience.com%2Fwos%2Fwoscc%2Ffull-record%2FWOS:000793222100001","View Full Record in Web of Science")</f>
        <v>View Full Record in Web of Science</v>
      </c>
    </row>
    <row r="948" spans="1:72" x14ac:dyDescent="0.25">
      <c r="A948" t="s">
        <v>72</v>
      </c>
      <c r="B948" t="s">
        <v>16173</v>
      </c>
      <c r="C948" t="s">
        <v>74</v>
      </c>
      <c r="D948" t="s">
        <v>74</v>
      </c>
      <c r="E948" t="s">
        <v>74</v>
      </c>
      <c r="F948" t="s">
        <v>16174</v>
      </c>
      <c r="G948" t="s">
        <v>74</v>
      </c>
      <c r="H948" t="s">
        <v>74</v>
      </c>
      <c r="I948" t="s">
        <v>16175</v>
      </c>
      <c r="J948" t="s">
        <v>466</v>
      </c>
      <c r="K948" t="s">
        <v>74</v>
      </c>
      <c r="L948" t="s">
        <v>74</v>
      </c>
      <c r="M948" t="s">
        <v>77</v>
      </c>
      <c r="N948" t="s">
        <v>78</v>
      </c>
      <c r="O948" t="s">
        <v>74</v>
      </c>
      <c r="P948" t="s">
        <v>74</v>
      </c>
      <c r="Q948" t="s">
        <v>74</v>
      </c>
      <c r="R948" t="s">
        <v>74</v>
      </c>
      <c r="S948" t="s">
        <v>74</v>
      </c>
      <c r="T948" t="s">
        <v>16176</v>
      </c>
      <c r="U948" t="s">
        <v>16177</v>
      </c>
      <c r="V948" t="s">
        <v>16178</v>
      </c>
      <c r="W948" t="s">
        <v>16179</v>
      </c>
      <c r="X948" t="s">
        <v>16180</v>
      </c>
      <c r="Y948" t="s">
        <v>16181</v>
      </c>
      <c r="Z948" t="s">
        <v>16182</v>
      </c>
      <c r="AA948" t="s">
        <v>74</v>
      </c>
      <c r="AB948" t="s">
        <v>16183</v>
      </c>
      <c r="AC948" t="s">
        <v>74</v>
      </c>
      <c r="AD948" t="s">
        <v>74</v>
      </c>
      <c r="AE948" t="s">
        <v>74</v>
      </c>
      <c r="AF948" t="s">
        <v>74</v>
      </c>
      <c r="AG948">
        <v>54</v>
      </c>
      <c r="AH948">
        <v>2</v>
      </c>
      <c r="AI948">
        <v>2</v>
      </c>
      <c r="AJ948">
        <v>12</v>
      </c>
      <c r="AK948">
        <v>27</v>
      </c>
      <c r="AL948" t="s">
        <v>218</v>
      </c>
      <c r="AM948" t="s">
        <v>219</v>
      </c>
      <c r="AN948" t="s">
        <v>220</v>
      </c>
      <c r="AO948" t="s">
        <v>476</v>
      </c>
      <c r="AP948" t="s">
        <v>477</v>
      </c>
      <c r="AQ948" t="s">
        <v>74</v>
      </c>
      <c r="AR948" t="s">
        <v>478</v>
      </c>
      <c r="AS948" t="s">
        <v>479</v>
      </c>
      <c r="AT948" t="s">
        <v>375</v>
      </c>
      <c r="AU948">
        <v>2022</v>
      </c>
      <c r="AV948">
        <v>56</v>
      </c>
      <c r="AW948">
        <v>4</v>
      </c>
      <c r="AX948" t="s">
        <v>74</v>
      </c>
      <c r="AY948" t="s">
        <v>74</v>
      </c>
      <c r="AZ948" t="s">
        <v>74</v>
      </c>
      <c r="BA948" t="s">
        <v>74</v>
      </c>
      <c r="BB948">
        <v>540</v>
      </c>
      <c r="BC948">
        <v>552</v>
      </c>
      <c r="BD948" t="s">
        <v>74</v>
      </c>
      <c r="BE948" t="s">
        <v>16184</v>
      </c>
      <c r="BF948" t="str">
        <f>HYPERLINK("http://dx.doi.org/10.1002/jocb.545","http://dx.doi.org/10.1002/jocb.545")</f>
        <v>http://dx.doi.org/10.1002/jocb.545</v>
      </c>
      <c r="BG948" t="s">
        <v>74</v>
      </c>
      <c r="BH948" t="s">
        <v>12534</v>
      </c>
      <c r="BI948">
        <v>13</v>
      </c>
      <c r="BJ948" t="s">
        <v>481</v>
      </c>
      <c r="BK948" t="s">
        <v>94</v>
      </c>
      <c r="BL948" t="s">
        <v>460</v>
      </c>
      <c r="BM948" t="s">
        <v>16185</v>
      </c>
      <c r="BN948" t="s">
        <v>74</v>
      </c>
      <c r="BO948" t="s">
        <v>74</v>
      </c>
      <c r="BP948" t="s">
        <v>74</v>
      </c>
      <c r="BQ948" t="s">
        <v>74</v>
      </c>
      <c r="BR948" t="s">
        <v>97</v>
      </c>
      <c r="BS948" t="s">
        <v>16186</v>
      </c>
      <c r="BT948" t="str">
        <f>HYPERLINK("https%3A%2F%2Fwww.webofscience.com%2Fwos%2Fwoscc%2Ffull-record%2FWOS:000793086300001","View Full Record in Web of Science")</f>
        <v>View Full Record in Web of Science</v>
      </c>
    </row>
    <row r="949" spans="1:72" x14ac:dyDescent="0.25">
      <c r="A949" t="s">
        <v>72</v>
      </c>
      <c r="B949" t="s">
        <v>16187</v>
      </c>
      <c r="C949" t="s">
        <v>74</v>
      </c>
      <c r="D949" t="s">
        <v>74</v>
      </c>
      <c r="E949" t="s">
        <v>74</v>
      </c>
      <c r="F949" t="s">
        <v>16188</v>
      </c>
      <c r="G949" t="s">
        <v>74</v>
      </c>
      <c r="H949" t="s">
        <v>74</v>
      </c>
      <c r="I949" t="s">
        <v>16189</v>
      </c>
      <c r="J949" t="s">
        <v>2502</v>
      </c>
      <c r="K949" t="s">
        <v>74</v>
      </c>
      <c r="L949" t="s">
        <v>74</v>
      </c>
      <c r="M949" t="s">
        <v>77</v>
      </c>
      <c r="N949" t="s">
        <v>10095</v>
      </c>
      <c r="O949" t="s">
        <v>74</v>
      </c>
      <c r="P949" t="s">
        <v>74</v>
      </c>
      <c r="Q949" t="s">
        <v>74</v>
      </c>
      <c r="R949" t="s">
        <v>74</v>
      </c>
      <c r="S949" t="s">
        <v>74</v>
      </c>
      <c r="T949" t="s">
        <v>16190</v>
      </c>
      <c r="U949" t="s">
        <v>16191</v>
      </c>
      <c r="V949" t="s">
        <v>16192</v>
      </c>
      <c r="W949" t="s">
        <v>16193</v>
      </c>
      <c r="X949" t="s">
        <v>16194</v>
      </c>
      <c r="Y949" t="s">
        <v>16195</v>
      </c>
      <c r="Z949" t="s">
        <v>16196</v>
      </c>
      <c r="AA949" t="s">
        <v>16197</v>
      </c>
      <c r="AB949" t="s">
        <v>16198</v>
      </c>
      <c r="AC949" t="s">
        <v>14741</v>
      </c>
      <c r="AD949" t="s">
        <v>14741</v>
      </c>
      <c r="AE949" t="s">
        <v>16199</v>
      </c>
      <c r="AF949" t="s">
        <v>74</v>
      </c>
      <c r="AG949">
        <v>81</v>
      </c>
      <c r="AH949">
        <v>2</v>
      </c>
      <c r="AI949">
        <v>2</v>
      </c>
      <c r="AJ949">
        <v>22</v>
      </c>
      <c r="AK949">
        <v>33</v>
      </c>
      <c r="AL949" t="s">
        <v>665</v>
      </c>
      <c r="AM949" t="s">
        <v>666</v>
      </c>
      <c r="AN949" t="s">
        <v>667</v>
      </c>
      <c r="AO949" t="s">
        <v>2510</v>
      </c>
      <c r="AP949" t="s">
        <v>2511</v>
      </c>
      <c r="AQ949" t="s">
        <v>74</v>
      </c>
      <c r="AR949" t="s">
        <v>2512</v>
      </c>
      <c r="AS949" t="s">
        <v>2513</v>
      </c>
      <c r="AT949" t="s">
        <v>74</v>
      </c>
      <c r="AU949" t="s">
        <v>74</v>
      </c>
      <c r="AV949" t="s">
        <v>74</v>
      </c>
      <c r="AW949" t="s">
        <v>74</v>
      </c>
      <c r="AX949" t="s">
        <v>74</v>
      </c>
      <c r="AY949" t="s">
        <v>74</v>
      </c>
      <c r="AZ949" t="s">
        <v>74</v>
      </c>
      <c r="BA949" t="s">
        <v>74</v>
      </c>
      <c r="BB949" t="s">
        <v>74</v>
      </c>
      <c r="BC949" t="s">
        <v>74</v>
      </c>
      <c r="BD949" t="s">
        <v>74</v>
      </c>
      <c r="BE949" t="s">
        <v>16200</v>
      </c>
      <c r="BF949" t="str">
        <f>HYPERLINK("http://dx.doi.org/10.1108/PR-04C321-0234","http://dx.doi.org/10.1108/PR-04C321-0234")</f>
        <v>http://dx.doi.org/10.1108/PR-04C321-0234</v>
      </c>
      <c r="BG949" t="s">
        <v>74</v>
      </c>
      <c r="BH949" t="s">
        <v>12534</v>
      </c>
      <c r="BI949">
        <v>24</v>
      </c>
      <c r="BJ949" t="s">
        <v>2515</v>
      </c>
      <c r="BK949" t="s">
        <v>94</v>
      </c>
      <c r="BL949" t="s">
        <v>227</v>
      </c>
      <c r="BM949" t="s">
        <v>16201</v>
      </c>
      <c r="BN949" t="s">
        <v>74</v>
      </c>
      <c r="BO949" t="s">
        <v>74</v>
      </c>
      <c r="BP949" t="s">
        <v>74</v>
      </c>
      <c r="BQ949" t="s">
        <v>74</v>
      </c>
      <c r="BR949" t="s">
        <v>97</v>
      </c>
      <c r="BS949" t="s">
        <v>16202</v>
      </c>
      <c r="BT949" t="str">
        <f>HYPERLINK("https%3A%2F%2Fwww.webofscience.com%2Fwos%2Fwoscc%2Ffull-record%2FWOS:000793229800001","View Full Record in Web of Science")</f>
        <v>View Full Record in Web of Science</v>
      </c>
    </row>
    <row r="950" spans="1:72" x14ac:dyDescent="0.25">
      <c r="A950" t="s">
        <v>72</v>
      </c>
      <c r="B950" t="s">
        <v>16203</v>
      </c>
      <c r="C950" t="s">
        <v>74</v>
      </c>
      <c r="D950" t="s">
        <v>74</v>
      </c>
      <c r="E950" t="s">
        <v>74</v>
      </c>
      <c r="F950" t="s">
        <v>16204</v>
      </c>
      <c r="G950" t="s">
        <v>74</v>
      </c>
      <c r="H950" t="s">
        <v>74</v>
      </c>
      <c r="I950" t="s">
        <v>16205</v>
      </c>
      <c r="J950" t="s">
        <v>10561</v>
      </c>
      <c r="K950" t="s">
        <v>74</v>
      </c>
      <c r="L950" t="s">
        <v>74</v>
      </c>
      <c r="M950" t="s">
        <v>77</v>
      </c>
      <c r="N950" t="s">
        <v>78</v>
      </c>
      <c r="O950" t="s">
        <v>74</v>
      </c>
      <c r="P950" t="s">
        <v>74</v>
      </c>
      <c r="Q950" t="s">
        <v>74</v>
      </c>
      <c r="R950" t="s">
        <v>74</v>
      </c>
      <c r="S950" t="s">
        <v>74</v>
      </c>
      <c r="T950" t="s">
        <v>16206</v>
      </c>
      <c r="U950" t="s">
        <v>16207</v>
      </c>
      <c r="V950" t="s">
        <v>16208</v>
      </c>
      <c r="W950" t="s">
        <v>16209</v>
      </c>
      <c r="X950" t="s">
        <v>15945</v>
      </c>
      <c r="Y950" t="s">
        <v>16210</v>
      </c>
      <c r="Z950" t="s">
        <v>16211</v>
      </c>
      <c r="AA950" t="s">
        <v>74</v>
      </c>
      <c r="AB950" t="s">
        <v>74</v>
      </c>
      <c r="AC950" t="s">
        <v>16212</v>
      </c>
      <c r="AD950" t="s">
        <v>7061</v>
      </c>
      <c r="AE950" t="s">
        <v>16213</v>
      </c>
      <c r="AF950" t="s">
        <v>74</v>
      </c>
      <c r="AG950">
        <v>62</v>
      </c>
      <c r="AH950">
        <v>2</v>
      </c>
      <c r="AI950">
        <v>2</v>
      </c>
      <c r="AJ950">
        <v>10</v>
      </c>
      <c r="AK950">
        <v>28</v>
      </c>
      <c r="AL950" t="s">
        <v>2473</v>
      </c>
      <c r="AM950" t="s">
        <v>2102</v>
      </c>
      <c r="AN950" t="s">
        <v>2474</v>
      </c>
      <c r="AO950" t="s">
        <v>74</v>
      </c>
      <c r="AP950" t="s">
        <v>10570</v>
      </c>
      <c r="AQ950" t="s">
        <v>74</v>
      </c>
      <c r="AR950" t="s">
        <v>10571</v>
      </c>
      <c r="AS950" t="s">
        <v>10572</v>
      </c>
      <c r="AT950" t="s">
        <v>165</v>
      </c>
      <c r="AU950">
        <v>2022</v>
      </c>
      <c r="AV950">
        <v>12</v>
      </c>
      <c r="AW950">
        <v>5</v>
      </c>
      <c r="AX950" t="s">
        <v>74</v>
      </c>
      <c r="AY950" t="s">
        <v>74</v>
      </c>
      <c r="AZ950" t="s">
        <v>74</v>
      </c>
      <c r="BA950" t="s">
        <v>74</v>
      </c>
      <c r="BB950" t="s">
        <v>74</v>
      </c>
      <c r="BC950" t="s">
        <v>74</v>
      </c>
      <c r="BD950">
        <v>145</v>
      </c>
      <c r="BE950" t="s">
        <v>16214</v>
      </c>
      <c r="BF950" t="str">
        <f>HYPERLINK("http://dx.doi.org/10.3390/bs12050145","http://dx.doi.org/10.3390/bs12050145")</f>
        <v>http://dx.doi.org/10.3390/bs12050145</v>
      </c>
      <c r="BG950" t="s">
        <v>74</v>
      </c>
      <c r="BH950" t="s">
        <v>74</v>
      </c>
      <c r="BI950">
        <v>15</v>
      </c>
      <c r="BJ950" t="s">
        <v>3203</v>
      </c>
      <c r="BK950" t="s">
        <v>94</v>
      </c>
      <c r="BL950" t="s">
        <v>460</v>
      </c>
      <c r="BM950" t="s">
        <v>16215</v>
      </c>
      <c r="BN950">
        <v>35621442</v>
      </c>
      <c r="BO950" t="s">
        <v>4398</v>
      </c>
      <c r="BP950" t="s">
        <v>74</v>
      </c>
      <c r="BQ950" t="s">
        <v>74</v>
      </c>
      <c r="BR950" t="s">
        <v>97</v>
      </c>
      <c r="BS950" t="s">
        <v>16216</v>
      </c>
      <c r="BT950" t="str">
        <f>HYPERLINK("https%3A%2F%2Fwww.webofscience.com%2Fwos%2Fwoscc%2Ffull-record%2FWOS:000801719900001","View Full Record in Web of Science")</f>
        <v>View Full Record in Web of Science</v>
      </c>
    </row>
    <row r="951" spans="1:72" x14ac:dyDescent="0.25">
      <c r="A951" t="s">
        <v>72</v>
      </c>
      <c r="B951" t="s">
        <v>16217</v>
      </c>
      <c r="C951" t="s">
        <v>74</v>
      </c>
      <c r="D951" t="s">
        <v>74</v>
      </c>
      <c r="E951" t="s">
        <v>74</v>
      </c>
      <c r="F951" t="s">
        <v>16218</v>
      </c>
      <c r="G951" t="s">
        <v>74</v>
      </c>
      <c r="H951" t="s">
        <v>74</v>
      </c>
      <c r="I951" t="s">
        <v>16219</v>
      </c>
      <c r="J951" t="s">
        <v>4325</v>
      </c>
      <c r="K951" t="s">
        <v>74</v>
      </c>
      <c r="L951" t="s">
        <v>74</v>
      </c>
      <c r="M951" t="s">
        <v>77</v>
      </c>
      <c r="N951" t="s">
        <v>78</v>
      </c>
      <c r="O951" t="s">
        <v>74</v>
      </c>
      <c r="P951" t="s">
        <v>74</v>
      </c>
      <c r="Q951" t="s">
        <v>74</v>
      </c>
      <c r="R951" t="s">
        <v>74</v>
      </c>
      <c r="S951" t="s">
        <v>74</v>
      </c>
      <c r="T951" t="s">
        <v>16220</v>
      </c>
      <c r="U951" t="s">
        <v>16221</v>
      </c>
      <c r="V951" t="s">
        <v>16222</v>
      </c>
      <c r="W951" t="s">
        <v>16223</v>
      </c>
      <c r="X951" t="s">
        <v>16224</v>
      </c>
      <c r="Y951" t="s">
        <v>16225</v>
      </c>
      <c r="Z951" t="s">
        <v>16226</v>
      </c>
      <c r="AA951" t="s">
        <v>74</v>
      </c>
      <c r="AB951" t="s">
        <v>16227</v>
      </c>
      <c r="AC951" t="s">
        <v>16228</v>
      </c>
      <c r="AD951" t="s">
        <v>16229</v>
      </c>
      <c r="AE951" t="s">
        <v>16230</v>
      </c>
      <c r="AF951" t="s">
        <v>74</v>
      </c>
      <c r="AG951">
        <v>53</v>
      </c>
      <c r="AH951">
        <v>2</v>
      </c>
      <c r="AI951">
        <v>2</v>
      </c>
      <c r="AJ951">
        <v>14</v>
      </c>
      <c r="AK951">
        <v>28</v>
      </c>
      <c r="AL951" t="s">
        <v>218</v>
      </c>
      <c r="AM951" t="s">
        <v>219</v>
      </c>
      <c r="AN951" t="s">
        <v>220</v>
      </c>
      <c r="AO951" t="s">
        <v>4332</v>
      </c>
      <c r="AP951" t="s">
        <v>4333</v>
      </c>
      <c r="AQ951" t="s">
        <v>74</v>
      </c>
      <c r="AR951" t="s">
        <v>4334</v>
      </c>
      <c r="AS951" t="s">
        <v>4335</v>
      </c>
      <c r="AT951" t="s">
        <v>91</v>
      </c>
      <c r="AU951">
        <v>2022</v>
      </c>
      <c r="AV951">
        <v>31</v>
      </c>
      <c r="AW951">
        <v>2</v>
      </c>
      <c r="AX951" t="s">
        <v>74</v>
      </c>
      <c r="AY951" t="s">
        <v>74</v>
      </c>
      <c r="AZ951" t="s">
        <v>74</v>
      </c>
      <c r="BA951" t="s">
        <v>74</v>
      </c>
      <c r="BB951">
        <v>294</v>
      </c>
      <c r="BC951">
        <v>305</v>
      </c>
      <c r="BD951" t="s">
        <v>74</v>
      </c>
      <c r="BE951" t="s">
        <v>16231</v>
      </c>
      <c r="BF951" t="str">
        <f>HYPERLINK("http://dx.doi.org/10.1111/caim.12494","http://dx.doi.org/10.1111/caim.12494")</f>
        <v>http://dx.doi.org/10.1111/caim.12494</v>
      </c>
      <c r="BG951" t="s">
        <v>74</v>
      </c>
      <c r="BH951" t="s">
        <v>11990</v>
      </c>
      <c r="BI951">
        <v>12</v>
      </c>
      <c r="BJ951" t="s">
        <v>442</v>
      </c>
      <c r="BK951" t="s">
        <v>94</v>
      </c>
      <c r="BL951" t="s">
        <v>95</v>
      </c>
      <c r="BM951" t="s">
        <v>13985</v>
      </c>
      <c r="BN951" t="s">
        <v>74</v>
      </c>
      <c r="BO951" t="s">
        <v>74</v>
      </c>
      <c r="BP951" t="s">
        <v>74</v>
      </c>
      <c r="BQ951" t="s">
        <v>74</v>
      </c>
      <c r="BR951" t="s">
        <v>97</v>
      </c>
      <c r="BS951" t="s">
        <v>16232</v>
      </c>
      <c r="BT951" t="str">
        <f>HYPERLINK("https%3A%2F%2Fwww.webofscience.com%2Fwos%2Fwoscc%2Ffull-record%2FWOS:000777915500001","View Full Record in Web of Science")</f>
        <v>View Full Record in Web of Science</v>
      </c>
    </row>
    <row r="952" spans="1:72" x14ac:dyDescent="0.25">
      <c r="A952" t="s">
        <v>72</v>
      </c>
      <c r="B952" t="s">
        <v>16233</v>
      </c>
      <c r="C952" t="s">
        <v>74</v>
      </c>
      <c r="D952" t="s">
        <v>74</v>
      </c>
      <c r="E952" t="s">
        <v>74</v>
      </c>
      <c r="F952" t="s">
        <v>16234</v>
      </c>
      <c r="G952" t="s">
        <v>74</v>
      </c>
      <c r="H952" t="s">
        <v>74</v>
      </c>
      <c r="I952" t="s">
        <v>16235</v>
      </c>
      <c r="J952" t="s">
        <v>16236</v>
      </c>
      <c r="K952" t="s">
        <v>74</v>
      </c>
      <c r="L952" t="s">
        <v>74</v>
      </c>
      <c r="M952" t="s">
        <v>77</v>
      </c>
      <c r="N952" t="s">
        <v>78</v>
      </c>
      <c r="O952" t="s">
        <v>74</v>
      </c>
      <c r="P952" t="s">
        <v>74</v>
      </c>
      <c r="Q952" t="s">
        <v>74</v>
      </c>
      <c r="R952" t="s">
        <v>74</v>
      </c>
      <c r="S952" t="s">
        <v>74</v>
      </c>
      <c r="T952" t="s">
        <v>16237</v>
      </c>
      <c r="U952" t="s">
        <v>16238</v>
      </c>
      <c r="V952" t="s">
        <v>16239</v>
      </c>
      <c r="W952" t="s">
        <v>16240</v>
      </c>
      <c r="X952" t="s">
        <v>16241</v>
      </c>
      <c r="Y952" t="s">
        <v>16242</v>
      </c>
      <c r="Z952" t="s">
        <v>16243</v>
      </c>
      <c r="AA952" t="s">
        <v>74</v>
      </c>
      <c r="AB952" t="s">
        <v>16244</v>
      </c>
      <c r="AC952" t="s">
        <v>74</v>
      </c>
      <c r="AD952" t="s">
        <v>74</v>
      </c>
      <c r="AE952" t="s">
        <v>74</v>
      </c>
      <c r="AF952" t="s">
        <v>74</v>
      </c>
      <c r="AG952">
        <v>60</v>
      </c>
      <c r="AH952">
        <v>2</v>
      </c>
      <c r="AI952">
        <v>2</v>
      </c>
      <c r="AJ952">
        <v>6</v>
      </c>
      <c r="AK952">
        <v>12</v>
      </c>
      <c r="AL952" t="s">
        <v>329</v>
      </c>
      <c r="AM952" t="s">
        <v>330</v>
      </c>
      <c r="AN952" t="s">
        <v>331</v>
      </c>
      <c r="AO952" t="s">
        <v>16245</v>
      </c>
      <c r="AP952" t="s">
        <v>16246</v>
      </c>
      <c r="AQ952" t="s">
        <v>74</v>
      </c>
      <c r="AR952" t="s">
        <v>16247</v>
      </c>
      <c r="AS952" t="s">
        <v>16248</v>
      </c>
      <c r="AT952" t="s">
        <v>91</v>
      </c>
      <c r="AU952">
        <v>2022</v>
      </c>
      <c r="AV952">
        <v>98</v>
      </c>
      <c r="AW952" t="s">
        <v>74</v>
      </c>
      <c r="AX952" t="s">
        <v>74</v>
      </c>
      <c r="AY952" t="s">
        <v>74</v>
      </c>
      <c r="AZ952" t="s">
        <v>74</v>
      </c>
      <c r="BA952" t="s">
        <v>74</v>
      </c>
      <c r="BB952" t="s">
        <v>74</v>
      </c>
      <c r="BC952" t="s">
        <v>74</v>
      </c>
      <c r="BD952">
        <v>101868</v>
      </c>
      <c r="BE952" t="s">
        <v>16249</v>
      </c>
      <c r="BF952" t="str">
        <f>HYPERLINK("http://dx.doi.org/10.1016/j.socec.2022.101868","http://dx.doi.org/10.1016/j.socec.2022.101868")</f>
        <v>http://dx.doi.org/10.1016/j.socec.2022.101868</v>
      </c>
      <c r="BG952" t="s">
        <v>74</v>
      </c>
      <c r="BH952" t="s">
        <v>7969</v>
      </c>
      <c r="BI952">
        <v>13</v>
      </c>
      <c r="BJ952" t="s">
        <v>2599</v>
      </c>
      <c r="BK952" t="s">
        <v>94</v>
      </c>
      <c r="BL952" t="s">
        <v>95</v>
      </c>
      <c r="BM952" t="s">
        <v>16250</v>
      </c>
      <c r="BN952" t="s">
        <v>74</v>
      </c>
      <c r="BO952" t="s">
        <v>74</v>
      </c>
      <c r="BP952" t="s">
        <v>74</v>
      </c>
      <c r="BQ952" t="s">
        <v>74</v>
      </c>
      <c r="BR952" t="s">
        <v>97</v>
      </c>
      <c r="BS952" t="s">
        <v>16251</v>
      </c>
      <c r="BT952" t="str">
        <f>HYPERLINK("https%3A%2F%2Fwww.webofscience.com%2Fwos%2Fwoscc%2Ffull-record%2FWOS:000793635800008","View Full Record in Web of Science")</f>
        <v>View Full Record in Web of Science</v>
      </c>
    </row>
    <row r="953" spans="1:72" x14ac:dyDescent="0.25">
      <c r="A953" t="s">
        <v>72</v>
      </c>
      <c r="B953" t="s">
        <v>16252</v>
      </c>
      <c r="C953" t="s">
        <v>74</v>
      </c>
      <c r="D953" t="s">
        <v>74</v>
      </c>
      <c r="E953" t="s">
        <v>74</v>
      </c>
      <c r="F953" t="s">
        <v>16253</v>
      </c>
      <c r="G953" t="s">
        <v>74</v>
      </c>
      <c r="H953" t="s">
        <v>74</v>
      </c>
      <c r="I953" t="s">
        <v>16254</v>
      </c>
      <c r="J953" t="s">
        <v>3184</v>
      </c>
      <c r="K953" t="s">
        <v>74</v>
      </c>
      <c r="L953" t="s">
        <v>74</v>
      </c>
      <c r="M953" t="s">
        <v>77</v>
      </c>
      <c r="N953" t="s">
        <v>78</v>
      </c>
      <c r="O953" t="s">
        <v>74</v>
      </c>
      <c r="P953" t="s">
        <v>74</v>
      </c>
      <c r="Q953" t="s">
        <v>74</v>
      </c>
      <c r="R953" t="s">
        <v>74</v>
      </c>
      <c r="S953" t="s">
        <v>74</v>
      </c>
      <c r="T953" t="s">
        <v>16255</v>
      </c>
      <c r="U953" t="s">
        <v>16256</v>
      </c>
      <c r="V953" t="s">
        <v>16257</v>
      </c>
      <c r="W953" t="s">
        <v>16258</v>
      </c>
      <c r="X953" t="s">
        <v>16259</v>
      </c>
      <c r="Y953" t="s">
        <v>16260</v>
      </c>
      <c r="Z953" t="s">
        <v>16261</v>
      </c>
      <c r="AA953" t="s">
        <v>16262</v>
      </c>
      <c r="AB953" t="s">
        <v>16263</v>
      </c>
      <c r="AC953" t="s">
        <v>74</v>
      </c>
      <c r="AD953" t="s">
        <v>74</v>
      </c>
      <c r="AE953" t="s">
        <v>74</v>
      </c>
      <c r="AF953" t="s">
        <v>74</v>
      </c>
      <c r="AG953">
        <v>142</v>
      </c>
      <c r="AH953">
        <v>2</v>
      </c>
      <c r="AI953">
        <v>2</v>
      </c>
      <c r="AJ953">
        <v>4</v>
      </c>
      <c r="AK953">
        <v>10</v>
      </c>
      <c r="AL953" t="s">
        <v>3195</v>
      </c>
      <c r="AM953" t="s">
        <v>3196</v>
      </c>
      <c r="AN953" t="s">
        <v>3197</v>
      </c>
      <c r="AO953" t="s">
        <v>3198</v>
      </c>
      <c r="AP953" t="s">
        <v>74</v>
      </c>
      <c r="AQ953" t="s">
        <v>74</v>
      </c>
      <c r="AR953" t="s">
        <v>3199</v>
      </c>
      <c r="AS953" t="s">
        <v>3200</v>
      </c>
      <c r="AT953" t="s">
        <v>16264</v>
      </c>
      <c r="AU953">
        <v>2022</v>
      </c>
      <c r="AV953">
        <v>13</v>
      </c>
      <c r="AW953" t="s">
        <v>74</v>
      </c>
      <c r="AX953" t="s">
        <v>74</v>
      </c>
      <c r="AY953" t="s">
        <v>74</v>
      </c>
      <c r="AZ953" t="s">
        <v>74</v>
      </c>
      <c r="BA953" t="s">
        <v>74</v>
      </c>
      <c r="BB953" t="s">
        <v>74</v>
      </c>
      <c r="BC953" t="s">
        <v>74</v>
      </c>
      <c r="BD953">
        <v>831058</v>
      </c>
      <c r="BE953" t="s">
        <v>16265</v>
      </c>
      <c r="BF953" t="str">
        <f>HYPERLINK("http://dx.doi.org/10.3389/fpsyg.2022.831058","http://dx.doi.org/10.3389/fpsyg.2022.831058")</f>
        <v>http://dx.doi.org/10.3389/fpsyg.2022.831058</v>
      </c>
      <c r="BG953" t="s">
        <v>74</v>
      </c>
      <c r="BH953" t="s">
        <v>74</v>
      </c>
      <c r="BI953">
        <v>14</v>
      </c>
      <c r="BJ953" t="s">
        <v>3203</v>
      </c>
      <c r="BK953" t="s">
        <v>94</v>
      </c>
      <c r="BL953" t="s">
        <v>460</v>
      </c>
      <c r="BM953" t="s">
        <v>16266</v>
      </c>
      <c r="BN953">
        <v>35282234</v>
      </c>
      <c r="BO953" t="s">
        <v>3205</v>
      </c>
      <c r="BP953" t="s">
        <v>74</v>
      </c>
      <c r="BQ953" t="s">
        <v>74</v>
      </c>
      <c r="BR953" t="s">
        <v>97</v>
      </c>
      <c r="BS953" t="s">
        <v>16267</v>
      </c>
      <c r="BT953" t="str">
        <f>HYPERLINK("https%3A%2F%2Fwww.webofscience.com%2Fwos%2Fwoscc%2Ffull-record%2FWOS:000802832300001","View Full Record in Web of Science")</f>
        <v>View Full Record in Web of Science</v>
      </c>
    </row>
    <row r="954" spans="1:72" x14ac:dyDescent="0.25">
      <c r="A954" t="s">
        <v>72</v>
      </c>
      <c r="B954" t="s">
        <v>16268</v>
      </c>
      <c r="C954" t="s">
        <v>74</v>
      </c>
      <c r="D954" t="s">
        <v>74</v>
      </c>
      <c r="E954" t="s">
        <v>74</v>
      </c>
      <c r="F954" t="s">
        <v>16269</v>
      </c>
      <c r="G954" t="s">
        <v>74</v>
      </c>
      <c r="H954" t="s">
        <v>74</v>
      </c>
      <c r="I954" t="s">
        <v>16270</v>
      </c>
      <c r="J954" t="s">
        <v>9332</v>
      </c>
      <c r="K954" t="s">
        <v>74</v>
      </c>
      <c r="L954" t="s">
        <v>74</v>
      </c>
      <c r="M954" t="s">
        <v>77</v>
      </c>
      <c r="N954" t="s">
        <v>10095</v>
      </c>
      <c r="O954" t="s">
        <v>74</v>
      </c>
      <c r="P954" t="s">
        <v>74</v>
      </c>
      <c r="Q954" t="s">
        <v>74</v>
      </c>
      <c r="R954" t="s">
        <v>74</v>
      </c>
      <c r="S954" t="s">
        <v>74</v>
      </c>
      <c r="T954" t="s">
        <v>16271</v>
      </c>
      <c r="U954" t="s">
        <v>16272</v>
      </c>
      <c r="V954" t="s">
        <v>16273</v>
      </c>
      <c r="W954" t="s">
        <v>16274</v>
      </c>
      <c r="X954" t="s">
        <v>16275</v>
      </c>
      <c r="Y954" t="s">
        <v>16276</v>
      </c>
      <c r="Z954" t="s">
        <v>16277</v>
      </c>
      <c r="AA954" t="s">
        <v>74</v>
      </c>
      <c r="AB954" t="s">
        <v>74</v>
      </c>
      <c r="AC954" t="s">
        <v>16278</v>
      </c>
      <c r="AD954" t="s">
        <v>2349</v>
      </c>
      <c r="AE954" t="s">
        <v>16279</v>
      </c>
      <c r="AF954" t="s">
        <v>74</v>
      </c>
      <c r="AG954">
        <v>74</v>
      </c>
      <c r="AH954">
        <v>2</v>
      </c>
      <c r="AI954">
        <v>2</v>
      </c>
      <c r="AJ954">
        <v>12</v>
      </c>
      <c r="AK954">
        <v>29</v>
      </c>
      <c r="AL954" t="s">
        <v>766</v>
      </c>
      <c r="AM954" t="s">
        <v>330</v>
      </c>
      <c r="AN954" t="s">
        <v>1452</v>
      </c>
      <c r="AO954" t="s">
        <v>9344</v>
      </c>
      <c r="AP954" t="s">
        <v>9345</v>
      </c>
      <c r="AQ954" t="s">
        <v>74</v>
      </c>
      <c r="AR954" t="s">
        <v>9346</v>
      </c>
      <c r="AS954" t="s">
        <v>9347</v>
      </c>
      <c r="AT954" t="s">
        <v>74</v>
      </c>
      <c r="AU954" t="s">
        <v>74</v>
      </c>
      <c r="AV954" t="s">
        <v>74</v>
      </c>
      <c r="AW954" t="s">
        <v>74</v>
      </c>
      <c r="AX954" t="s">
        <v>74</v>
      </c>
      <c r="AY954" t="s">
        <v>74</v>
      </c>
      <c r="AZ954" t="s">
        <v>74</v>
      </c>
      <c r="BA954" t="s">
        <v>74</v>
      </c>
      <c r="BB954" t="s">
        <v>74</v>
      </c>
      <c r="BC954" t="s">
        <v>74</v>
      </c>
      <c r="BD954" t="s">
        <v>74</v>
      </c>
      <c r="BE954" t="s">
        <v>16280</v>
      </c>
      <c r="BF954" t="str">
        <f>HYPERLINK("http://dx.doi.org/10.1007/s12144-021-02638-y","http://dx.doi.org/10.1007/s12144-021-02638-y")</f>
        <v>http://dx.doi.org/10.1007/s12144-021-02638-y</v>
      </c>
      <c r="BG954" t="s">
        <v>74</v>
      </c>
      <c r="BH954" t="s">
        <v>9259</v>
      </c>
      <c r="BI954">
        <v>13</v>
      </c>
      <c r="BJ954" t="s">
        <v>3203</v>
      </c>
      <c r="BK954" t="s">
        <v>94</v>
      </c>
      <c r="BL954" t="s">
        <v>460</v>
      </c>
      <c r="BM954" t="s">
        <v>16281</v>
      </c>
      <c r="BN954" t="s">
        <v>74</v>
      </c>
      <c r="BO954" t="s">
        <v>111</v>
      </c>
      <c r="BP954" t="s">
        <v>74</v>
      </c>
      <c r="BQ954" t="s">
        <v>74</v>
      </c>
      <c r="BR954" t="s">
        <v>97</v>
      </c>
      <c r="BS954" t="s">
        <v>16282</v>
      </c>
      <c r="BT954" t="str">
        <f>HYPERLINK("https%3A%2F%2Fwww.webofscience.com%2Fwos%2Fwoscc%2Ffull-record%2FWOS:000745368300005","View Full Record in Web of Science")</f>
        <v>View Full Record in Web of Science</v>
      </c>
    </row>
    <row r="955" spans="1:72" x14ac:dyDescent="0.25">
      <c r="A955" t="s">
        <v>72</v>
      </c>
      <c r="B955" t="s">
        <v>16283</v>
      </c>
      <c r="C955" t="s">
        <v>74</v>
      </c>
      <c r="D955" t="s">
        <v>74</v>
      </c>
      <c r="E955" t="s">
        <v>74</v>
      </c>
      <c r="F955" t="s">
        <v>16284</v>
      </c>
      <c r="G955" t="s">
        <v>74</v>
      </c>
      <c r="H955" t="s">
        <v>74</v>
      </c>
      <c r="I955" t="s">
        <v>16285</v>
      </c>
      <c r="J955" t="s">
        <v>3184</v>
      </c>
      <c r="K955" t="s">
        <v>74</v>
      </c>
      <c r="L955" t="s">
        <v>74</v>
      </c>
      <c r="M955" t="s">
        <v>77</v>
      </c>
      <c r="N955" t="s">
        <v>78</v>
      </c>
      <c r="O955" t="s">
        <v>74</v>
      </c>
      <c r="P955" t="s">
        <v>74</v>
      </c>
      <c r="Q955" t="s">
        <v>74</v>
      </c>
      <c r="R955" t="s">
        <v>74</v>
      </c>
      <c r="S955" t="s">
        <v>74</v>
      </c>
      <c r="T955" t="s">
        <v>16286</v>
      </c>
      <c r="U955" t="s">
        <v>16287</v>
      </c>
      <c r="V955" t="s">
        <v>16288</v>
      </c>
      <c r="W955" t="s">
        <v>16289</v>
      </c>
      <c r="X955" t="s">
        <v>13906</v>
      </c>
      <c r="Y955" t="s">
        <v>16290</v>
      </c>
      <c r="Z955" t="s">
        <v>16291</v>
      </c>
      <c r="AA955" t="s">
        <v>74</v>
      </c>
      <c r="AB955" t="s">
        <v>74</v>
      </c>
      <c r="AC955" t="s">
        <v>16292</v>
      </c>
      <c r="AD955" t="s">
        <v>16293</v>
      </c>
      <c r="AE955" t="s">
        <v>16294</v>
      </c>
      <c r="AF955" t="s">
        <v>74</v>
      </c>
      <c r="AG955">
        <v>50</v>
      </c>
      <c r="AH955">
        <v>2</v>
      </c>
      <c r="AI955">
        <v>2</v>
      </c>
      <c r="AJ955">
        <v>24</v>
      </c>
      <c r="AK955">
        <v>75</v>
      </c>
      <c r="AL955" t="s">
        <v>3195</v>
      </c>
      <c r="AM955" t="s">
        <v>3196</v>
      </c>
      <c r="AN955" t="s">
        <v>3197</v>
      </c>
      <c r="AO955" t="s">
        <v>3198</v>
      </c>
      <c r="AP955" t="s">
        <v>74</v>
      </c>
      <c r="AQ955" t="s">
        <v>74</v>
      </c>
      <c r="AR955" t="s">
        <v>3199</v>
      </c>
      <c r="AS955" t="s">
        <v>3200</v>
      </c>
      <c r="AT955" t="s">
        <v>15075</v>
      </c>
      <c r="AU955">
        <v>2022</v>
      </c>
      <c r="AV955">
        <v>12</v>
      </c>
      <c r="AW955" t="s">
        <v>74</v>
      </c>
      <c r="AX955" t="s">
        <v>74</v>
      </c>
      <c r="AY955" t="s">
        <v>74</v>
      </c>
      <c r="AZ955" t="s">
        <v>74</v>
      </c>
      <c r="BA955" t="s">
        <v>74</v>
      </c>
      <c r="BB955" t="s">
        <v>74</v>
      </c>
      <c r="BC955" t="s">
        <v>74</v>
      </c>
      <c r="BD955">
        <v>794531</v>
      </c>
      <c r="BE955" t="s">
        <v>16295</v>
      </c>
      <c r="BF955" t="str">
        <f>HYPERLINK("http://dx.doi.org/10.3389/fpsyg.2021.794531","http://dx.doi.org/10.3389/fpsyg.2021.794531")</f>
        <v>http://dx.doi.org/10.3389/fpsyg.2021.794531</v>
      </c>
      <c r="BG955" t="s">
        <v>74</v>
      </c>
      <c r="BH955" t="s">
        <v>74</v>
      </c>
      <c r="BI955">
        <v>12</v>
      </c>
      <c r="BJ955" t="s">
        <v>3203</v>
      </c>
      <c r="BK955" t="s">
        <v>94</v>
      </c>
      <c r="BL955" t="s">
        <v>460</v>
      </c>
      <c r="BM955" t="s">
        <v>16296</v>
      </c>
      <c r="BN955">
        <v>35126244</v>
      </c>
      <c r="BO955" t="s">
        <v>4398</v>
      </c>
      <c r="BP955" t="s">
        <v>74</v>
      </c>
      <c r="BQ955" t="s">
        <v>74</v>
      </c>
      <c r="BR955" t="s">
        <v>97</v>
      </c>
      <c r="BS955" t="s">
        <v>16297</v>
      </c>
      <c r="BT955" t="str">
        <f>HYPERLINK("https%3A%2F%2Fwww.webofscience.com%2Fwos%2Fwoscc%2Ffull-record%2FWOS:000750603200001","View Full Record in Web of Science")</f>
        <v>View Full Record in Web of Science</v>
      </c>
    </row>
    <row r="956" spans="1:72" x14ac:dyDescent="0.25">
      <c r="A956" t="s">
        <v>72</v>
      </c>
      <c r="B956" t="s">
        <v>10558</v>
      </c>
      <c r="C956" t="s">
        <v>74</v>
      </c>
      <c r="D956" t="s">
        <v>74</v>
      </c>
      <c r="E956" t="s">
        <v>74</v>
      </c>
      <c r="F956" t="s">
        <v>10559</v>
      </c>
      <c r="G956" t="s">
        <v>74</v>
      </c>
      <c r="H956" t="s">
        <v>74</v>
      </c>
      <c r="I956" t="s">
        <v>16298</v>
      </c>
      <c r="J956" t="s">
        <v>6372</v>
      </c>
      <c r="K956" t="s">
        <v>74</v>
      </c>
      <c r="L956" t="s">
        <v>74</v>
      </c>
      <c r="M956" t="s">
        <v>77</v>
      </c>
      <c r="N956" t="s">
        <v>78</v>
      </c>
      <c r="O956" t="s">
        <v>74</v>
      </c>
      <c r="P956" t="s">
        <v>74</v>
      </c>
      <c r="Q956" t="s">
        <v>74</v>
      </c>
      <c r="R956" t="s">
        <v>74</v>
      </c>
      <c r="S956" t="s">
        <v>74</v>
      </c>
      <c r="T956" t="s">
        <v>16299</v>
      </c>
      <c r="U956" t="s">
        <v>16300</v>
      </c>
      <c r="V956" t="s">
        <v>16301</v>
      </c>
      <c r="W956" t="s">
        <v>16302</v>
      </c>
      <c r="X956" t="s">
        <v>6690</v>
      </c>
      <c r="Y956" t="s">
        <v>16303</v>
      </c>
      <c r="Z956" t="s">
        <v>10567</v>
      </c>
      <c r="AA956" t="s">
        <v>1784</v>
      </c>
      <c r="AB956" t="s">
        <v>10569</v>
      </c>
      <c r="AC956" t="s">
        <v>74</v>
      </c>
      <c r="AD956" t="s">
        <v>74</v>
      </c>
      <c r="AE956" t="s">
        <v>74</v>
      </c>
      <c r="AF956" t="s">
        <v>74</v>
      </c>
      <c r="AG956">
        <v>92</v>
      </c>
      <c r="AH956">
        <v>2</v>
      </c>
      <c r="AI956">
        <v>2</v>
      </c>
      <c r="AJ956">
        <v>4</v>
      </c>
      <c r="AK956">
        <v>23</v>
      </c>
      <c r="AL956" t="s">
        <v>2473</v>
      </c>
      <c r="AM956" t="s">
        <v>2102</v>
      </c>
      <c r="AN956" t="s">
        <v>2474</v>
      </c>
      <c r="AO956" t="s">
        <v>74</v>
      </c>
      <c r="AP956" t="s">
        <v>6384</v>
      </c>
      <c r="AQ956" t="s">
        <v>74</v>
      </c>
      <c r="AR956" t="s">
        <v>6385</v>
      </c>
      <c r="AS956" t="s">
        <v>6386</v>
      </c>
      <c r="AT956" t="s">
        <v>892</v>
      </c>
      <c r="AU956">
        <v>2022</v>
      </c>
      <c r="AV956">
        <v>19</v>
      </c>
      <c r="AW956">
        <v>1</v>
      </c>
      <c r="AX956" t="s">
        <v>74</v>
      </c>
      <c r="AY956" t="s">
        <v>74</v>
      </c>
      <c r="AZ956" t="s">
        <v>74</v>
      </c>
      <c r="BA956" t="s">
        <v>74</v>
      </c>
      <c r="BB956" t="s">
        <v>74</v>
      </c>
      <c r="BC956" t="s">
        <v>74</v>
      </c>
      <c r="BD956">
        <v>500</v>
      </c>
      <c r="BE956" t="s">
        <v>16304</v>
      </c>
      <c r="BF956" t="str">
        <f>HYPERLINK("http://dx.doi.org/10.3390/ijerph19010500","http://dx.doi.org/10.3390/ijerph19010500")</f>
        <v>http://dx.doi.org/10.3390/ijerph19010500</v>
      </c>
      <c r="BG956" t="s">
        <v>74</v>
      </c>
      <c r="BH956" t="s">
        <v>74</v>
      </c>
      <c r="BI956">
        <v>16</v>
      </c>
      <c r="BJ956" t="s">
        <v>6388</v>
      </c>
      <c r="BK956" t="s">
        <v>147</v>
      </c>
      <c r="BL956" t="s">
        <v>6389</v>
      </c>
      <c r="BM956" t="s">
        <v>16305</v>
      </c>
      <c r="BN956">
        <v>35010759</v>
      </c>
      <c r="BO956" t="s">
        <v>3205</v>
      </c>
      <c r="BP956" t="s">
        <v>74</v>
      </c>
      <c r="BQ956" t="s">
        <v>74</v>
      </c>
      <c r="BR956" t="s">
        <v>97</v>
      </c>
      <c r="BS956" t="s">
        <v>16306</v>
      </c>
      <c r="BT956" t="str">
        <f>HYPERLINK("https%3A%2F%2Fwww.webofscience.com%2Fwos%2Fwoscc%2Ffull-record%2FWOS:000743141400001","View Full Record in Web of Science")</f>
        <v>View Full Record in Web of Science</v>
      </c>
    </row>
    <row r="957" spans="1:72" x14ac:dyDescent="0.25">
      <c r="A957" t="s">
        <v>72</v>
      </c>
      <c r="B957" t="s">
        <v>16307</v>
      </c>
      <c r="C957" t="s">
        <v>74</v>
      </c>
      <c r="D957" t="s">
        <v>74</v>
      </c>
      <c r="E957" t="s">
        <v>74</v>
      </c>
      <c r="F957" t="s">
        <v>16308</v>
      </c>
      <c r="G957" t="s">
        <v>74</v>
      </c>
      <c r="H957" t="s">
        <v>74</v>
      </c>
      <c r="I957" t="s">
        <v>16309</v>
      </c>
      <c r="J957" t="s">
        <v>1186</v>
      </c>
      <c r="K957" t="s">
        <v>74</v>
      </c>
      <c r="L957" t="s">
        <v>74</v>
      </c>
      <c r="M957" t="s">
        <v>77</v>
      </c>
      <c r="N957" t="s">
        <v>78</v>
      </c>
      <c r="O957" t="s">
        <v>74</v>
      </c>
      <c r="P957" t="s">
        <v>74</v>
      </c>
      <c r="Q957" t="s">
        <v>74</v>
      </c>
      <c r="R957" t="s">
        <v>74</v>
      </c>
      <c r="S957" t="s">
        <v>74</v>
      </c>
      <c r="T957" t="s">
        <v>16310</v>
      </c>
      <c r="U957" t="s">
        <v>16311</v>
      </c>
      <c r="V957" t="s">
        <v>16312</v>
      </c>
      <c r="W957" t="s">
        <v>16313</v>
      </c>
      <c r="X957" t="s">
        <v>16314</v>
      </c>
      <c r="Y957" t="s">
        <v>16315</v>
      </c>
      <c r="Z957" t="s">
        <v>16316</v>
      </c>
      <c r="AA957" t="s">
        <v>74</v>
      </c>
      <c r="AB957" t="s">
        <v>16317</v>
      </c>
      <c r="AC957" t="s">
        <v>74</v>
      </c>
      <c r="AD957" t="s">
        <v>74</v>
      </c>
      <c r="AE957" t="s">
        <v>74</v>
      </c>
      <c r="AF957" t="s">
        <v>74</v>
      </c>
      <c r="AG957">
        <v>64</v>
      </c>
      <c r="AH957">
        <v>2</v>
      </c>
      <c r="AI957">
        <v>2</v>
      </c>
      <c r="AJ957">
        <v>1</v>
      </c>
      <c r="AK957">
        <v>18</v>
      </c>
      <c r="AL957" t="s">
        <v>766</v>
      </c>
      <c r="AM957" t="s">
        <v>1193</v>
      </c>
      <c r="AN957" t="s">
        <v>1498</v>
      </c>
      <c r="AO957" t="s">
        <v>1195</v>
      </c>
      <c r="AP957" t="s">
        <v>1499</v>
      </c>
      <c r="AQ957" t="s">
        <v>74</v>
      </c>
      <c r="AR957" t="s">
        <v>1196</v>
      </c>
      <c r="AS957" t="s">
        <v>1197</v>
      </c>
      <c r="AT957" t="s">
        <v>256</v>
      </c>
      <c r="AU957">
        <v>2022</v>
      </c>
      <c r="AV957">
        <v>59</v>
      </c>
      <c r="AW957">
        <v>3</v>
      </c>
      <c r="AX957" t="s">
        <v>74</v>
      </c>
      <c r="AY957" t="s">
        <v>74</v>
      </c>
      <c r="AZ957" t="s">
        <v>74</v>
      </c>
      <c r="BA957" t="s">
        <v>74</v>
      </c>
      <c r="BB957">
        <v>1081</v>
      </c>
      <c r="BC957">
        <v>1113</v>
      </c>
      <c r="BD957" t="s">
        <v>74</v>
      </c>
      <c r="BE957" t="s">
        <v>16318</v>
      </c>
      <c r="BF957" t="str">
        <f>HYPERLINK("http://dx.doi.org/10.1007/s11187-021-00575-5","http://dx.doi.org/10.1007/s11187-021-00575-5")</f>
        <v>http://dx.doi.org/10.1007/s11187-021-00575-5</v>
      </c>
      <c r="BG957" t="s">
        <v>74</v>
      </c>
      <c r="BH957" t="s">
        <v>9273</v>
      </c>
      <c r="BI957">
        <v>33</v>
      </c>
      <c r="BJ957" t="s">
        <v>1199</v>
      </c>
      <c r="BK957" t="s">
        <v>94</v>
      </c>
      <c r="BL957" t="s">
        <v>95</v>
      </c>
      <c r="BM957" t="s">
        <v>16319</v>
      </c>
      <c r="BN957" t="s">
        <v>74</v>
      </c>
      <c r="BO957" t="s">
        <v>74</v>
      </c>
      <c r="BP957" t="s">
        <v>74</v>
      </c>
      <c r="BQ957" t="s">
        <v>74</v>
      </c>
      <c r="BR957" t="s">
        <v>97</v>
      </c>
      <c r="BS957" t="s">
        <v>16320</v>
      </c>
      <c r="BT957" t="str">
        <f>HYPERLINK("https%3A%2F%2Fwww.webofscience.com%2Fwos%2Fwoscc%2Ffull-record%2FWOS:000734343300001","View Full Record in Web of Science")</f>
        <v>View Full Record in Web of Science</v>
      </c>
    </row>
    <row r="958" spans="1:72" x14ac:dyDescent="0.25">
      <c r="A958" t="s">
        <v>72</v>
      </c>
      <c r="B958" t="s">
        <v>16321</v>
      </c>
      <c r="C958" t="s">
        <v>74</v>
      </c>
      <c r="D958" t="s">
        <v>74</v>
      </c>
      <c r="E958" t="s">
        <v>74</v>
      </c>
      <c r="F958" t="s">
        <v>16322</v>
      </c>
      <c r="G958" t="s">
        <v>74</v>
      </c>
      <c r="H958" t="s">
        <v>74</v>
      </c>
      <c r="I958" t="s">
        <v>16323</v>
      </c>
      <c r="J958" t="s">
        <v>4325</v>
      </c>
      <c r="K958" t="s">
        <v>74</v>
      </c>
      <c r="L958" t="s">
        <v>74</v>
      </c>
      <c r="M958" t="s">
        <v>77</v>
      </c>
      <c r="N958" t="s">
        <v>78</v>
      </c>
      <c r="O958" t="s">
        <v>74</v>
      </c>
      <c r="P958" t="s">
        <v>74</v>
      </c>
      <c r="Q958" t="s">
        <v>74</v>
      </c>
      <c r="R958" t="s">
        <v>74</v>
      </c>
      <c r="S958" t="s">
        <v>74</v>
      </c>
      <c r="T958" t="s">
        <v>16324</v>
      </c>
      <c r="U958" t="s">
        <v>16325</v>
      </c>
      <c r="V958" t="s">
        <v>16326</v>
      </c>
      <c r="W958" t="s">
        <v>16327</v>
      </c>
      <c r="X958" t="s">
        <v>16328</v>
      </c>
      <c r="Y958" t="s">
        <v>16329</v>
      </c>
      <c r="Z958" t="s">
        <v>16330</v>
      </c>
      <c r="AA958" t="s">
        <v>74</v>
      </c>
      <c r="AB958" t="s">
        <v>74</v>
      </c>
      <c r="AC958" t="s">
        <v>74</v>
      </c>
      <c r="AD958" t="s">
        <v>74</v>
      </c>
      <c r="AE958" t="s">
        <v>74</v>
      </c>
      <c r="AF958" t="s">
        <v>74</v>
      </c>
      <c r="AG958">
        <v>62</v>
      </c>
      <c r="AH958">
        <v>2</v>
      </c>
      <c r="AI958">
        <v>2</v>
      </c>
      <c r="AJ958">
        <v>1</v>
      </c>
      <c r="AK958">
        <v>13</v>
      </c>
      <c r="AL958" t="s">
        <v>218</v>
      </c>
      <c r="AM958" t="s">
        <v>219</v>
      </c>
      <c r="AN958" t="s">
        <v>220</v>
      </c>
      <c r="AO958" t="s">
        <v>4332</v>
      </c>
      <c r="AP958" t="s">
        <v>4333</v>
      </c>
      <c r="AQ958" t="s">
        <v>74</v>
      </c>
      <c r="AR958" t="s">
        <v>4334</v>
      </c>
      <c r="AS958" t="s">
        <v>4335</v>
      </c>
      <c r="AT958" t="s">
        <v>200</v>
      </c>
      <c r="AU958">
        <v>2022</v>
      </c>
      <c r="AV958">
        <v>31</v>
      </c>
      <c r="AW958">
        <v>1</v>
      </c>
      <c r="AX958" t="s">
        <v>74</v>
      </c>
      <c r="AY958" t="s">
        <v>74</v>
      </c>
      <c r="AZ958" t="s">
        <v>74</v>
      </c>
      <c r="BA958" t="s">
        <v>74</v>
      </c>
      <c r="BB958">
        <v>141</v>
      </c>
      <c r="BC958">
        <v>151</v>
      </c>
      <c r="BD958" t="s">
        <v>74</v>
      </c>
      <c r="BE958" t="s">
        <v>16331</v>
      </c>
      <c r="BF958" t="str">
        <f>HYPERLINK("http://dx.doi.org/10.1111/caim.12476","http://dx.doi.org/10.1111/caim.12476")</f>
        <v>http://dx.doi.org/10.1111/caim.12476</v>
      </c>
      <c r="BG958" t="s">
        <v>74</v>
      </c>
      <c r="BH958" t="s">
        <v>9273</v>
      </c>
      <c r="BI958">
        <v>11</v>
      </c>
      <c r="BJ958" t="s">
        <v>442</v>
      </c>
      <c r="BK958" t="s">
        <v>94</v>
      </c>
      <c r="BL958" t="s">
        <v>95</v>
      </c>
      <c r="BM958" t="s">
        <v>15043</v>
      </c>
      <c r="BN958" t="s">
        <v>74</v>
      </c>
      <c r="BO958" t="s">
        <v>74</v>
      </c>
      <c r="BP958" t="s">
        <v>74</v>
      </c>
      <c r="BQ958" t="s">
        <v>74</v>
      </c>
      <c r="BR958" t="s">
        <v>97</v>
      </c>
      <c r="BS958" t="s">
        <v>16332</v>
      </c>
      <c r="BT958" t="str">
        <f>HYPERLINK("https%3A%2F%2Fwww.webofscience.com%2Fwos%2Fwoscc%2Ffull-record%2FWOS:000731514700001","View Full Record in Web of Science")</f>
        <v>View Full Record in Web of Science</v>
      </c>
    </row>
    <row r="959" spans="1:72" x14ac:dyDescent="0.25">
      <c r="A959" t="s">
        <v>72</v>
      </c>
      <c r="B959" t="s">
        <v>16333</v>
      </c>
      <c r="C959" t="s">
        <v>74</v>
      </c>
      <c r="D959" t="s">
        <v>74</v>
      </c>
      <c r="E959" t="s">
        <v>74</v>
      </c>
      <c r="F959" t="s">
        <v>16334</v>
      </c>
      <c r="G959" t="s">
        <v>74</v>
      </c>
      <c r="H959" t="s">
        <v>74</v>
      </c>
      <c r="I959" t="s">
        <v>16335</v>
      </c>
      <c r="J959" t="s">
        <v>7776</v>
      </c>
      <c r="K959" t="s">
        <v>74</v>
      </c>
      <c r="L959" t="s">
        <v>74</v>
      </c>
      <c r="M959" t="s">
        <v>77</v>
      </c>
      <c r="N959" t="s">
        <v>78</v>
      </c>
      <c r="O959" t="s">
        <v>74</v>
      </c>
      <c r="P959" t="s">
        <v>74</v>
      </c>
      <c r="Q959" t="s">
        <v>74</v>
      </c>
      <c r="R959" t="s">
        <v>74</v>
      </c>
      <c r="S959" t="s">
        <v>74</v>
      </c>
      <c r="T959" t="s">
        <v>16336</v>
      </c>
      <c r="U959" t="s">
        <v>16337</v>
      </c>
      <c r="V959" t="s">
        <v>16338</v>
      </c>
      <c r="W959" t="s">
        <v>16339</v>
      </c>
      <c r="X959" t="s">
        <v>16340</v>
      </c>
      <c r="Y959" t="s">
        <v>16341</v>
      </c>
      <c r="Z959" t="s">
        <v>16342</v>
      </c>
      <c r="AA959" t="s">
        <v>16343</v>
      </c>
      <c r="AB959" t="s">
        <v>16344</v>
      </c>
      <c r="AC959" t="s">
        <v>74</v>
      </c>
      <c r="AD959" t="s">
        <v>74</v>
      </c>
      <c r="AE959" t="s">
        <v>74</v>
      </c>
      <c r="AF959" t="s">
        <v>74</v>
      </c>
      <c r="AG959">
        <v>89</v>
      </c>
      <c r="AH959">
        <v>2</v>
      </c>
      <c r="AI959">
        <v>2</v>
      </c>
      <c r="AJ959">
        <v>2</v>
      </c>
      <c r="AK959">
        <v>11</v>
      </c>
      <c r="AL959" t="s">
        <v>1533</v>
      </c>
      <c r="AM959" t="s">
        <v>1534</v>
      </c>
      <c r="AN959" t="s">
        <v>1535</v>
      </c>
      <c r="AO959" t="s">
        <v>7787</v>
      </c>
      <c r="AP959" t="s">
        <v>7788</v>
      </c>
      <c r="AQ959" t="s">
        <v>74</v>
      </c>
      <c r="AR959" t="s">
        <v>7789</v>
      </c>
      <c r="AS959" t="s">
        <v>7790</v>
      </c>
      <c r="AT959" t="s">
        <v>200</v>
      </c>
      <c r="AU959">
        <v>2022</v>
      </c>
      <c r="AV959">
        <v>16</v>
      </c>
      <c r="AW959">
        <v>1</v>
      </c>
      <c r="AX959" t="s">
        <v>74</v>
      </c>
      <c r="AY959" t="s">
        <v>74</v>
      </c>
      <c r="AZ959" t="s">
        <v>74</v>
      </c>
      <c r="BA959" t="s">
        <v>74</v>
      </c>
      <c r="BB959">
        <v>159</v>
      </c>
      <c r="BC959">
        <v>186</v>
      </c>
      <c r="BD959" t="s">
        <v>74</v>
      </c>
      <c r="BE959" t="s">
        <v>16345</v>
      </c>
      <c r="BF959" t="str">
        <f>HYPERLINK("http://dx.doi.org/10.1007/s11628-021-00473-6","http://dx.doi.org/10.1007/s11628-021-00473-6")</f>
        <v>http://dx.doi.org/10.1007/s11628-021-00473-6</v>
      </c>
      <c r="BG959" t="s">
        <v>74</v>
      </c>
      <c r="BH959" t="s">
        <v>12650</v>
      </c>
      <c r="BI959">
        <v>28</v>
      </c>
      <c r="BJ959" t="s">
        <v>93</v>
      </c>
      <c r="BK959" t="s">
        <v>94</v>
      </c>
      <c r="BL959" t="s">
        <v>95</v>
      </c>
      <c r="BM959" t="s">
        <v>16346</v>
      </c>
      <c r="BN959" t="s">
        <v>74</v>
      </c>
      <c r="BO959" t="s">
        <v>74</v>
      </c>
      <c r="BP959" t="s">
        <v>74</v>
      </c>
      <c r="BQ959" t="s">
        <v>74</v>
      </c>
      <c r="BR959" t="s">
        <v>97</v>
      </c>
      <c r="BS959" t="s">
        <v>16347</v>
      </c>
      <c r="BT959" t="str">
        <f>HYPERLINK("https%3A%2F%2Fwww.webofscience.com%2Fwos%2Fwoscc%2Ffull-record%2FWOS:000721398400001","View Full Record in Web of Science")</f>
        <v>View Full Record in Web of Science</v>
      </c>
    </row>
    <row r="960" spans="1:72" x14ac:dyDescent="0.25">
      <c r="A960" t="s">
        <v>72</v>
      </c>
      <c r="B960" t="s">
        <v>16348</v>
      </c>
      <c r="C960" t="s">
        <v>74</v>
      </c>
      <c r="D960" t="s">
        <v>74</v>
      </c>
      <c r="E960" t="s">
        <v>74</v>
      </c>
      <c r="F960" t="s">
        <v>16349</v>
      </c>
      <c r="G960" t="s">
        <v>74</v>
      </c>
      <c r="H960" t="s">
        <v>74</v>
      </c>
      <c r="I960" t="s">
        <v>16350</v>
      </c>
      <c r="J960" t="s">
        <v>3184</v>
      </c>
      <c r="K960" t="s">
        <v>74</v>
      </c>
      <c r="L960" t="s">
        <v>74</v>
      </c>
      <c r="M960" t="s">
        <v>77</v>
      </c>
      <c r="N960" t="s">
        <v>78</v>
      </c>
      <c r="O960" t="s">
        <v>74</v>
      </c>
      <c r="P960" t="s">
        <v>74</v>
      </c>
      <c r="Q960" t="s">
        <v>74</v>
      </c>
      <c r="R960" t="s">
        <v>74</v>
      </c>
      <c r="S960" t="s">
        <v>74</v>
      </c>
      <c r="T960" t="s">
        <v>16351</v>
      </c>
      <c r="U960" t="s">
        <v>16352</v>
      </c>
      <c r="V960" t="s">
        <v>16353</v>
      </c>
      <c r="W960" t="s">
        <v>16354</v>
      </c>
      <c r="X960" t="s">
        <v>16355</v>
      </c>
      <c r="Y960" t="s">
        <v>16356</v>
      </c>
      <c r="Z960" t="s">
        <v>16357</v>
      </c>
      <c r="AA960" t="s">
        <v>74</v>
      </c>
      <c r="AB960" t="s">
        <v>74</v>
      </c>
      <c r="AC960" t="s">
        <v>74</v>
      </c>
      <c r="AD960" t="s">
        <v>74</v>
      </c>
      <c r="AE960" t="s">
        <v>74</v>
      </c>
      <c r="AF960" t="s">
        <v>74</v>
      </c>
      <c r="AG960">
        <v>105</v>
      </c>
      <c r="AH960">
        <v>2</v>
      </c>
      <c r="AI960">
        <v>2</v>
      </c>
      <c r="AJ960">
        <v>24</v>
      </c>
      <c r="AK960">
        <v>64</v>
      </c>
      <c r="AL960" t="s">
        <v>3195</v>
      </c>
      <c r="AM960" t="s">
        <v>3196</v>
      </c>
      <c r="AN960" t="s">
        <v>3197</v>
      </c>
      <c r="AO960" t="s">
        <v>3198</v>
      </c>
      <c r="AP960" t="s">
        <v>74</v>
      </c>
      <c r="AQ960" t="s">
        <v>74</v>
      </c>
      <c r="AR960" t="s">
        <v>3199</v>
      </c>
      <c r="AS960" t="s">
        <v>3200</v>
      </c>
      <c r="AT960" t="s">
        <v>16358</v>
      </c>
      <c r="AU960">
        <v>2021</v>
      </c>
      <c r="AV960">
        <v>12</v>
      </c>
      <c r="AW960" t="s">
        <v>74</v>
      </c>
      <c r="AX960" t="s">
        <v>74</v>
      </c>
      <c r="AY960" t="s">
        <v>74</v>
      </c>
      <c r="AZ960" t="s">
        <v>74</v>
      </c>
      <c r="BA960" t="s">
        <v>74</v>
      </c>
      <c r="BB960" t="s">
        <v>74</v>
      </c>
      <c r="BC960" t="s">
        <v>74</v>
      </c>
      <c r="BD960">
        <v>734484</v>
      </c>
      <c r="BE960" t="s">
        <v>16359</v>
      </c>
      <c r="BF960" t="str">
        <f>HYPERLINK("http://dx.doi.org/10.3389/fpsyg.2021.734484","http://dx.doi.org/10.3389/fpsyg.2021.734484")</f>
        <v>http://dx.doi.org/10.3389/fpsyg.2021.734484</v>
      </c>
      <c r="BG960" t="s">
        <v>74</v>
      </c>
      <c r="BH960" t="s">
        <v>74</v>
      </c>
      <c r="BI960">
        <v>12</v>
      </c>
      <c r="BJ960" t="s">
        <v>3203</v>
      </c>
      <c r="BK960" t="s">
        <v>94</v>
      </c>
      <c r="BL960" t="s">
        <v>460</v>
      </c>
      <c r="BM960" t="s">
        <v>16360</v>
      </c>
      <c r="BN960">
        <v>34803815</v>
      </c>
      <c r="BO960" t="s">
        <v>3205</v>
      </c>
      <c r="BP960" t="s">
        <v>74</v>
      </c>
      <c r="BQ960" t="s">
        <v>74</v>
      </c>
      <c r="BR960" t="s">
        <v>97</v>
      </c>
      <c r="BS960" t="s">
        <v>16361</v>
      </c>
      <c r="BT960" t="str">
        <f>HYPERLINK("https%3A%2F%2Fwww.webofscience.com%2Fwos%2Fwoscc%2Ffull-record%2FWOS:000720309000001","View Full Record in Web of Science")</f>
        <v>View Full Record in Web of Science</v>
      </c>
    </row>
    <row r="961" spans="1:72" x14ac:dyDescent="0.25">
      <c r="A961" t="s">
        <v>72</v>
      </c>
      <c r="B961" t="s">
        <v>16362</v>
      </c>
      <c r="C961" t="s">
        <v>74</v>
      </c>
      <c r="D961" t="s">
        <v>74</v>
      </c>
      <c r="E961" t="s">
        <v>74</v>
      </c>
      <c r="F961" t="s">
        <v>16363</v>
      </c>
      <c r="G961" t="s">
        <v>74</v>
      </c>
      <c r="H961" t="s">
        <v>74</v>
      </c>
      <c r="I961" t="s">
        <v>16364</v>
      </c>
      <c r="J961" t="s">
        <v>5442</v>
      </c>
      <c r="K961" t="s">
        <v>74</v>
      </c>
      <c r="L961" t="s">
        <v>74</v>
      </c>
      <c r="M961" t="s">
        <v>77</v>
      </c>
      <c r="N961" t="s">
        <v>10095</v>
      </c>
      <c r="O961" t="s">
        <v>74</v>
      </c>
      <c r="P961" t="s">
        <v>74</v>
      </c>
      <c r="Q961" t="s">
        <v>74</v>
      </c>
      <c r="R961" t="s">
        <v>74</v>
      </c>
      <c r="S961" t="s">
        <v>74</v>
      </c>
      <c r="T961" t="s">
        <v>16365</v>
      </c>
      <c r="U961" t="s">
        <v>16366</v>
      </c>
      <c r="V961" t="s">
        <v>16367</v>
      </c>
      <c r="W961" t="s">
        <v>16368</v>
      </c>
      <c r="X961" t="s">
        <v>16369</v>
      </c>
      <c r="Y961" t="s">
        <v>16370</v>
      </c>
      <c r="Z961" t="s">
        <v>16371</v>
      </c>
      <c r="AA961" t="s">
        <v>16372</v>
      </c>
      <c r="AB961" t="s">
        <v>16373</v>
      </c>
      <c r="AC961" t="s">
        <v>74</v>
      </c>
      <c r="AD961" t="s">
        <v>74</v>
      </c>
      <c r="AE961" t="s">
        <v>74</v>
      </c>
      <c r="AF961" t="s">
        <v>74</v>
      </c>
      <c r="AG961">
        <v>80</v>
      </c>
      <c r="AH961">
        <v>2</v>
      </c>
      <c r="AI961">
        <v>2</v>
      </c>
      <c r="AJ961">
        <v>17</v>
      </c>
      <c r="AK961">
        <v>35</v>
      </c>
      <c r="AL961" t="s">
        <v>5452</v>
      </c>
      <c r="AM961" t="s">
        <v>5453</v>
      </c>
      <c r="AN961" t="s">
        <v>5454</v>
      </c>
      <c r="AO961" t="s">
        <v>5455</v>
      </c>
      <c r="AP961" t="s">
        <v>5456</v>
      </c>
      <c r="AQ961" t="s">
        <v>74</v>
      </c>
      <c r="AR961" t="s">
        <v>5457</v>
      </c>
      <c r="AS961" t="s">
        <v>5458</v>
      </c>
      <c r="AT961" t="s">
        <v>74</v>
      </c>
      <c r="AU961" t="s">
        <v>74</v>
      </c>
      <c r="AV961" t="s">
        <v>74</v>
      </c>
      <c r="AW961" t="s">
        <v>74</v>
      </c>
      <c r="AX961" t="s">
        <v>74</v>
      </c>
      <c r="AY961" t="s">
        <v>74</v>
      </c>
      <c r="AZ961" t="s">
        <v>74</v>
      </c>
      <c r="BA961" t="s">
        <v>74</v>
      </c>
      <c r="BB961" t="s">
        <v>74</v>
      </c>
      <c r="BC961" t="s">
        <v>74</v>
      </c>
      <c r="BD961" t="s">
        <v>16374</v>
      </c>
      <c r="BE961" t="s">
        <v>16375</v>
      </c>
      <c r="BF961" t="str">
        <f>HYPERLINK("http://dx.doi.org/10.1017/jmo.2021.54","http://dx.doi.org/10.1017/jmo.2021.54")</f>
        <v>http://dx.doi.org/10.1017/jmo.2021.54</v>
      </c>
      <c r="BG961" t="s">
        <v>74</v>
      </c>
      <c r="BH961" t="s">
        <v>12650</v>
      </c>
      <c r="BI961">
        <v>23</v>
      </c>
      <c r="BJ961" t="s">
        <v>442</v>
      </c>
      <c r="BK961" t="s">
        <v>94</v>
      </c>
      <c r="BL961" t="s">
        <v>95</v>
      </c>
      <c r="BM961" t="s">
        <v>16376</v>
      </c>
      <c r="BN961" t="s">
        <v>74</v>
      </c>
      <c r="BO961" t="s">
        <v>111</v>
      </c>
      <c r="BP961" t="s">
        <v>74</v>
      </c>
      <c r="BQ961" t="s">
        <v>74</v>
      </c>
      <c r="BR961" t="s">
        <v>97</v>
      </c>
      <c r="BS961" t="s">
        <v>16377</v>
      </c>
      <c r="BT961" t="str">
        <f>HYPERLINK("https%3A%2F%2Fwww.webofscience.com%2Fwos%2Fwoscc%2Ffull-record%2FWOS:000776343900001","View Full Record in Web of Science")</f>
        <v>View Full Record in Web of Science</v>
      </c>
    </row>
    <row r="962" spans="1:72" x14ac:dyDescent="0.25">
      <c r="A962" t="s">
        <v>72</v>
      </c>
      <c r="B962" t="s">
        <v>16378</v>
      </c>
      <c r="C962" t="s">
        <v>74</v>
      </c>
      <c r="D962" t="s">
        <v>74</v>
      </c>
      <c r="E962" t="s">
        <v>74</v>
      </c>
      <c r="F962" t="s">
        <v>16379</v>
      </c>
      <c r="G962" t="s">
        <v>74</v>
      </c>
      <c r="H962" t="s">
        <v>74</v>
      </c>
      <c r="I962" t="s">
        <v>16380</v>
      </c>
      <c r="J962" t="s">
        <v>3123</v>
      </c>
      <c r="K962" t="s">
        <v>74</v>
      </c>
      <c r="L962" t="s">
        <v>74</v>
      </c>
      <c r="M962" t="s">
        <v>77</v>
      </c>
      <c r="N962" t="s">
        <v>78</v>
      </c>
      <c r="O962" t="s">
        <v>74</v>
      </c>
      <c r="P962" t="s">
        <v>74</v>
      </c>
      <c r="Q962" t="s">
        <v>74</v>
      </c>
      <c r="R962" t="s">
        <v>74</v>
      </c>
      <c r="S962" t="s">
        <v>74</v>
      </c>
      <c r="T962" t="s">
        <v>16381</v>
      </c>
      <c r="U962" t="s">
        <v>16382</v>
      </c>
      <c r="V962" t="s">
        <v>16383</v>
      </c>
      <c r="W962" t="s">
        <v>16384</v>
      </c>
      <c r="X962" t="s">
        <v>16385</v>
      </c>
      <c r="Y962" t="s">
        <v>16386</v>
      </c>
      <c r="Z962" t="s">
        <v>16387</v>
      </c>
      <c r="AA962" t="s">
        <v>74</v>
      </c>
      <c r="AB962" t="s">
        <v>74</v>
      </c>
      <c r="AC962" t="s">
        <v>74</v>
      </c>
      <c r="AD962" t="s">
        <v>74</v>
      </c>
      <c r="AE962" t="s">
        <v>74</v>
      </c>
      <c r="AF962" t="s">
        <v>74</v>
      </c>
      <c r="AG962">
        <v>92</v>
      </c>
      <c r="AH962">
        <v>2</v>
      </c>
      <c r="AI962">
        <v>2</v>
      </c>
      <c r="AJ962">
        <v>16</v>
      </c>
      <c r="AK962">
        <v>38</v>
      </c>
      <c r="AL962" t="s">
        <v>766</v>
      </c>
      <c r="AM962" t="s">
        <v>330</v>
      </c>
      <c r="AN962" t="s">
        <v>1452</v>
      </c>
      <c r="AO962" t="s">
        <v>3132</v>
      </c>
      <c r="AP962" t="s">
        <v>3133</v>
      </c>
      <c r="AQ962" t="s">
        <v>74</v>
      </c>
      <c r="AR962" t="s">
        <v>3134</v>
      </c>
      <c r="AS962" t="s">
        <v>3135</v>
      </c>
      <c r="AT962" t="s">
        <v>91</v>
      </c>
      <c r="AU962">
        <v>2023</v>
      </c>
      <c r="AV962">
        <v>40</v>
      </c>
      <c r="AW962">
        <v>2</v>
      </c>
      <c r="AX962" t="s">
        <v>74</v>
      </c>
      <c r="AY962" t="s">
        <v>74</v>
      </c>
      <c r="AZ962" t="s">
        <v>74</v>
      </c>
      <c r="BA962" t="s">
        <v>74</v>
      </c>
      <c r="BB962">
        <v>575</v>
      </c>
      <c r="BC962">
        <v>612</v>
      </c>
      <c r="BD962" t="s">
        <v>74</v>
      </c>
      <c r="BE962" t="s">
        <v>16388</v>
      </c>
      <c r="BF962" t="str">
        <f>HYPERLINK("http://dx.doi.org/10.1007/s10490-021-09793-7","http://dx.doi.org/10.1007/s10490-021-09793-7")</f>
        <v>http://dx.doi.org/10.1007/s10490-021-09793-7</v>
      </c>
      <c r="BG962" t="s">
        <v>74</v>
      </c>
      <c r="BH962" t="s">
        <v>7655</v>
      </c>
      <c r="BI962">
        <v>38</v>
      </c>
      <c r="BJ962" t="s">
        <v>442</v>
      </c>
      <c r="BK962" t="s">
        <v>94</v>
      </c>
      <c r="BL962" t="s">
        <v>95</v>
      </c>
      <c r="BM962" t="s">
        <v>16389</v>
      </c>
      <c r="BN962" t="s">
        <v>74</v>
      </c>
      <c r="BO962" t="s">
        <v>74</v>
      </c>
      <c r="BP962" t="s">
        <v>74</v>
      </c>
      <c r="BQ962" t="s">
        <v>74</v>
      </c>
      <c r="BR962" t="s">
        <v>97</v>
      </c>
      <c r="BS962" t="s">
        <v>16390</v>
      </c>
      <c r="BT962" t="str">
        <f>HYPERLINK("https%3A%2F%2Fwww.webofscience.com%2Fwos%2Fwoscc%2Ffull-record%2FWOS:000712926100001","View Full Record in Web of Science")</f>
        <v>View Full Record in Web of Science</v>
      </c>
    </row>
    <row r="963" spans="1:72" x14ac:dyDescent="0.25">
      <c r="A963" t="s">
        <v>72</v>
      </c>
      <c r="B963" t="s">
        <v>16391</v>
      </c>
      <c r="C963" t="s">
        <v>74</v>
      </c>
      <c r="D963" t="s">
        <v>74</v>
      </c>
      <c r="E963" t="s">
        <v>74</v>
      </c>
      <c r="F963" t="s">
        <v>16392</v>
      </c>
      <c r="G963" t="s">
        <v>74</v>
      </c>
      <c r="H963" t="s">
        <v>74</v>
      </c>
      <c r="I963" t="s">
        <v>16393</v>
      </c>
      <c r="J963" t="s">
        <v>8105</v>
      </c>
      <c r="K963" t="s">
        <v>74</v>
      </c>
      <c r="L963" t="s">
        <v>74</v>
      </c>
      <c r="M963" t="s">
        <v>77</v>
      </c>
      <c r="N963" t="s">
        <v>78</v>
      </c>
      <c r="O963" t="s">
        <v>74</v>
      </c>
      <c r="P963" t="s">
        <v>74</v>
      </c>
      <c r="Q963" t="s">
        <v>74</v>
      </c>
      <c r="R963" t="s">
        <v>74</v>
      </c>
      <c r="S963" t="s">
        <v>74</v>
      </c>
      <c r="T963" t="s">
        <v>16394</v>
      </c>
      <c r="U963" t="s">
        <v>16395</v>
      </c>
      <c r="V963" t="s">
        <v>16396</v>
      </c>
      <c r="W963" t="s">
        <v>16397</v>
      </c>
      <c r="X963" t="s">
        <v>16398</v>
      </c>
      <c r="Y963" t="s">
        <v>16399</v>
      </c>
      <c r="Z963" t="s">
        <v>16400</v>
      </c>
      <c r="AA963" t="s">
        <v>16401</v>
      </c>
      <c r="AB963" t="s">
        <v>16402</v>
      </c>
      <c r="AC963" t="s">
        <v>16403</v>
      </c>
      <c r="AD963" t="s">
        <v>16404</v>
      </c>
      <c r="AE963" t="s">
        <v>16405</v>
      </c>
      <c r="AF963" t="s">
        <v>74</v>
      </c>
      <c r="AG963">
        <v>59</v>
      </c>
      <c r="AH963">
        <v>2</v>
      </c>
      <c r="AI963">
        <v>2</v>
      </c>
      <c r="AJ963">
        <v>3</v>
      </c>
      <c r="AK963">
        <v>18</v>
      </c>
      <c r="AL963" t="s">
        <v>1533</v>
      </c>
      <c r="AM963" t="s">
        <v>1534</v>
      </c>
      <c r="AN963" t="s">
        <v>1535</v>
      </c>
      <c r="AO963" t="s">
        <v>8118</v>
      </c>
      <c r="AP963" t="s">
        <v>8119</v>
      </c>
      <c r="AQ963" t="s">
        <v>74</v>
      </c>
      <c r="AR963" t="s">
        <v>8120</v>
      </c>
      <c r="AS963" t="s">
        <v>8121</v>
      </c>
      <c r="AT963" t="s">
        <v>91</v>
      </c>
      <c r="AU963">
        <v>2022</v>
      </c>
      <c r="AV963">
        <v>25</v>
      </c>
      <c r="AW963">
        <v>3</v>
      </c>
      <c r="AX963" t="s">
        <v>74</v>
      </c>
      <c r="AY963" t="s">
        <v>74</v>
      </c>
      <c r="AZ963" t="s">
        <v>74</v>
      </c>
      <c r="BA963" t="s">
        <v>74</v>
      </c>
      <c r="BB963">
        <v>529</v>
      </c>
      <c r="BC963">
        <v>543</v>
      </c>
      <c r="BD963" t="s">
        <v>74</v>
      </c>
      <c r="BE963" t="s">
        <v>16406</v>
      </c>
      <c r="BF963" t="str">
        <f>HYPERLINK("http://dx.doi.org/10.1007/s10071-021-01569-2","http://dx.doi.org/10.1007/s10071-021-01569-2")</f>
        <v>http://dx.doi.org/10.1007/s10071-021-01569-2</v>
      </c>
      <c r="BG963" t="s">
        <v>74</v>
      </c>
      <c r="BH963" t="s">
        <v>7655</v>
      </c>
      <c r="BI963">
        <v>15</v>
      </c>
      <c r="BJ963" t="s">
        <v>6099</v>
      </c>
      <c r="BK963" t="s">
        <v>147</v>
      </c>
      <c r="BL963" t="s">
        <v>6099</v>
      </c>
      <c r="BM963" t="s">
        <v>16407</v>
      </c>
      <c r="BN963">
        <v>34709499</v>
      </c>
      <c r="BO963" t="s">
        <v>74</v>
      </c>
      <c r="BP963" t="s">
        <v>74</v>
      </c>
      <c r="BQ963" t="s">
        <v>74</v>
      </c>
      <c r="BR963" t="s">
        <v>97</v>
      </c>
      <c r="BS963" t="s">
        <v>16408</v>
      </c>
      <c r="BT963" t="str">
        <f>HYPERLINK("https%3A%2F%2Fwww.webofscience.com%2Fwos%2Fwoscc%2Ffull-record%2FWOS:000712168800001","View Full Record in Web of Science")</f>
        <v>View Full Record in Web of Science</v>
      </c>
    </row>
    <row r="964" spans="1:72" x14ac:dyDescent="0.25">
      <c r="A964" t="s">
        <v>72</v>
      </c>
      <c r="B964" t="s">
        <v>16409</v>
      </c>
      <c r="C964" t="s">
        <v>74</v>
      </c>
      <c r="D964" t="s">
        <v>74</v>
      </c>
      <c r="E964" t="s">
        <v>74</v>
      </c>
      <c r="F964" t="s">
        <v>16410</v>
      </c>
      <c r="G964" t="s">
        <v>74</v>
      </c>
      <c r="H964" t="s">
        <v>74</v>
      </c>
      <c r="I964" t="s">
        <v>16411</v>
      </c>
      <c r="J964" t="s">
        <v>4325</v>
      </c>
      <c r="K964" t="s">
        <v>74</v>
      </c>
      <c r="L964" t="s">
        <v>74</v>
      </c>
      <c r="M964" t="s">
        <v>77</v>
      </c>
      <c r="N964" t="s">
        <v>78</v>
      </c>
      <c r="O964" t="s">
        <v>74</v>
      </c>
      <c r="P964" t="s">
        <v>74</v>
      </c>
      <c r="Q964" t="s">
        <v>74</v>
      </c>
      <c r="R964" t="s">
        <v>74</v>
      </c>
      <c r="S964" t="s">
        <v>74</v>
      </c>
      <c r="T964" t="s">
        <v>16412</v>
      </c>
      <c r="U964" t="s">
        <v>16413</v>
      </c>
      <c r="V964" t="s">
        <v>16414</v>
      </c>
      <c r="W964" t="s">
        <v>16415</v>
      </c>
      <c r="X964" t="s">
        <v>13206</v>
      </c>
      <c r="Y964" t="s">
        <v>16416</v>
      </c>
      <c r="Z964" t="s">
        <v>13208</v>
      </c>
      <c r="AA964" t="s">
        <v>13209</v>
      </c>
      <c r="AB964" t="s">
        <v>13210</v>
      </c>
      <c r="AC964" t="s">
        <v>74</v>
      </c>
      <c r="AD964" t="s">
        <v>74</v>
      </c>
      <c r="AE964" t="s">
        <v>74</v>
      </c>
      <c r="AF964" t="s">
        <v>74</v>
      </c>
      <c r="AG964">
        <v>107</v>
      </c>
      <c r="AH964">
        <v>2</v>
      </c>
      <c r="AI964">
        <v>2</v>
      </c>
      <c r="AJ964">
        <v>8</v>
      </c>
      <c r="AK964">
        <v>24</v>
      </c>
      <c r="AL964" t="s">
        <v>218</v>
      </c>
      <c r="AM964" t="s">
        <v>219</v>
      </c>
      <c r="AN964" t="s">
        <v>220</v>
      </c>
      <c r="AO964" t="s">
        <v>4332</v>
      </c>
      <c r="AP964" t="s">
        <v>4333</v>
      </c>
      <c r="AQ964" t="s">
        <v>74</v>
      </c>
      <c r="AR964" t="s">
        <v>4334</v>
      </c>
      <c r="AS964" t="s">
        <v>4335</v>
      </c>
      <c r="AT964" t="s">
        <v>375</v>
      </c>
      <c r="AU964">
        <v>2021</v>
      </c>
      <c r="AV964">
        <v>30</v>
      </c>
      <c r="AW964">
        <v>4</v>
      </c>
      <c r="AX964" t="s">
        <v>74</v>
      </c>
      <c r="AY964" t="s">
        <v>74</v>
      </c>
      <c r="AZ964" t="s">
        <v>74</v>
      </c>
      <c r="BA964" t="s">
        <v>74</v>
      </c>
      <c r="BB964">
        <v>816</v>
      </c>
      <c r="BC964">
        <v>835</v>
      </c>
      <c r="BD964" t="s">
        <v>74</v>
      </c>
      <c r="BE964" t="s">
        <v>16417</v>
      </c>
      <c r="BF964" t="str">
        <f>HYPERLINK("http://dx.doi.org/10.1111/caim.12463","http://dx.doi.org/10.1111/caim.12463")</f>
        <v>http://dx.doi.org/10.1111/caim.12463</v>
      </c>
      <c r="BG964" t="s">
        <v>74</v>
      </c>
      <c r="BH964" t="s">
        <v>7655</v>
      </c>
      <c r="BI964">
        <v>20</v>
      </c>
      <c r="BJ964" t="s">
        <v>442</v>
      </c>
      <c r="BK964" t="s">
        <v>94</v>
      </c>
      <c r="BL964" t="s">
        <v>95</v>
      </c>
      <c r="BM964" t="s">
        <v>10922</v>
      </c>
      <c r="BN964" t="s">
        <v>74</v>
      </c>
      <c r="BO964" t="s">
        <v>408</v>
      </c>
      <c r="BP964" t="s">
        <v>74</v>
      </c>
      <c r="BQ964" t="s">
        <v>74</v>
      </c>
      <c r="BR964" t="s">
        <v>97</v>
      </c>
      <c r="BS964" t="s">
        <v>16418</v>
      </c>
      <c r="BT964" t="str">
        <f>HYPERLINK("https%3A%2F%2Fwww.webofscience.com%2Fwos%2Fwoscc%2Ffull-record%2FWOS:000709055000001","View Full Record in Web of Science")</f>
        <v>View Full Record in Web of Science</v>
      </c>
    </row>
    <row r="965" spans="1:72" x14ac:dyDescent="0.25">
      <c r="A965" t="s">
        <v>72</v>
      </c>
      <c r="B965" t="s">
        <v>16419</v>
      </c>
      <c r="C965" t="s">
        <v>74</v>
      </c>
      <c r="D965" t="s">
        <v>74</v>
      </c>
      <c r="E965" t="s">
        <v>74</v>
      </c>
      <c r="F965" t="s">
        <v>16420</v>
      </c>
      <c r="G965" t="s">
        <v>74</v>
      </c>
      <c r="H965" t="s">
        <v>74</v>
      </c>
      <c r="I965" t="s">
        <v>16421</v>
      </c>
      <c r="J965" t="s">
        <v>2463</v>
      </c>
      <c r="K965" t="s">
        <v>74</v>
      </c>
      <c r="L965" t="s">
        <v>74</v>
      </c>
      <c r="M965" t="s">
        <v>77</v>
      </c>
      <c r="N965" t="s">
        <v>78</v>
      </c>
      <c r="O965" t="s">
        <v>74</v>
      </c>
      <c r="P965" t="s">
        <v>74</v>
      </c>
      <c r="Q965" t="s">
        <v>74</v>
      </c>
      <c r="R965" t="s">
        <v>74</v>
      </c>
      <c r="S965" t="s">
        <v>74</v>
      </c>
      <c r="T965" t="s">
        <v>16422</v>
      </c>
      <c r="U965" t="s">
        <v>16423</v>
      </c>
      <c r="V965" t="s">
        <v>16424</v>
      </c>
      <c r="W965" t="s">
        <v>16425</v>
      </c>
      <c r="X965" t="s">
        <v>16426</v>
      </c>
      <c r="Y965" t="s">
        <v>16427</v>
      </c>
      <c r="Z965" t="s">
        <v>16428</v>
      </c>
      <c r="AA965" t="s">
        <v>74</v>
      </c>
      <c r="AB965" t="s">
        <v>74</v>
      </c>
      <c r="AC965" t="s">
        <v>16429</v>
      </c>
      <c r="AD965" t="s">
        <v>16430</v>
      </c>
      <c r="AE965" t="s">
        <v>16431</v>
      </c>
      <c r="AF965" t="s">
        <v>74</v>
      </c>
      <c r="AG965">
        <v>61</v>
      </c>
      <c r="AH965">
        <v>2</v>
      </c>
      <c r="AI965">
        <v>2</v>
      </c>
      <c r="AJ965">
        <v>2</v>
      </c>
      <c r="AK965">
        <v>20</v>
      </c>
      <c r="AL965" t="s">
        <v>2473</v>
      </c>
      <c r="AM965" t="s">
        <v>2102</v>
      </c>
      <c r="AN965" t="s">
        <v>2474</v>
      </c>
      <c r="AO965" t="s">
        <v>74</v>
      </c>
      <c r="AP965" t="s">
        <v>2475</v>
      </c>
      <c r="AQ965" t="s">
        <v>74</v>
      </c>
      <c r="AR965" t="s">
        <v>2476</v>
      </c>
      <c r="AS965" t="s">
        <v>2477</v>
      </c>
      <c r="AT965" t="s">
        <v>256</v>
      </c>
      <c r="AU965">
        <v>2021</v>
      </c>
      <c r="AV965">
        <v>13</v>
      </c>
      <c r="AW965">
        <v>20</v>
      </c>
      <c r="AX965" t="s">
        <v>74</v>
      </c>
      <c r="AY965" t="s">
        <v>74</v>
      </c>
      <c r="AZ965" t="s">
        <v>74</v>
      </c>
      <c r="BA965" t="s">
        <v>74</v>
      </c>
      <c r="BB965" t="s">
        <v>74</v>
      </c>
      <c r="BC965" t="s">
        <v>74</v>
      </c>
      <c r="BD965">
        <v>11301</v>
      </c>
      <c r="BE965" t="s">
        <v>16432</v>
      </c>
      <c r="BF965" t="str">
        <f>HYPERLINK("http://dx.doi.org/10.3390/su132011301","http://dx.doi.org/10.3390/su132011301")</f>
        <v>http://dx.doi.org/10.3390/su132011301</v>
      </c>
      <c r="BG965" t="s">
        <v>74</v>
      </c>
      <c r="BH965" t="s">
        <v>74</v>
      </c>
      <c r="BI965">
        <v>19</v>
      </c>
      <c r="BJ965" t="s">
        <v>2479</v>
      </c>
      <c r="BK965" t="s">
        <v>147</v>
      </c>
      <c r="BL965" t="s">
        <v>2480</v>
      </c>
      <c r="BM965" t="s">
        <v>16433</v>
      </c>
      <c r="BN965" t="s">
        <v>74</v>
      </c>
      <c r="BO965" t="s">
        <v>2482</v>
      </c>
      <c r="BP965" t="s">
        <v>74</v>
      </c>
      <c r="BQ965" t="s">
        <v>74</v>
      </c>
      <c r="BR965" t="s">
        <v>97</v>
      </c>
      <c r="BS965" t="s">
        <v>16434</v>
      </c>
      <c r="BT965" t="str">
        <f>HYPERLINK("https%3A%2F%2Fwww.webofscience.com%2Fwos%2Fwoscc%2Ffull-record%2FWOS:000716031000001","View Full Record in Web of Science")</f>
        <v>View Full Record in Web of Science</v>
      </c>
    </row>
    <row r="966" spans="1:72" x14ac:dyDescent="0.25">
      <c r="A966" t="s">
        <v>72</v>
      </c>
      <c r="B966" t="s">
        <v>16435</v>
      </c>
      <c r="C966" t="s">
        <v>74</v>
      </c>
      <c r="D966" t="s">
        <v>74</v>
      </c>
      <c r="E966" t="s">
        <v>74</v>
      </c>
      <c r="F966" t="s">
        <v>16436</v>
      </c>
      <c r="G966" t="s">
        <v>74</v>
      </c>
      <c r="H966" t="s">
        <v>74</v>
      </c>
      <c r="I966" t="s">
        <v>16437</v>
      </c>
      <c r="J966" t="s">
        <v>8851</v>
      </c>
      <c r="K966" t="s">
        <v>74</v>
      </c>
      <c r="L966" t="s">
        <v>74</v>
      </c>
      <c r="M966" t="s">
        <v>77</v>
      </c>
      <c r="N966" t="s">
        <v>78</v>
      </c>
      <c r="O966" t="s">
        <v>74</v>
      </c>
      <c r="P966" t="s">
        <v>74</v>
      </c>
      <c r="Q966" t="s">
        <v>74</v>
      </c>
      <c r="R966" t="s">
        <v>74</v>
      </c>
      <c r="S966" t="s">
        <v>74</v>
      </c>
      <c r="T966" t="s">
        <v>16438</v>
      </c>
      <c r="U966" t="s">
        <v>16439</v>
      </c>
      <c r="V966" t="s">
        <v>16440</v>
      </c>
      <c r="W966" t="s">
        <v>16441</v>
      </c>
      <c r="X966" t="s">
        <v>74</v>
      </c>
      <c r="Y966" t="s">
        <v>16442</v>
      </c>
      <c r="Z966" t="s">
        <v>16443</v>
      </c>
      <c r="AA966" t="s">
        <v>16444</v>
      </c>
      <c r="AB966" t="s">
        <v>16445</v>
      </c>
      <c r="AC966" t="s">
        <v>74</v>
      </c>
      <c r="AD966" t="s">
        <v>74</v>
      </c>
      <c r="AE966" t="s">
        <v>74</v>
      </c>
      <c r="AF966" t="s">
        <v>74</v>
      </c>
      <c r="AG966">
        <v>113</v>
      </c>
      <c r="AH966">
        <v>2</v>
      </c>
      <c r="AI966">
        <v>2</v>
      </c>
      <c r="AJ966">
        <v>2</v>
      </c>
      <c r="AK966">
        <v>2</v>
      </c>
      <c r="AL966" t="s">
        <v>350</v>
      </c>
      <c r="AM966" t="s">
        <v>351</v>
      </c>
      <c r="AN966" t="s">
        <v>352</v>
      </c>
      <c r="AO966" t="s">
        <v>8864</v>
      </c>
      <c r="AP966" t="s">
        <v>74</v>
      </c>
      <c r="AQ966" t="s">
        <v>74</v>
      </c>
      <c r="AR966" t="s">
        <v>8851</v>
      </c>
      <c r="AS966" t="s">
        <v>8865</v>
      </c>
      <c r="AT966" t="s">
        <v>256</v>
      </c>
      <c r="AU966">
        <v>2021</v>
      </c>
      <c r="AV966">
        <v>11</v>
      </c>
      <c r="AW966">
        <v>4</v>
      </c>
      <c r="AX966" t="s">
        <v>74</v>
      </c>
      <c r="AY966" t="s">
        <v>74</v>
      </c>
      <c r="AZ966" t="s">
        <v>74</v>
      </c>
      <c r="BA966" t="s">
        <v>74</v>
      </c>
      <c r="BB966" t="s">
        <v>74</v>
      </c>
      <c r="BC966" t="s">
        <v>74</v>
      </c>
      <c r="BD966">
        <v>2.1582440211067248E+16</v>
      </c>
      <c r="BE966" t="s">
        <v>16446</v>
      </c>
      <c r="BF966" t="str">
        <f>HYPERLINK("http://dx.doi.org/10.1177/21582440211067250","http://dx.doi.org/10.1177/21582440211067250")</f>
        <v>http://dx.doi.org/10.1177/21582440211067250</v>
      </c>
      <c r="BG966" t="s">
        <v>74</v>
      </c>
      <c r="BH966" t="s">
        <v>74</v>
      </c>
      <c r="BI966">
        <v>17</v>
      </c>
      <c r="BJ966" t="s">
        <v>8867</v>
      </c>
      <c r="BK966" t="s">
        <v>94</v>
      </c>
      <c r="BL966" t="s">
        <v>631</v>
      </c>
      <c r="BM966" t="s">
        <v>16447</v>
      </c>
      <c r="BN966" t="s">
        <v>74</v>
      </c>
      <c r="BO966" t="s">
        <v>2482</v>
      </c>
      <c r="BP966" t="s">
        <v>74</v>
      </c>
      <c r="BQ966" t="s">
        <v>74</v>
      </c>
      <c r="BR966" t="s">
        <v>97</v>
      </c>
      <c r="BS966" t="s">
        <v>16448</v>
      </c>
      <c r="BT966" t="str">
        <f>HYPERLINK("https%3A%2F%2Fwww.webofscience.com%2Fwos%2Fwoscc%2Ffull-record%2FWOS:000736141400001","View Full Record in Web of Science")</f>
        <v>View Full Record in Web of Science</v>
      </c>
    </row>
    <row r="967" spans="1:72" x14ac:dyDescent="0.25">
      <c r="A967" t="s">
        <v>72</v>
      </c>
      <c r="B967" t="s">
        <v>16449</v>
      </c>
      <c r="C967" t="s">
        <v>74</v>
      </c>
      <c r="D967" t="s">
        <v>74</v>
      </c>
      <c r="E967" t="s">
        <v>74</v>
      </c>
      <c r="F967" t="s">
        <v>16450</v>
      </c>
      <c r="G967" t="s">
        <v>74</v>
      </c>
      <c r="H967" t="s">
        <v>74</v>
      </c>
      <c r="I967" t="s">
        <v>16451</v>
      </c>
      <c r="J967" t="s">
        <v>2147</v>
      </c>
      <c r="K967" t="s">
        <v>74</v>
      </c>
      <c r="L967" t="s">
        <v>74</v>
      </c>
      <c r="M967" t="s">
        <v>77</v>
      </c>
      <c r="N967" t="s">
        <v>78</v>
      </c>
      <c r="O967" t="s">
        <v>74</v>
      </c>
      <c r="P967" t="s">
        <v>74</v>
      </c>
      <c r="Q967" t="s">
        <v>74</v>
      </c>
      <c r="R967" t="s">
        <v>74</v>
      </c>
      <c r="S967" t="s">
        <v>74</v>
      </c>
      <c r="T967" t="s">
        <v>16452</v>
      </c>
      <c r="U967" t="s">
        <v>16453</v>
      </c>
      <c r="V967" t="s">
        <v>16454</v>
      </c>
      <c r="W967" t="s">
        <v>16455</v>
      </c>
      <c r="X967" t="s">
        <v>16456</v>
      </c>
      <c r="Y967" t="s">
        <v>872</v>
      </c>
      <c r="Z967" t="s">
        <v>16457</v>
      </c>
      <c r="AA967" t="s">
        <v>874</v>
      </c>
      <c r="AB967" t="s">
        <v>74</v>
      </c>
      <c r="AC967" t="s">
        <v>74</v>
      </c>
      <c r="AD967" t="s">
        <v>74</v>
      </c>
      <c r="AE967" t="s">
        <v>74</v>
      </c>
      <c r="AF967" t="s">
        <v>74</v>
      </c>
      <c r="AG967">
        <v>141</v>
      </c>
      <c r="AH967">
        <v>2</v>
      </c>
      <c r="AI967">
        <v>2</v>
      </c>
      <c r="AJ967">
        <v>15</v>
      </c>
      <c r="AK967">
        <v>54</v>
      </c>
      <c r="AL967" t="s">
        <v>577</v>
      </c>
      <c r="AM967" t="s">
        <v>578</v>
      </c>
      <c r="AN967" t="s">
        <v>579</v>
      </c>
      <c r="AO967" t="s">
        <v>2155</v>
      </c>
      <c r="AP967" t="s">
        <v>2156</v>
      </c>
      <c r="AQ967" t="s">
        <v>74</v>
      </c>
      <c r="AR967" t="s">
        <v>2157</v>
      </c>
      <c r="AS967" t="s">
        <v>2158</v>
      </c>
      <c r="AT967" t="s">
        <v>256</v>
      </c>
      <c r="AU967">
        <v>2021</v>
      </c>
      <c r="AV967">
        <v>130</v>
      </c>
      <c r="AW967" t="s">
        <v>74</v>
      </c>
      <c r="AX967" t="s">
        <v>74</v>
      </c>
      <c r="AY967" t="s">
        <v>74</v>
      </c>
      <c r="AZ967" t="s">
        <v>74</v>
      </c>
      <c r="BA967" t="s">
        <v>74</v>
      </c>
      <c r="BB967" t="s">
        <v>74</v>
      </c>
      <c r="BC967" t="s">
        <v>74</v>
      </c>
      <c r="BD967">
        <v>103630</v>
      </c>
      <c r="BE967" t="s">
        <v>16458</v>
      </c>
      <c r="BF967" t="str">
        <f>HYPERLINK("http://dx.doi.org/10.1016/j.jvb.2021.103630","http://dx.doi.org/10.1016/j.jvb.2021.103630")</f>
        <v>http://dx.doi.org/10.1016/j.jvb.2021.103630</v>
      </c>
      <c r="BG967" t="s">
        <v>74</v>
      </c>
      <c r="BH967" t="s">
        <v>6758</v>
      </c>
      <c r="BI967">
        <v>16</v>
      </c>
      <c r="BJ967" t="s">
        <v>692</v>
      </c>
      <c r="BK967" t="s">
        <v>94</v>
      </c>
      <c r="BL967" t="s">
        <v>460</v>
      </c>
      <c r="BM967" t="s">
        <v>16459</v>
      </c>
      <c r="BN967" t="s">
        <v>74</v>
      </c>
      <c r="BO967" t="s">
        <v>74</v>
      </c>
      <c r="BP967" t="s">
        <v>74</v>
      </c>
      <c r="BQ967" t="s">
        <v>74</v>
      </c>
      <c r="BR967" t="s">
        <v>97</v>
      </c>
      <c r="BS967" t="s">
        <v>16460</v>
      </c>
      <c r="BT967" t="str">
        <f>HYPERLINK("https%3A%2F%2Fwww.webofscience.com%2Fwos%2Fwoscc%2Ffull-record%2FWOS:000703885400001","View Full Record in Web of Science")</f>
        <v>View Full Record in Web of Science</v>
      </c>
    </row>
    <row r="968" spans="1:72" x14ac:dyDescent="0.25">
      <c r="A968" t="s">
        <v>72</v>
      </c>
      <c r="B968" t="s">
        <v>16461</v>
      </c>
      <c r="C968" t="s">
        <v>74</v>
      </c>
      <c r="D968" t="s">
        <v>74</v>
      </c>
      <c r="E968" t="s">
        <v>74</v>
      </c>
      <c r="F968" t="s">
        <v>16462</v>
      </c>
      <c r="G968" t="s">
        <v>74</v>
      </c>
      <c r="H968" t="s">
        <v>74</v>
      </c>
      <c r="I968" t="s">
        <v>16463</v>
      </c>
      <c r="J968" t="s">
        <v>2059</v>
      </c>
      <c r="K968" t="s">
        <v>74</v>
      </c>
      <c r="L968" t="s">
        <v>74</v>
      </c>
      <c r="M968" t="s">
        <v>77</v>
      </c>
      <c r="N968" t="s">
        <v>78</v>
      </c>
      <c r="O968" t="s">
        <v>74</v>
      </c>
      <c r="P968" t="s">
        <v>74</v>
      </c>
      <c r="Q968" t="s">
        <v>74</v>
      </c>
      <c r="R968" t="s">
        <v>74</v>
      </c>
      <c r="S968" t="s">
        <v>74</v>
      </c>
      <c r="T968" t="s">
        <v>16464</v>
      </c>
      <c r="U968" t="s">
        <v>16465</v>
      </c>
      <c r="V968" t="s">
        <v>16466</v>
      </c>
      <c r="W968" t="s">
        <v>16467</v>
      </c>
      <c r="X968" t="s">
        <v>12623</v>
      </c>
      <c r="Y968" t="s">
        <v>16468</v>
      </c>
      <c r="Z968" t="s">
        <v>16469</v>
      </c>
      <c r="AA968" t="s">
        <v>74</v>
      </c>
      <c r="AB968" t="s">
        <v>74</v>
      </c>
      <c r="AC968" t="s">
        <v>74</v>
      </c>
      <c r="AD968" t="s">
        <v>74</v>
      </c>
      <c r="AE968" t="s">
        <v>74</v>
      </c>
      <c r="AF968" t="s">
        <v>74</v>
      </c>
      <c r="AG968">
        <v>47</v>
      </c>
      <c r="AH968">
        <v>2</v>
      </c>
      <c r="AI968">
        <v>2</v>
      </c>
      <c r="AJ968">
        <v>12</v>
      </c>
      <c r="AK968">
        <v>63</v>
      </c>
      <c r="AL968" t="s">
        <v>2067</v>
      </c>
      <c r="AM968" t="s">
        <v>2068</v>
      </c>
      <c r="AN968" t="s">
        <v>2069</v>
      </c>
      <c r="AO968" t="s">
        <v>2070</v>
      </c>
      <c r="AP968" t="s">
        <v>2071</v>
      </c>
      <c r="AQ968" t="s">
        <v>74</v>
      </c>
      <c r="AR968" t="s">
        <v>2072</v>
      </c>
      <c r="AS968" t="s">
        <v>2073</v>
      </c>
      <c r="AT968" t="s">
        <v>496</v>
      </c>
      <c r="AU968">
        <v>2021</v>
      </c>
      <c r="AV968">
        <v>49</v>
      </c>
      <c r="AW968">
        <v>9</v>
      </c>
      <c r="AX968" t="s">
        <v>74</v>
      </c>
      <c r="AY968" t="s">
        <v>74</v>
      </c>
      <c r="AZ968" t="s">
        <v>74</v>
      </c>
      <c r="BA968" t="s">
        <v>74</v>
      </c>
      <c r="BB968" t="s">
        <v>74</v>
      </c>
      <c r="BC968" t="s">
        <v>74</v>
      </c>
      <c r="BD968" t="s">
        <v>16470</v>
      </c>
      <c r="BE968" t="s">
        <v>16471</v>
      </c>
      <c r="BF968" t="str">
        <f>HYPERLINK("http://dx.doi.org/10.2224/sbp.10246","http://dx.doi.org/10.2224/sbp.10246")</f>
        <v>http://dx.doi.org/10.2224/sbp.10246</v>
      </c>
      <c r="BG968" t="s">
        <v>74</v>
      </c>
      <c r="BH968" t="s">
        <v>74</v>
      </c>
      <c r="BI968">
        <v>16</v>
      </c>
      <c r="BJ968" t="s">
        <v>459</v>
      </c>
      <c r="BK968" t="s">
        <v>94</v>
      </c>
      <c r="BL968" t="s">
        <v>460</v>
      </c>
      <c r="BM968" t="s">
        <v>16472</v>
      </c>
      <c r="BN968" t="s">
        <v>74</v>
      </c>
      <c r="BO968" t="s">
        <v>74</v>
      </c>
      <c r="BP968" t="s">
        <v>74</v>
      </c>
      <c r="BQ968" t="s">
        <v>74</v>
      </c>
      <c r="BR968" t="s">
        <v>97</v>
      </c>
      <c r="BS968" t="s">
        <v>16473</v>
      </c>
      <c r="BT968" t="str">
        <f>HYPERLINK("https%3A%2F%2Fwww.webofscience.com%2Fwos%2Fwoscc%2Ffull-record%2FWOS:000693644200003","View Full Record in Web of Science")</f>
        <v>View Full Record in Web of Science</v>
      </c>
    </row>
    <row r="969" spans="1:72" x14ac:dyDescent="0.25">
      <c r="A969" t="s">
        <v>72</v>
      </c>
      <c r="B969" t="s">
        <v>12537</v>
      </c>
      <c r="C969" t="s">
        <v>74</v>
      </c>
      <c r="D969" t="s">
        <v>74</v>
      </c>
      <c r="E969" t="s">
        <v>74</v>
      </c>
      <c r="F969" t="s">
        <v>12538</v>
      </c>
      <c r="G969" t="s">
        <v>74</v>
      </c>
      <c r="H969" t="s">
        <v>74</v>
      </c>
      <c r="I969" t="s">
        <v>16474</v>
      </c>
      <c r="J969" t="s">
        <v>16475</v>
      </c>
      <c r="K969" t="s">
        <v>74</v>
      </c>
      <c r="L969" t="s">
        <v>74</v>
      </c>
      <c r="M969" t="s">
        <v>77</v>
      </c>
      <c r="N969" t="s">
        <v>78</v>
      </c>
      <c r="O969" t="s">
        <v>74</v>
      </c>
      <c r="P969" t="s">
        <v>74</v>
      </c>
      <c r="Q969" t="s">
        <v>74</v>
      </c>
      <c r="R969" t="s">
        <v>74</v>
      </c>
      <c r="S969" t="s">
        <v>74</v>
      </c>
      <c r="T969" t="s">
        <v>16476</v>
      </c>
      <c r="U969" t="s">
        <v>16477</v>
      </c>
      <c r="V969" t="s">
        <v>16478</v>
      </c>
      <c r="W969" t="s">
        <v>16479</v>
      </c>
      <c r="X969" t="s">
        <v>12544</v>
      </c>
      <c r="Y969" t="s">
        <v>6768</v>
      </c>
      <c r="Z969" t="s">
        <v>16480</v>
      </c>
      <c r="AA969" t="s">
        <v>74</v>
      </c>
      <c r="AB969" t="s">
        <v>6771</v>
      </c>
      <c r="AC969" t="s">
        <v>10599</v>
      </c>
      <c r="AD969" t="s">
        <v>10600</v>
      </c>
      <c r="AE969" t="s">
        <v>10601</v>
      </c>
      <c r="AF969" t="s">
        <v>74</v>
      </c>
      <c r="AG969">
        <v>77</v>
      </c>
      <c r="AH969">
        <v>2</v>
      </c>
      <c r="AI969">
        <v>2</v>
      </c>
      <c r="AJ969">
        <v>13</v>
      </c>
      <c r="AK969">
        <v>79</v>
      </c>
      <c r="AL969" t="s">
        <v>665</v>
      </c>
      <c r="AM969" t="s">
        <v>666</v>
      </c>
      <c r="AN969" t="s">
        <v>667</v>
      </c>
      <c r="AO969" t="s">
        <v>16481</v>
      </c>
      <c r="AP969" t="s">
        <v>16482</v>
      </c>
      <c r="AQ969" t="s">
        <v>74</v>
      </c>
      <c r="AR969" t="s">
        <v>16483</v>
      </c>
      <c r="AS969" t="s">
        <v>16484</v>
      </c>
      <c r="AT969" t="s">
        <v>8070</v>
      </c>
      <c r="AU969">
        <v>2022</v>
      </c>
      <c r="AV969">
        <v>23</v>
      </c>
      <c r="AW969">
        <v>6</v>
      </c>
      <c r="AX969" t="s">
        <v>74</v>
      </c>
      <c r="AY969" t="s">
        <v>74</v>
      </c>
      <c r="AZ969" t="s">
        <v>74</v>
      </c>
      <c r="BA969" t="s">
        <v>74</v>
      </c>
      <c r="BB969">
        <v>1276</v>
      </c>
      <c r="BC969">
        <v>1295</v>
      </c>
      <c r="BD969" t="s">
        <v>74</v>
      </c>
      <c r="BE969" t="s">
        <v>16485</v>
      </c>
      <c r="BF969" t="str">
        <f>HYPERLINK("http://dx.doi.org/10.1108/JIC-11-2020-0362","http://dx.doi.org/10.1108/JIC-11-2020-0362")</f>
        <v>http://dx.doi.org/10.1108/JIC-11-2020-0362</v>
      </c>
      <c r="BG969" t="s">
        <v>74</v>
      </c>
      <c r="BH969" t="s">
        <v>7676</v>
      </c>
      <c r="BI969">
        <v>20</v>
      </c>
      <c r="BJ969" t="s">
        <v>93</v>
      </c>
      <c r="BK969" t="s">
        <v>94</v>
      </c>
      <c r="BL969" t="s">
        <v>95</v>
      </c>
      <c r="BM969" t="s">
        <v>16486</v>
      </c>
      <c r="BN969" t="s">
        <v>74</v>
      </c>
      <c r="BO969" t="s">
        <v>74</v>
      </c>
      <c r="BP969" t="s">
        <v>74</v>
      </c>
      <c r="BQ969" t="s">
        <v>74</v>
      </c>
      <c r="BR969" t="s">
        <v>97</v>
      </c>
      <c r="BS969" t="s">
        <v>16487</v>
      </c>
      <c r="BT969" t="str">
        <f>HYPERLINK("https%3A%2F%2Fwww.webofscience.com%2Fwos%2Fwoscc%2Ffull-record%2FWOS:000686240100001","View Full Record in Web of Science")</f>
        <v>View Full Record in Web of Science</v>
      </c>
    </row>
    <row r="970" spans="1:72" x14ac:dyDescent="0.25">
      <c r="A970" t="s">
        <v>72</v>
      </c>
      <c r="B970" t="s">
        <v>16488</v>
      </c>
      <c r="C970" t="s">
        <v>74</v>
      </c>
      <c r="D970" t="s">
        <v>74</v>
      </c>
      <c r="E970" t="s">
        <v>74</v>
      </c>
      <c r="F970" t="s">
        <v>16489</v>
      </c>
      <c r="G970" t="s">
        <v>74</v>
      </c>
      <c r="H970" t="s">
        <v>74</v>
      </c>
      <c r="I970" t="s">
        <v>16490</v>
      </c>
      <c r="J970" t="s">
        <v>1739</v>
      </c>
      <c r="K970" t="s">
        <v>74</v>
      </c>
      <c r="L970" t="s">
        <v>74</v>
      </c>
      <c r="M970" t="s">
        <v>77</v>
      </c>
      <c r="N970" t="s">
        <v>78</v>
      </c>
      <c r="O970" t="s">
        <v>74</v>
      </c>
      <c r="P970" t="s">
        <v>74</v>
      </c>
      <c r="Q970" t="s">
        <v>74</v>
      </c>
      <c r="R970" t="s">
        <v>74</v>
      </c>
      <c r="S970" t="s">
        <v>74</v>
      </c>
      <c r="T970" t="s">
        <v>16491</v>
      </c>
      <c r="U970" t="s">
        <v>16492</v>
      </c>
      <c r="V970" t="s">
        <v>16493</v>
      </c>
      <c r="W970" t="s">
        <v>16494</v>
      </c>
      <c r="X970" t="s">
        <v>16495</v>
      </c>
      <c r="Y970" t="s">
        <v>16496</v>
      </c>
      <c r="Z970" t="s">
        <v>16497</v>
      </c>
      <c r="AA970" t="s">
        <v>16498</v>
      </c>
      <c r="AB970" t="s">
        <v>16499</v>
      </c>
      <c r="AC970" t="s">
        <v>74</v>
      </c>
      <c r="AD970" t="s">
        <v>74</v>
      </c>
      <c r="AE970" t="s">
        <v>74</v>
      </c>
      <c r="AF970" t="s">
        <v>74</v>
      </c>
      <c r="AG970">
        <v>130</v>
      </c>
      <c r="AH970">
        <v>2</v>
      </c>
      <c r="AI970">
        <v>2</v>
      </c>
      <c r="AJ970">
        <v>7</v>
      </c>
      <c r="AK970">
        <v>34</v>
      </c>
      <c r="AL970" t="s">
        <v>665</v>
      </c>
      <c r="AM970" t="s">
        <v>666</v>
      </c>
      <c r="AN970" t="s">
        <v>667</v>
      </c>
      <c r="AO970" t="s">
        <v>1749</v>
      </c>
      <c r="AP970" t="s">
        <v>1750</v>
      </c>
      <c r="AQ970" t="s">
        <v>74</v>
      </c>
      <c r="AR970" t="s">
        <v>1751</v>
      </c>
      <c r="AS970" t="s">
        <v>1752</v>
      </c>
      <c r="AT970" t="s">
        <v>16500</v>
      </c>
      <c r="AU970">
        <v>2022</v>
      </c>
      <c r="AV970">
        <v>26</v>
      </c>
      <c r="AW970">
        <v>5</v>
      </c>
      <c r="AX970" t="s">
        <v>74</v>
      </c>
      <c r="AY970" t="s">
        <v>74</v>
      </c>
      <c r="AZ970" t="s">
        <v>74</v>
      </c>
      <c r="BA970" t="s">
        <v>74</v>
      </c>
      <c r="BB970">
        <v>1262</v>
      </c>
      <c r="BC970">
        <v>1279</v>
      </c>
      <c r="BD970" t="s">
        <v>74</v>
      </c>
      <c r="BE970" t="s">
        <v>16501</v>
      </c>
      <c r="BF970" t="str">
        <f>HYPERLINK("http://dx.doi.org/10.1108/JKM-02-2021-0133","http://dx.doi.org/10.1108/JKM-02-2021-0133")</f>
        <v>http://dx.doi.org/10.1108/JKM-02-2021-0133</v>
      </c>
      <c r="BG970" t="s">
        <v>74</v>
      </c>
      <c r="BH970" t="s">
        <v>7676</v>
      </c>
      <c r="BI970">
        <v>18</v>
      </c>
      <c r="BJ970" t="s">
        <v>1754</v>
      </c>
      <c r="BK970" t="s">
        <v>94</v>
      </c>
      <c r="BL970" t="s">
        <v>1755</v>
      </c>
      <c r="BM970" t="s">
        <v>16502</v>
      </c>
      <c r="BN970" t="s">
        <v>74</v>
      </c>
      <c r="BO970" t="s">
        <v>74</v>
      </c>
      <c r="BP970" t="s">
        <v>74</v>
      </c>
      <c r="BQ970" t="s">
        <v>74</v>
      </c>
      <c r="BR970" t="s">
        <v>97</v>
      </c>
      <c r="BS970" t="s">
        <v>16503</v>
      </c>
      <c r="BT970" t="str">
        <f>HYPERLINK("https%3A%2F%2Fwww.webofscience.com%2Fwos%2Fwoscc%2Ffull-record%2FWOS:000686229000001","View Full Record in Web of Science")</f>
        <v>View Full Record in Web of Science</v>
      </c>
    </row>
    <row r="971" spans="1:72" x14ac:dyDescent="0.25">
      <c r="A971" t="s">
        <v>72</v>
      </c>
      <c r="B971" t="s">
        <v>16504</v>
      </c>
      <c r="C971" t="s">
        <v>74</v>
      </c>
      <c r="D971" t="s">
        <v>74</v>
      </c>
      <c r="E971" t="s">
        <v>74</v>
      </c>
      <c r="F971" t="s">
        <v>16505</v>
      </c>
      <c r="G971" t="s">
        <v>74</v>
      </c>
      <c r="H971" t="s">
        <v>74</v>
      </c>
      <c r="I971" t="s">
        <v>16506</v>
      </c>
      <c r="J971" t="s">
        <v>2463</v>
      </c>
      <c r="K971" t="s">
        <v>74</v>
      </c>
      <c r="L971" t="s">
        <v>74</v>
      </c>
      <c r="M971" t="s">
        <v>77</v>
      </c>
      <c r="N971" t="s">
        <v>78</v>
      </c>
      <c r="O971" t="s">
        <v>74</v>
      </c>
      <c r="P971" t="s">
        <v>74</v>
      </c>
      <c r="Q971" t="s">
        <v>74</v>
      </c>
      <c r="R971" t="s">
        <v>74</v>
      </c>
      <c r="S971" t="s">
        <v>74</v>
      </c>
      <c r="T971" t="s">
        <v>16507</v>
      </c>
      <c r="U971" t="s">
        <v>16508</v>
      </c>
      <c r="V971" t="s">
        <v>16509</v>
      </c>
      <c r="W971" t="s">
        <v>16510</v>
      </c>
      <c r="X971" t="s">
        <v>16511</v>
      </c>
      <c r="Y971" t="s">
        <v>16512</v>
      </c>
      <c r="Z971" t="s">
        <v>16513</v>
      </c>
      <c r="AA971" t="s">
        <v>16514</v>
      </c>
      <c r="AB971" t="s">
        <v>16515</v>
      </c>
      <c r="AC971" t="s">
        <v>16516</v>
      </c>
      <c r="AD971" t="s">
        <v>16517</v>
      </c>
      <c r="AE971" t="s">
        <v>16518</v>
      </c>
      <c r="AF971" t="s">
        <v>74</v>
      </c>
      <c r="AG971">
        <v>213</v>
      </c>
      <c r="AH971">
        <v>2</v>
      </c>
      <c r="AI971">
        <v>2</v>
      </c>
      <c r="AJ971">
        <v>3</v>
      </c>
      <c r="AK971">
        <v>18</v>
      </c>
      <c r="AL971" t="s">
        <v>2473</v>
      </c>
      <c r="AM971" t="s">
        <v>2102</v>
      </c>
      <c r="AN971" t="s">
        <v>2474</v>
      </c>
      <c r="AO971" t="s">
        <v>74</v>
      </c>
      <c r="AP971" t="s">
        <v>2475</v>
      </c>
      <c r="AQ971" t="s">
        <v>74</v>
      </c>
      <c r="AR971" t="s">
        <v>2476</v>
      </c>
      <c r="AS971" t="s">
        <v>2477</v>
      </c>
      <c r="AT971" t="s">
        <v>392</v>
      </c>
      <c r="AU971">
        <v>2021</v>
      </c>
      <c r="AV971">
        <v>13</v>
      </c>
      <c r="AW971">
        <v>16</v>
      </c>
      <c r="AX971" t="s">
        <v>74</v>
      </c>
      <c r="AY971" t="s">
        <v>74</v>
      </c>
      <c r="AZ971" t="s">
        <v>74</v>
      </c>
      <c r="BA971" t="s">
        <v>74</v>
      </c>
      <c r="BB971" t="s">
        <v>74</v>
      </c>
      <c r="BC971" t="s">
        <v>74</v>
      </c>
      <c r="BD971">
        <v>9384</v>
      </c>
      <c r="BE971" t="s">
        <v>16519</v>
      </c>
      <c r="BF971" t="str">
        <f>HYPERLINK("http://dx.doi.org/10.3390/su13169384","http://dx.doi.org/10.3390/su13169384")</f>
        <v>http://dx.doi.org/10.3390/su13169384</v>
      </c>
      <c r="BG971" t="s">
        <v>74</v>
      </c>
      <c r="BH971" t="s">
        <v>74</v>
      </c>
      <c r="BI971">
        <v>29</v>
      </c>
      <c r="BJ971" t="s">
        <v>2479</v>
      </c>
      <c r="BK971" t="s">
        <v>147</v>
      </c>
      <c r="BL971" t="s">
        <v>2480</v>
      </c>
      <c r="BM971" t="s">
        <v>16520</v>
      </c>
      <c r="BN971" t="s">
        <v>74</v>
      </c>
      <c r="BO971" t="s">
        <v>4398</v>
      </c>
      <c r="BP971" t="s">
        <v>74</v>
      </c>
      <c r="BQ971" t="s">
        <v>74</v>
      </c>
      <c r="BR971" t="s">
        <v>97</v>
      </c>
      <c r="BS971" t="s">
        <v>16521</v>
      </c>
      <c r="BT971" t="str">
        <f>HYPERLINK("https%3A%2F%2Fwww.webofscience.com%2Fwos%2Fwoscc%2Ffull-record%2FWOS:000690086600001","View Full Record in Web of Science")</f>
        <v>View Full Record in Web of Science</v>
      </c>
    </row>
    <row r="972" spans="1:72" x14ac:dyDescent="0.25">
      <c r="A972" t="s">
        <v>72</v>
      </c>
      <c r="B972" t="s">
        <v>16522</v>
      </c>
      <c r="C972" t="s">
        <v>74</v>
      </c>
      <c r="D972" t="s">
        <v>74</v>
      </c>
      <c r="E972" t="s">
        <v>74</v>
      </c>
      <c r="F972" t="s">
        <v>16523</v>
      </c>
      <c r="G972" t="s">
        <v>74</v>
      </c>
      <c r="H972" t="s">
        <v>74</v>
      </c>
      <c r="I972" t="s">
        <v>16524</v>
      </c>
      <c r="J972" t="s">
        <v>4134</v>
      </c>
      <c r="K972" t="s">
        <v>74</v>
      </c>
      <c r="L972" t="s">
        <v>74</v>
      </c>
      <c r="M972" t="s">
        <v>77</v>
      </c>
      <c r="N972" t="s">
        <v>78</v>
      </c>
      <c r="O972" t="s">
        <v>74</v>
      </c>
      <c r="P972" t="s">
        <v>74</v>
      </c>
      <c r="Q972" t="s">
        <v>74</v>
      </c>
      <c r="R972" t="s">
        <v>74</v>
      </c>
      <c r="S972" t="s">
        <v>74</v>
      </c>
      <c r="T972" t="s">
        <v>16525</v>
      </c>
      <c r="U972" t="s">
        <v>16526</v>
      </c>
      <c r="V972" t="s">
        <v>16527</v>
      </c>
      <c r="W972" t="s">
        <v>16528</v>
      </c>
      <c r="X972" t="s">
        <v>16529</v>
      </c>
      <c r="Y972" t="s">
        <v>16530</v>
      </c>
      <c r="Z972" t="s">
        <v>16531</v>
      </c>
      <c r="AA972" t="s">
        <v>16532</v>
      </c>
      <c r="AB972" t="s">
        <v>16533</v>
      </c>
      <c r="AC972" t="s">
        <v>16534</v>
      </c>
      <c r="AD972" t="s">
        <v>16535</v>
      </c>
      <c r="AE972" t="s">
        <v>16536</v>
      </c>
      <c r="AF972" t="s">
        <v>74</v>
      </c>
      <c r="AG972">
        <v>114</v>
      </c>
      <c r="AH972">
        <v>2</v>
      </c>
      <c r="AI972">
        <v>2</v>
      </c>
      <c r="AJ972">
        <v>78</v>
      </c>
      <c r="AK972">
        <v>130</v>
      </c>
      <c r="AL972" t="s">
        <v>665</v>
      </c>
      <c r="AM972" t="s">
        <v>666</v>
      </c>
      <c r="AN972" t="s">
        <v>667</v>
      </c>
      <c r="AO972" t="s">
        <v>4144</v>
      </c>
      <c r="AP972" t="s">
        <v>4145</v>
      </c>
      <c r="AQ972" t="s">
        <v>74</v>
      </c>
      <c r="AR972" t="s">
        <v>4146</v>
      </c>
      <c r="AS972" t="s">
        <v>4147</v>
      </c>
      <c r="AT972" t="s">
        <v>1717</v>
      </c>
      <c r="AU972">
        <v>2023</v>
      </c>
      <c r="AV972">
        <v>26</v>
      </c>
      <c r="AW972">
        <v>1</v>
      </c>
      <c r="AX972" t="s">
        <v>74</v>
      </c>
      <c r="AY972" t="s">
        <v>74</v>
      </c>
      <c r="AZ972" t="s">
        <v>74</v>
      </c>
      <c r="BA972" t="s">
        <v>74</v>
      </c>
      <c r="BB972">
        <v>207</v>
      </c>
      <c r="BC972">
        <v>229</v>
      </c>
      <c r="BD972" t="s">
        <v>74</v>
      </c>
      <c r="BE972" t="s">
        <v>16537</v>
      </c>
      <c r="BF972" t="str">
        <f>HYPERLINK("http://dx.doi.org/10.1108/EJIM-02-2021-0098","http://dx.doi.org/10.1108/EJIM-02-2021-0098")</f>
        <v>http://dx.doi.org/10.1108/EJIM-02-2021-0098</v>
      </c>
      <c r="BG972" t="s">
        <v>74</v>
      </c>
      <c r="BH972" t="s">
        <v>8573</v>
      </c>
      <c r="BI972">
        <v>23</v>
      </c>
      <c r="BJ972" t="s">
        <v>93</v>
      </c>
      <c r="BK972" t="s">
        <v>94</v>
      </c>
      <c r="BL972" t="s">
        <v>95</v>
      </c>
      <c r="BM972" t="s">
        <v>16538</v>
      </c>
      <c r="BN972" t="s">
        <v>74</v>
      </c>
      <c r="BO972" t="s">
        <v>74</v>
      </c>
      <c r="BP972" t="s">
        <v>74</v>
      </c>
      <c r="BQ972" t="s">
        <v>74</v>
      </c>
      <c r="BR972" t="s">
        <v>97</v>
      </c>
      <c r="BS972" t="s">
        <v>16539</v>
      </c>
      <c r="BT972" t="str">
        <f>HYPERLINK("https%3A%2F%2Fwww.webofscience.com%2Fwos%2Fwoscc%2Ffull-record%2FWOS:000677559000001","View Full Record in Web of Science")</f>
        <v>View Full Record in Web of Science</v>
      </c>
    </row>
    <row r="973" spans="1:72" x14ac:dyDescent="0.25">
      <c r="A973" t="s">
        <v>72</v>
      </c>
      <c r="B973" t="s">
        <v>9813</v>
      </c>
      <c r="C973" t="s">
        <v>74</v>
      </c>
      <c r="D973" t="s">
        <v>74</v>
      </c>
      <c r="E973" t="s">
        <v>74</v>
      </c>
      <c r="F973" t="s">
        <v>9814</v>
      </c>
      <c r="G973" t="s">
        <v>74</v>
      </c>
      <c r="H973" t="s">
        <v>74</v>
      </c>
      <c r="I973" t="s">
        <v>16540</v>
      </c>
      <c r="J973" t="s">
        <v>5442</v>
      </c>
      <c r="K973" t="s">
        <v>74</v>
      </c>
      <c r="L973" t="s">
        <v>74</v>
      </c>
      <c r="M973" t="s">
        <v>77</v>
      </c>
      <c r="N973" t="s">
        <v>10095</v>
      </c>
      <c r="O973" t="s">
        <v>74</v>
      </c>
      <c r="P973" t="s">
        <v>74</v>
      </c>
      <c r="Q973" t="s">
        <v>74</v>
      </c>
      <c r="R973" t="s">
        <v>74</v>
      </c>
      <c r="S973" t="s">
        <v>74</v>
      </c>
      <c r="T973" t="s">
        <v>16541</v>
      </c>
      <c r="U973" t="s">
        <v>16542</v>
      </c>
      <c r="V973" t="s">
        <v>16543</v>
      </c>
      <c r="W973" t="s">
        <v>16544</v>
      </c>
      <c r="X973" t="s">
        <v>1262</v>
      </c>
      <c r="Y973" t="s">
        <v>7715</v>
      </c>
      <c r="Z973" t="s">
        <v>7716</v>
      </c>
      <c r="AA973" t="s">
        <v>74</v>
      </c>
      <c r="AB973" t="s">
        <v>7717</v>
      </c>
      <c r="AC973" t="s">
        <v>9821</v>
      </c>
      <c r="AD973" t="s">
        <v>9822</v>
      </c>
      <c r="AE973" t="s">
        <v>16545</v>
      </c>
      <c r="AF973" t="s">
        <v>74</v>
      </c>
      <c r="AG973">
        <v>112</v>
      </c>
      <c r="AH973">
        <v>2</v>
      </c>
      <c r="AI973">
        <v>2</v>
      </c>
      <c r="AJ973">
        <v>7</v>
      </c>
      <c r="AK973">
        <v>16</v>
      </c>
      <c r="AL973" t="s">
        <v>5452</v>
      </c>
      <c r="AM973" t="s">
        <v>5453</v>
      </c>
      <c r="AN973" t="s">
        <v>5454</v>
      </c>
      <c r="AO973" t="s">
        <v>5455</v>
      </c>
      <c r="AP973" t="s">
        <v>5456</v>
      </c>
      <c r="AQ973" t="s">
        <v>74</v>
      </c>
      <c r="AR973" t="s">
        <v>5457</v>
      </c>
      <c r="AS973" t="s">
        <v>5458</v>
      </c>
      <c r="AT973" t="s">
        <v>74</v>
      </c>
      <c r="AU973" t="s">
        <v>74</v>
      </c>
      <c r="AV973" t="s">
        <v>74</v>
      </c>
      <c r="AW973" t="s">
        <v>74</v>
      </c>
      <c r="AX973" t="s">
        <v>74</v>
      </c>
      <c r="AY973" t="s">
        <v>74</v>
      </c>
      <c r="AZ973" t="s">
        <v>74</v>
      </c>
      <c r="BA973" t="s">
        <v>74</v>
      </c>
      <c r="BB973" t="s">
        <v>74</v>
      </c>
      <c r="BC973" t="s">
        <v>74</v>
      </c>
      <c r="BD973" t="s">
        <v>16546</v>
      </c>
      <c r="BE973" t="s">
        <v>16547</v>
      </c>
      <c r="BF973" t="str">
        <f>HYPERLINK("http://dx.doi.org/10.1017/jmo.2021.34","http://dx.doi.org/10.1017/jmo.2021.34")</f>
        <v>http://dx.doi.org/10.1017/jmo.2021.34</v>
      </c>
      <c r="BG973" t="s">
        <v>74</v>
      </c>
      <c r="BH973" t="s">
        <v>8573</v>
      </c>
      <c r="BI973">
        <v>23</v>
      </c>
      <c r="BJ973" t="s">
        <v>442</v>
      </c>
      <c r="BK973" t="s">
        <v>94</v>
      </c>
      <c r="BL973" t="s">
        <v>95</v>
      </c>
      <c r="BM973" t="s">
        <v>16548</v>
      </c>
      <c r="BN973" t="s">
        <v>74</v>
      </c>
      <c r="BO973" t="s">
        <v>74</v>
      </c>
      <c r="BP973" t="s">
        <v>74</v>
      </c>
      <c r="BQ973" t="s">
        <v>74</v>
      </c>
      <c r="BR973" t="s">
        <v>97</v>
      </c>
      <c r="BS973" t="s">
        <v>16549</v>
      </c>
      <c r="BT973" t="str">
        <f>HYPERLINK("https%3A%2F%2Fwww.webofscience.com%2Fwos%2Fwoscc%2Ffull-record%2FWOS:000774647000001","View Full Record in Web of Science")</f>
        <v>View Full Record in Web of Science</v>
      </c>
    </row>
    <row r="974" spans="1:72" x14ac:dyDescent="0.25">
      <c r="A974" t="s">
        <v>72</v>
      </c>
      <c r="B974" t="s">
        <v>16550</v>
      </c>
      <c r="C974" t="s">
        <v>74</v>
      </c>
      <c r="D974" t="s">
        <v>74</v>
      </c>
      <c r="E974" t="s">
        <v>74</v>
      </c>
      <c r="F974" t="s">
        <v>16551</v>
      </c>
      <c r="G974" t="s">
        <v>74</v>
      </c>
      <c r="H974" t="s">
        <v>74</v>
      </c>
      <c r="I974" t="s">
        <v>16552</v>
      </c>
      <c r="J974" t="s">
        <v>2182</v>
      </c>
      <c r="K974" t="s">
        <v>74</v>
      </c>
      <c r="L974" t="s">
        <v>74</v>
      </c>
      <c r="M974" t="s">
        <v>77</v>
      </c>
      <c r="N974" t="s">
        <v>78</v>
      </c>
      <c r="O974" t="s">
        <v>74</v>
      </c>
      <c r="P974" t="s">
        <v>74</v>
      </c>
      <c r="Q974" t="s">
        <v>74</v>
      </c>
      <c r="R974" t="s">
        <v>74</v>
      </c>
      <c r="S974" t="s">
        <v>74</v>
      </c>
      <c r="T974" t="s">
        <v>16553</v>
      </c>
      <c r="U974" t="s">
        <v>16554</v>
      </c>
      <c r="V974" t="s">
        <v>16555</v>
      </c>
      <c r="W974" t="s">
        <v>16556</v>
      </c>
      <c r="X974" t="s">
        <v>4779</v>
      </c>
      <c r="Y974" t="s">
        <v>6768</v>
      </c>
      <c r="Z974" t="s">
        <v>16557</v>
      </c>
      <c r="AA974" t="s">
        <v>74</v>
      </c>
      <c r="AB974" t="s">
        <v>74</v>
      </c>
      <c r="AC974" t="s">
        <v>6772</v>
      </c>
      <c r="AD974" t="s">
        <v>6773</v>
      </c>
      <c r="AE974" t="s">
        <v>16558</v>
      </c>
      <c r="AF974" t="s">
        <v>74</v>
      </c>
      <c r="AG974">
        <v>49</v>
      </c>
      <c r="AH974">
        <v>2</v>
      </c>
      <c r="AI974">
        <v>2</v>
      </c>
      <c r="AJ974">
        <v>17</v>
      </c>
      <c r="AK974">
        <v>74</v>
      </c>
      <c r="AL974" t="s">
        <v>665</v>
      </c>
      <c r="AM974" t="s">
        <v>666</v>
      </c>
      <c r="AN974" t="s">
        <v>667</v>
      </c>
      <c r="AO974" t="s">
        <v>2192</v>
      </c>
      <c r="AP974" t="s">
        <v>2193</v>
      </c>
      <c r="AQ974" t="s">
        <v>74</v>
      </c>
      <c r="AR974" t="s">
        <v>2194</v>
      </c>
      <c r="AS974" t="s">
        <v>2195</v>
      </c>
      <c r="AT974" t="s">
        <v>16559</v>
      </c>
      <c r="AU974">
        <v>2022</v>
      </c>
      <c r="AV974">
        <v>37</v>
      </c>
      <c r="AW974">
        <v>1</v>
      </c>
      <c r="AX974" t="s">
        <v>74</v>
      </c>
      <c r="AY974" t="s">
        <v>74</v>
      </c>
      <c r="AZ974" t="s">
        <v>74</v>
      </c>
      <c r="BA974" t="s">
        <v>74</v>
      </c>
      <c r="BB974">
        <v>61</v>
      </c>
      <c r="BC974">
        <v>75</v>
      </c>
      <c r="BD974" t="s">
        <v>74</v>
      </c>
      <c r="BE974" t="s">
        <v>16560</v>
      </c>
      <c r="BF974" t="str">
        <f>HYPERLINK("http://dx.doi.org/10.1108/JMP-11-2020-0590","http://dx.doi.org/10.1108/JMP-11-2020-0590")</f>
        <v>http://dx.doi.org/10.1108/JMP-11-2020-0590</v>
      </c>
      <c r="BG974" t="s">
        <v>74</v>
      </c>
      <c r="BH974" t="s">
        <v>8573</v>
      </c>
      <c r="BI974">
        <v>15</v>
      </c>
      <c r="BJ974" t="s">
        <v>202</v>
      </c>
      <c r="BK974" t="s">
        <v>94</v>
      </c>
      <c r="BL974" t="s">
        <v>203</v>
      </c>
      <c r="BM974" t="s">
        <v>16561</v>
      </c>
      <c r="BN974" t="s">
        <v>74</v>
      </c>
      <c r="BO974" t="s">
        <v>74</v>
      </c>
      <c r="BP974" t="s">
        <v>74</v>
      </c>
      <c r="BQ974" t="s">
        <v>74</v>
      </c>
      <c r="BR974" t="s">
        <v>97</v>
      </c>
      <c r="BS974" t="s">
        <v>16562</v>
      </c>
      <c r="BT974" t="str">
        <f>HYPERLINK("https%3A%2F%2Fwww.webofscience.com%2Fwos%2Fwoscc%2Ffull-record%2FWOS:000672661800001","View Full Record in Web of Science")</f>
        <v>View Full Record in Web of Science</v>
      </c>
    </row>
    <row r="975" spans="1:72" x14ac:dyDescent="0.25">
      <c r="A975" t="s">
        <v>72</v>
      </c>
      <c r="B975" t="s">
        <v>16563</v>
      </c>
      <c r="C975" t="s">
        <v>74</v>
      </c>
      <c r="D975" t="s">
        <v>74</v>
      </c>
      <c r="E975" t="s">
        <v>74</v>
      </c>
      <c r="F975" t="s">
        <v>16564</v>
      </c>
      <c r="G975" t="s">
        <v>74</v>
      </c>
      <c r="H975" t="s">
        <v>74</v>
      </c>
      <c r="I975" t="s">
        <v>16565</v>
      </c>
      <c r="J975" t="s">
        <v>3184</v>
      </c>
      <c r="K975" t="s">
        <v>74</v>
      </c>
      <c r="L975" t="s">
        <v>74</v>
      </c>
      <c r="M975" t="s">
        <v>77</v>
      </c>
      <c r="N975" t="s">
        <v>78</v>
      </c>
      <c r="O975" t="s">
        <v>74</v>
      </c>
      <c r="P975" t="s">
        <v>74</v>
      </c>
      <c r="Q975" t="s">
        <v>74</v>
      </c>
      <c r="R975" t="s">
        <v>74</v>
      </c>
      <c r="S975" t="s">
        <v>74</v>
      </c>
      <c r="T975" t="s">
        <v>16566</v>
      </c>
      <c r="U975" t="s">
        <v>16567</v>
      </c>
      <c r="V975" t="s">
        <v>16568</v>
      </c>
      <c r="W975" t="s">
        <v>16569</v>
      </c>
      <c r="X975" t="s">
        <v>16570</v>
      </c>
      <c r="Y975" t="s">
        <v>16571</v>
      </c>
      <c r="Z975" t="s">
        <v>9320</v>
      </c>
      <c r="AA975" t="s">
        <v>9321</v>
      </c>
      <c r="AB975" t="s">
        <v>16572</v>
      </c>
      <c r="AC975" t="s">
        <v>16573</v>
      </c>
      <c r="AD975" t="s">
        <v>16574</v>
      </c>
      <c r="AE975" t="s">
        <v>16575</v>
      </c>
      <c r="AF975" t="s">
        <v>74</v>
      </c>
      <c r="AG975">
        <v>73</v>
      </c>
      <c r="AH975">
        <v>2</v>
      </c>
      <c r="AI975">
        <v>2</v>
      </c>
      <c r="AJ975">
        <v>10</v>
      </c>
      <c r="AK975">
        <v>66</v>
      </c>
      <c r="AL975" t="s">
        <v>3195</v>
      </c>
      <c r="AM975" t="s">
        <v>3196</v>
      </c>
      <c r="AN975" t="s">
        <v>3197</v>
      </c>
      <c r="AO975" t="s">
        <v>3198</v>
      </c>
      <c r="AP975" t="s">
        <v>74</v>
      </c>
      <c r="AQ975" t="s">
        <v>74</v>
      </c>
      <c r="AR975" t="s">
        <v>3199</v>
      </c>
      <c r="AS975" t="s">
        <v>3200</v>
      </c>
      <c r="AT975" t="s">
        <v>16576</v>
      </c>
      <c r="AU975">
        <v>2021</v>
      </c>
      <c r="AV975">
        <v>12</v>
      </c>
      <c r="AW975" t="s">
        <v>74</v>
      </c>
      <c r="AX975" t="s">
        <v>74</v>
      </c>
      <c r="AY975" t="s">
        <v>74</v>
      </c>
      <c r="AZ975" t="s">
        <v>74</v>
      </c>
      <c r="BA975" t="s">
        <v>74</v>
      </c>
      <c r="BB975" t="s">
        <v>74</v>
      </c>
      <c r="BC975" t="s">
        <v>74</v>
      </c>
      <c r="BD975">
        <v>689840</v>
      </c>
      <c r="BE975" t="s">
        <v>16577</v>
      </c>
      <c r="BF975" t="str">
        <f>HYPERLINK("http://dx.doi.org/10.3389/fpsyg.2021.689840","http://dx.doi.org/10.3389/fpsyg.2021.689840")</f>
        <v>http://dx.doi.org/10.3389/fpsyg.2021.689840</v>
      </c>
      <c r="BG975" t="s">
        <v>74</v>
      </c>
      <c r="BH975" t="s">
        <v>74</v>
      </c>
      <c r="BI975">
        <v>14</v>
      </c>
      <c r="BJ975" t="s">
        <v>3203</v>
      </c>
      <c r="BK975" t="s">
        <v>94</v>
      </c>
      <c r="BL975" t="s">
        <v>460</v>
      </c>
      <c r="BM975" t="s">
        <v>16578</v>
      </c>
      <c r="BN975">
        <v>34276520</v>
      </c>
      <c r="BO975" t="s">
        <v>3205</v>
      </c>
      <c r="BP975" t="s">
        <v>74</v>
      </c>
      <c r="BQ975" t="s">
        <v>74</v>
      </c>
      <c r="BR975" t="s">
        <v>97</v>
      </c>
      <c r="BS975" t="s">
        <v>16579</v>
      </c>
      <c r="BT975" t="str">
        <f>HYPERLINK("https%3A%2F%2Fwww.webofscience.com%2Fwos%2Fwoscc%2Ffull-record%2FWOS:000674025700001","View Full Record in Web of Science")</f>
        <v>View Full Record in Web of Science</v>
      </c>
    </row>
    <row r="976" spans="1:72" x14ac:dyDescent="0.25">
      <c r="A976" t="s">
        <v>72</v>
      </c>
      <c r="B976" t="s">
        <v>16580</v>
      </c>
      <c r="C976" t="s">
        <v>74</v>
      </c>
      <c r="D976" t="s">
        <v>74</v>
      </c>
      <c r="E976" t="s">
        <v>74</v>
      </c>
      <c r="F976" t="s">
        <v>16581</v>
      </c>
      <c r="G976" t="s">
        <v>74</v>
      </c>
      <c r="H976" t="s">
        <v>74</v>
      </c>
      <c r="I976" t="s">
        <v>16582</v>
      </c>
      <c r="J976" t="s">
        <v>6846</v>
      </c>
      <c r="K976" t="s">
        <v>74</v>
      </c>
      <c r="L976" t="s">
        <v>74</v>
      </c>
      <c r="M976" t="s">
        <v>77</v>
      </c>
      <c r="N976" t="s">
        <v>10095</v>
      </c>
      <c r="O976" t="s">
        <v>74</v>
      </c>
      <c r="P976" t="s">
        <v>74</v>
      </c>
      <c r="Q976" t="s">
        <v>74</v>
      </c>
      <c r="R976" t="s">
        <v>74</v>
      </c>
      <c r="S976" t="s">
        <v>74</v>
      </c>
      <c r="T976" t="s">
        <v>16583</v>
      </c>
      <c r="U976" t="s">
        <v>16584</v>
      </c>
      <c r="V976" t="s">
        <v>16585</v>
      </c>
      <c r="W976" t="s">
        <v>16586</v>
      </c>
      <c r="X976" t="s">
        <v>16587</v>
      </c>
      <c r="Y976" t="s">
        <v>16588</v>
      </c>
      <c r="Z976" t="s">
        <v>16589</v>
      </c>
      <c r="AA976" t="s">
        <v>16590</v>
      </c>
      <c r="AB976" t="s">
        <v>16591</v>
      </c>
      <c r="AC976" t="s">
        <v>74</v>
      </c>
      <c r="AD976" t="s">
        <v>74</v>
      </c>
      <c r="AE976" t="s">
        <v>74</v>
      </c>
      <c r="AF976" t="s">
        <v>74</v>
      </c>
      <c r="AG976">
        <v>73</v>
      </c>
      <c r="AH976">
        <v>2</v>
      </c>
      <c r="AI976">
        <v>2</v>
      </c>
      <c r="AJ976">
        <v>4</v>
      </c>
      <c r="AK976">
        <v>41</v>
      </c>
      <c r="AL976" t="s">
        <v>1099</v>
      </c>
      <c r="AM976" t="s">
        <v>305</v>
      </c>
      <c r="AN976" t="s">
        <v>1100</v>
      </c>
      <c r="AO976" t="s">
        <v>6857</v>
      </c>
      <c r="AP976" t="s">
        <v>6858</v>
      </c>
      <c r="AQ976" t="s">
        <v>74</v>
      </c>
      <c r="AR976" t="s">
        <v>6859</v>
      </c>
      <c r="AS976" t="s">
        <v>6860</v>
      </c>
      <c r="AT976" t="s">
        <v>74</v>
      </c>
      <c r="AU976" t="s">
        <v>74</v>
      </c>
      <c r="AV976" t="s">
        <v>74</v>
      </c>
      <c r="AW976" t="s">
        <v>74</v>
      </c>
      <c r="AX976" t="s">
        <v>74</v>
      </c>
      <c r="AY976" t="s">
        <v>74</v>
      </c>
      <c r="AZ976" t="s">
        <v>74</v>
      </c>
      <c r="BA976" t="s">
        <v>74</v>
      </c>
      <c r="BB976" t="s">
        <v>74</v>
      </c>
      <c r="BC976" t="s">
        <v>74</v>
      </c>
      <c r="BD976" t="s">
        <v>74</v>
      </c>
      <c r="BE976" t="s">
        <v>16592</v>
      </c>
      <c r="BF976" t="str">
        <f>HYPERLINK("http://dx.doi.org/10.1080/13602381.2021.1941529","http://dx.doi.org/10.1080/13602381.2021.1941529")</f>
        <v>http://dx.doi.org/10.1080/13602381.2021.1941529</v>
      </c>
      <c r="BG976" t="s">
        <v>74</v>
      </c>
      <c r="BH976" t="s">
        <v>10620</v>
      </c>
      <c r="BI976">
        <v>18</v>
      </c>
      <c r="BJ976" t="s">
        <v>93</v>
      </c>
      <c r="BK976" t="s">
        <v>94</v>
      </c>
      <c r="BL976" t="s">
        <v>95</v>
      </c>
      <c r="BM976" t="s">
        <v>16593</v>
      </c>
      <c r="BN976" t="s">
        <v>74</v>
      </c>
      <c r="BO976" t="s">
        <v>74</v>
      </c>
      <c r="BP976" t="s">
        <v>74</v>
      </c>
      <c r="BQ976" t="s">
        <v>74</v>
      </c>
      <c r="BR976" t="s">
        <v>97</v>
      </c>
      <c r="BS976" t="s">
        <v>16594</v>
      </c>
      <c r="BT976" t="str">
        <f>HYPERLINK("https%3A%2F%2Fwww.webofscience.com%2Fwos%2Fwoscc%2Ffull-record%2FWOS:000665762700001","View Full Record in Web of Science")</f>
        <v>View Full Record in Web of Science</v>
      </c>
    </row>
    <row r="977" spans="1:72" x14ac:dyDescent="0.25">
      <c r="A977" t="s">
        <v>72</v>
      </c>
      <c r="B977" t="s">
        <v>16595</v>
      </c>
      <c r="C977" t="s">
        <v>74</v>
      </c>
      <c r="D977" t="s">
        <v>74</v>
      </c>
      <c r="E977" t="s">
        <v>74</v>
      </c>
      <c r="F977" t="s">
        <v>16596</v>
      </c>
      <c r="G977" t="s">
        <v>74</v>
      </c>
      <c r="H977" t="s">
        <v>74</v>
      </c>
      <c r="I977" t="s">
        <v>16597</v>
      </c>
      <c r="J977" t="s">
        <v>318</v>
      </c>
      <c r="K977" t="s">
        <v>74</v>
      </c>
      <c r="L977" t="s">
        <v>74</v>
      </c>
      <c r="M977" t="s">
        <v>77</v>
      </c>
      <c r="N977" t="s">
        <v>78</v>
      </c>
      <c r="O977" t="s">
        <v>74</v>
      </c>
      <c r="P977" t="s">
        <v>74</v>
      </c>
      <c r="Q977" t="s">
        <v>74</v>
      </c>
      <c r="R977" t="s">
        <v>74</v>
      </c>
      <c r="S977" t="s">
        <v>74</v>
      </c>
      <c r="T977" t="s">
        <v>16598</v>
      </c>
      <c r="U977" t="s">
        <v>16599</v>
      </c>
      <c r="V977" t="s">
        <v>16600</v>
      </c>
      <c r="W977" t="s">
        <v>16601</v>
      </c>
      <c r="X977" t="s">
        <v>16602</v>
      </c>
      <c r="Y977" t="s">
        <v>16603</v>
      </c>
      <c r="Z977" t="s">
        <v>16604</v>
      </c>
      <c r="AA977" t="s">
        <v>16605</v>
      </c>
      <c r="AB977" t="s">
        <v>16606</v>
      </c>
      <c r="AC977" t="s">
        <v>16607</v>
      </c>
      <c r="AD977" t="s">
        <v>575</v>
      </c>
      <c r="AE977" t="s">
        <v>16608</v>
      </c>
      <c r="AF977" t="s">
        <v>74</v>
      </c>
      <c r="AG977">
        <v>94</v>
      </c>
      <c r="AH977">
        <v>2</v>
      </c>
      <c r="AI977">
        <v>2</v>
      </c>
      <c r="AJ977">
        <v>8</v>
      </c>
      <c r="AK977">
        <v>32</v>
      </c>
      <c r="AL977" t="s">
        <v>329</v>
      </c>
      <c r="AM977" t="s">
        <v>330</v>
      </c>
      <c r="AN977" t="s">
        <v>331</v>
      </c>
      <c r="AO977" t="s">
        <v>332</v>
      </c>
      <c r="AP977" t="s">
        <v>333</v>
      </c>
      <c r="AQ977" t="s">
        <v>74</v>
      </c>
      <c r="AR977" t="s">
        <v>334</v>
      </c>
      <c r="AS977" t="s">
        <v>335</v>
      </c>
      <c r="AT977" t="s">
        <v>496</v>
      </c>
      <c r="AU977">
        <v>2021</v>
      </c>
      <c r="AV977">
        <v>134</v>
      </c>
      <c r="AW977" t="s">
        <v>74</v>
      </c>
      <c r="AX977" t="s">
        <v>74</v>
      </c>
      <c r="AY977" t="s">
        <v>74</v>
      </c>
      <c r="AZ977" t="s">
        <v>74</v>
      </c>
      <c r="BA977" t="s">
        <v>74</v>
      </c>
      <c r="BB977">
        <v>480</v>
      </c>
      <c r="BC977">
        <v>492</v>
      </c>
      <c r="BD977" t="s">
        <v>74</v>
      </c>
      <c r="BE977" t="s">
        <v>16609</v>
      </c>
      <c r="BF977" t="str">
        <f>HYPERLINK("http://dx.doi.org/10.1016/j.jbusres.2021.05.058","http://dx.doi.org/10.1016/j.jbusres.2021.05.058")</f>
        <v>http://dx.doi.org/10.1016/j.jbusres.2021.05.058</v>
      </c>
      <c r="BG977" t="s">
        <v>74</v>
      </c>
      <c r="BH977" t="s">
        <v>10620</v>
      </c>
      <c r="BI977">
        <v>13</v>
      </c>
      <c r="BJ977" t="s">
        <v>337</v>
      </c>
      <c r="BK977" t="s">
        <v>94</v>
      </c>
      <c r="BL977" t="s">
        <v>95</v>
      </c>
      <c r="BM977" t="s">
        <v>16610</v>
      </c>
      <c r="BN977" t="s">
        <v>74</v>
      </c>
      <c r="BO977" t="s">
        <v>74</v>
      </c>
      <c r="BP977" t="s">
        <v>74</v>
      </c>
      <c r="BQ977" t="s">
        <v>74</v>
      </c>
      <c r="BR977" t="s">
        <v>97</v>
      </c>
      <c r="BS977" t="s">
        <v>16611</v>
      </c>
      <c r="BT977" t="str">
        <f>HYPERLINK("https%3A%2F%2Fwww.webofscience.com%2Fwos%2Fwoscc%2Ffull-record%2FWOS:000677680300014","View Full Record in Web of Science")</f>
        <v>View Full Record in Web of Science</v>
      </c>
    </row>
    <row r="978" spans="1:72" x14ac:dyDescent="0.25">
      <c r="A978" t="s">
        <v>72</v>
      </c>
      <c r="B978" t="s">
        <v>16612</v>
      </c>
      <c r="C978" t="s">
        <v>74</v>
      </c>
      <c r="D978" t="s">
        <v>74</v>
      </c>
      <c r="E978" t="s">
        <v>74</v>
      </c>
      <c r="F978" t="s">
        <v>16613</v>
      </c>
      <c r="G978" t="s">
        <v>74</v>
      </c>
      <c r="H978" t="s">
        <v>74</v>
      </c>
      <c r="I978" t="s">
        <v>16614</v>
      </c>
      <c r="J978" t="s">
        <v>2463</v>
      </c>
      <c r="K978" t="s">
        <v>74</v>
      </c>
      <c r="L978" t="s">
        <v>74</v>
      </c>
      <c r="M978" t="s">
        <v>77</v>
      </c>
      <c r="N978" t="s">
        <v>78</v>
      </c>
      <c r="O978" t="s">
        <v>74</v>
      </c>
      <c r="P978" t="s">
        <v>74</v>
      </c>
      <c r="Q978" t="s">
        <v>74</v>
      </c>
      <c r="R978" t="s">
        <v>74</v>
      </c>
      <c r="S978" t="s">
        <v>74</v>
      </c>
      <c r="T978" t="s">
        <v>16615</v>
      </c>
      <c r="U978" t="s">
        <v>16616</v>
      </c>
      <c r="V978" t="s">
        <v>16617</v>
      </c>
      <c r="W978" t="s">
        <v>16618</v>
      </c>
      <c r="X978" t="s">
        <v>16619</v>
      </c>
      <c r="Y978" t="s">
        <v>16620</v>
      </c>
      <c r="Z978" t="s">
        <v>16621</v>
      </c>
      <c r="AA978" t="s">
        <v>16622</v>
      </c>
      <c r="AB978" t="s">
        <v>16623</v>
      </c>
      <c r="AC978" t="s">
        <v>16624</v>
      </c>
      <c r="AD978" t="s">
        <v>16625</v>
      </c>
      <c r="AE978" t="s">
        <v>16626</v>
      </c>
      <c r="AF978" t="s">
        <v>74</v>
      </c>
      <c r="AG978">
        <v>80</v>
      </c>
      <c r="AH978">
        <v>2</v>
      </c>
      <c r="AI978">
        <v>2</v>
      </c>
      <c r="AJ978">
        <v>8</v>
      </c>
      <c r="AK978">
        <v>49</v>
      </c>
      <c r="AL978" t="s">
        <v>2473</v>
      </c>
      <c r="AM978" t="s">
        <v>2102</v>
      </c>
      <c r="AN978" t="s">
        <v>2474</v>
      </c>
      <c r="AO978" t="s">
        <v>74</v>
      </c>
      <c r="AP978" t="s">
        <v>2475</v>
      </c>
      <c r="AQ978" t="s">
        <v>74</v>
      </c>
      <c r="AR978" t="s">
        <v>2476</v>
      </c>
      <c r="AS978" t="s">
        <v>2477</v>
      </c>
      <c r="AT978" t="s">
        <v>91</v>
      </c>
      <c r="AU978">
        <v>2021</v>
      </c>
      <c r="AV978">
        <v>13</v>
      </c>
      <c r="AW978">
        <v>11</v>
      </c>
      <c r="AX978" t="s">
        <v>74</v>
      </c>
      <c r="AY978" t="s">
        <v>74</v>
      </c>
      <c r="AZ978" t="s">
        <v>74</v>
      </c>
      <c r="BA978" t="s">
        <v>74</v>
      </c>
      <c r="BB978" t="s">
        <v>74</v>
      </c>
      <c r="BC978" t="s">
        <v>74</v>
      </c>
      <c r="BD978">
        <v>6032</v>
      </c>
      <c r="BE978" t="s">
        <v>16627</v>
      </c>
      <c r="BF978" t="str">
        <f>HYPERLINK("http://dx.doi.org/10.3390/su13116032","http://dx.doi.org/10.3390/su13116032")</f>
        <v>http://dx.doi.org/10.3390/su13116032</v>
      </c>
      <c r="BG978" t="s">
        <v>74</v>
      </c>
      <c r="BH978" t="s">
        <v>74</v>
      </c>
      <c r="BI978">
        <v>19</v>
      </c>
      <c r="BJ978" t="s">
        <v>2479</v>
      </c>
      <c r="BK978" t="s">
        <v>147</v>
      </c>
      <c r="BL978" t="s">
        <v>2480</v>
      </c>
      <c r="BM978" t="s">
        <v>16628</v>
      </c>
      <c r="BN978" t="s">
        <v>74</v>
      </c>
      <c r="BO978" t="s">
        <v>4398</v>
      </c>
      <c r="BP978" t="s">
        <v>74</v>
      </c>
      <c r="BQ978" t="s">
        <v>74</v>
      </c>
      <c r="BR978" t="s">
        <v>97</v>
      </c>
      <c r="BS978" t="s">
        <v>16629</v>
      </c>
      <c r="BT978" t="str">
        <f>HYPERLINK("https%3A%2F%2Fwww.webofscience.com%2Fwos%2Fwoscc%2Ffull-record%2FWOS:000660741100001","View Full Record in Web of Science")</f>
        <v>View Full Record in Web of Science</v>
      </c>
    </row>
    <row r="979" spans="1:72" x14ac:dyDescent="0.25">
      <c r="A979" t="s">
        <v>72</v>
      </c>
      <c r="B979" t="s">
        <v>16630</v>
      </c>
      <c r="C979" t="s">
        <v>74</v>
      </c>
      <c r="D979" t="s">
        <v>74</v>
      </c>
      <c r="E979" t="s">
        <v>74</v>
      </c>
      <c r="F979" t="s">
        <v>16631</v>
      </c>
      <c r="G979" t="s">
        <v>74</v>
      </c>
      <c r="H979" t="s">
        <v>74</v>
      </c>
      <c r="I979" t="s">
        <v>16632</v>
      </c>
      <c r="J979" t="s">
        <v>16633</v>
      </c>
      <c r="K979" t="s">
        <v>74</v>
      </c>
      <c r="L979" t="s">
        <v>74</v>
      </c>
      <c r="M979" t="s">
        <v>16634</v>
      </c>
      <c r="N979" t="s">
        <v>78</v>
      </c>
      <c r="O979" t="s">
        <v>74</v>
      </c>
      <c r="P979" t="s">
        <v>74</v>
      </c>
      <c r="Q979" t="s">
        <v>74</v>
      </c>
      <c r="R979" t="s">
        <v>74</v>
      </c>
      <c r="S979" t="s">
        <v>74</v>
      </c>
      <c r="T979" t="s">
        <v>16635</v>
      </c>
      <c r="U979" t="s">
        <v>16636</v>
      </c>
      <c r="V979" t="s">
        <v>16637</v>
      </c>
      <c r="W979" t="s">
        <v>16638</v>
      </c>
      <c r="X979" t="s">
        <v>16639</v>
      </c>
      <c r="Y979" t="s">
        <v>16640</v>
      </c>
      <c r="Z979" t="s">
        <v>16641</v>
      </c>
      <c r="AA979" t="s">
        <v>74</v>
      </c>
      <c r="AB979" t="s">
        <v>74</v>
      </c>
      <c r="AC979" t="s">
        <v>74</v>
      </c>
      <c r="AD979" t="s">
        <v>74</v>
      </c>
      <c r="AE979" t="s">
        <v>74</v>
      </c>
      <c r="AF979" t="s">
        <v>74</v>
      </c>
      <c r="AG979">
        <v>82</v>
      </c>
      <c r="AH979">
        <v>2</v>
      </c>
      <c r="AI979">
        <v>2</v>
      </c>
      <c r="AJ979">
        <v>14</v>
      </c>
      <c r="AK979">
        <v>25</v>
      </c>
      <c r="AL979" t="s">
        <v>16642</v>
      </c>
      <c r="AM979" t="s">
        <v>16643</v>
      </c>
      <c r="AN979" t="s">
        <v>16644</v>
      </c>
      <c r="AO979" t="s">
        <v>16645</v>
      </c>
      <c r="AP979" t="s">
        <v>16646</v>
      </c>
      <c r="AQ979" t="s">
        <v>74</v>
      </c>
      <c r="AR979" t="s">
        <v>16647</v>
      </c>
      <c r="AS979" t="s">
        <v>16648</v>
      </c>
      <c r="AT979" t="s">
        <v>91</v>
      </c>
      <c r="AU979">
        <v>2021</v>
      </c>
      <c r="AV979">
        <v>34</v>
      </c>
      <c r="AW979">
        <v>2</v>
      </c>
      <c r="AX979" t="s">
        <v>74</v>
      </c>
      <c r="AY979" t="s">
        <v>74</v>
      </c>
      <c r="AZ979" t="s">
        <v>74</v>
      </c>
      <c r="BA979" t="s">
        <v>74</v>
      </c>
      <c r="BB979">
        <v>148</v>
      </c>
      <c r="BC979">
        <v>179</v>
      </c>
      <c r="BD979" t="s">
        <v>74</v>
      </c>
      <c r="BE979" t="s">
        <v>16649</v>
      </c>
      <c r="BF979" t="str">
        <f>HYPERLINK("http://dx.doi.org/10.5117/GO2021.2.001.BRAN","http://dx.doi.org/10.5117/GO2021.2.001.BRAN")</f>
        <v>http://dx.doi.org/10.5117/GO2021.2.001.BRAN</v>
      </c>
      <c r="BG979" t="s">
        <v>74</v>
      </c>
      <c r="BH979" t="s">
        <v>74</v>
      </c>
      <c r="BI979">
        <v>32</v>
      </c>
      <c r="BJ979" t="s">
        <v>16650</v>
      </c>
      <c r="BK979" t="s">
        <v>94</v>
      </c>
      <c r="BL979" t="s">
        <v>460</v>
      </c>
      <c r="BM979" t="s">
        <v>16651</v>
      </c>
      <c r="BN979" t="s">
        <v>74</v>
      </c>
      <c r="BO979" t="s">
        <v>74</v>
      </c>
      <c r="BP979" t="s">
        <v>74</v>
      </c>
      <c r="BQ979" t="s">
        <v>74</v>
      </c>
      <c r="BR979" t="s">
        <v>97</v>
      </c>
      <c r="BS979" t="s">
        <v>16652</v>
      </c>
      <c r="BT979" t="str">
        <f>HYPERLINK("https%3A%2F%2Fwww.webofscience.com%2Fwos%2Fwoscc%2Ffull-record%2FWOS:000784494400001","View Full Record in Web of Science")</f>
        <v>View Full Record in Web of Science</v>
      </c>
    </row>
    <row r="980" spans="1:72" x14ac:dyDescent="0.25">
      <c r="A980" t="s">
        <v>72</v>
      </c>
      <c r="B980" t="s">
        <v>16653</v>
      </c>
      <c r="C980" t="s">
        <v>74</v>
      </c>
      <c r="D980" t="s">
        <v>74</v>
      </c>
      <c r="E980" t="s">
        <v>74</v>
      </c>
      <c r="F980" t="s">
        <v>16654</v>
      </c>
      <c r="G980" t="s">
        <v>74</v>
      </c>
      <c r="H980" t="s">
        <v>74</v>
      </c>
      <c r="I980" t="s">
        <v>16655</v>
      </c>
      <c r="J980" t="s">
        <v>1600</v>
      </c>
      <c r="K980" t="s">
        <v>74</v>
      </c>
      <c r="L980" t="s">
        <v>74</v>
      </c>
      <c r="M980" t="s">
        <v>77</v>
      </c>
      <c r="N980" t="s">
        <v>78</v>
      </c>
      <c r="O980" t="s">
        <v>74</v>
      </c>
      <c r="P980" t="s">
        <v>74</v>
      </c>
      <c r="Q980" t="s">
        <v>74</v>
      </c>
      <c r="R980" t="s">
        <v>74</v>
      </c>
      <c r="S980" t="s">
        <v>74</v>
      </c>
      <c r="T980" t="s">
        <v>16656</v>
      </c>
      <c r="U980" t="s">
        <v>16657</v>
      </c>
      <c r="V980" t="s">
        <v>16658</v>
      </c>
      <c r="W980" t="s">
        <v>16659</v>
      </c>
      <c r="X980" t="s">
        <v>16660</v>
      </c>
      <c r="Y980" t="s">
        <v>16661</v>
      </c>
      <c r="Z980" t="s">
        <v>16662</v>
      </c>
      <c r="AA980" t="s">
        <v>16663</v>
      </c>
      <c r="AB980" t="s">
        <v>16664</v>
      </c>
      <c r="AC980" t="s">
        <v>74</v>
      </c>
      <c r="AD980" t="s">
        <v>74</v>
      </c>
      <c r="AE980" t="s">
        <v>74</v>
      </c>
      <c r="AF980" t="s">
        <v>74</v>
      </c>
      <c r="AG980">
        <v>71</v>
      </c>
      <c r="AH980">
        <v>2</v>
      </c>
      <c r="AI980">
        <v>2</v>
      </c>
      <c r="AJ980">
        <v>5</v>
      </c>
      <c r="AK980">
        <v>21</v>
      </c>
      <c r="AL980" t="s">
        <v>1099</v>
      </c>
      <c r="AM980" t="s">
        <v>305</v>
      </c>
      <c r="AN980" t="s">
        <v>1100</v>
      </c>
      <c r="AO980" t="s">
        <v>1610</v>
      </c>
      <c r="AP980" t="s">
        <v>1611</v>
      </c>
      <c r="AQ980" t="s">
        <v>74</v>
      </c>
      <c r="AR980" t="s">
        <v>1612</v>
      </c>
      <c r="AS980" t="s">
        <v>1613</v>
      </c>
      <c r="AT980" t="s">
        <v>1894</v>
      </c>
      <c r="AU980">
        <v>2022</v>
      </c>
      <c r="AV980">
        <v>33</v>
      </c>
      <c r="AW980">
        <v>18</v>
      </c>
      <c r="AX980" t="s">
        <v>74</v>
      </c>
      <c r="AY980" t="s">
        <v>74</v>
      </c>
      <c r="AZ980" t="s">
        <v>74</v>
      </c>
      <c r="BA980" t="s">
        <v>74</v>
      </c>
      <c r="BB980">
        <v>3629</v>
      </c>
      <c r="BC980">
        <v>3661</v>
      </c>
      <c r="BD980" t="s">
        <v>74</v>
      </c>
      <c r="BE980" t="s">
        <v>16665</v>
      </c>
      <c r="BF980" t="str">
        <f>HYPERLINK("http://dx.doi.org/10.1080/09585192.2021.1928730","http://dx.doi.org/10.1080/09585192.2021.1928730")</f>
        <v>http://dx.doi.org/10.1080/09585192.2021.1928730</v>
      </c>
      <c r="BG980" t="s">
        <v>74</v>
      </c>
      <c r="BH980" t="s">
        <v>4580</v>
      </c>
      <c r="BI980">
        <v>33</v>
      </c>
      <c r="BJ980" t="s">
        <v>442</v>
      </c>
      <c r="BK980" t="s">
        <v>94</v>
      </c>
      <c r="BL980" t="s">
        <v>95</v>
      </c>
      <c r="BM980" t="s">
        <v>16666</v>
      </c>
      <c r="BN980" t="s">
        <v>74</v>
      </c>
      <c r="BO980" t="s">
        <v>16667</v>
      </c>
      <c r="BP980" t="s">
        <v>74</v>
      </c>
      <c r="BQ980" t="s">
        <v>74</v>
      </c>
      <c r="BR980" t="s">
        <v>97</v>
      </c>
      <c r="BS980" t="s">
        <v>16668</v>
      </c>
      <c r="BT980" t="str">
        <f>HYPERLINK("https%3A%2F%2Fwww.webofscience.com%2Fwos%2Fwoscc%2Ffull-record%2FWOS:000654775400001","View Full Record in Web of Science")</f>
        <v>View Full Record in Web of Science</v>
      </c>
    </row>
    <row r="981" spans="1:72" x14ac:dyDescent="0.25">
      <c r="A981" t="s">
        <v>72</v>
      </c>
      <c r="B981" t="s">
        <v>16669</v>
      </c>
      <c r="C981" t="s">
        <v>74</v>
      </c>
      <c r="D981" t="s">
        <v>74</v>
      </c>
      <c r="E981" t="s">
        <v>74</v>
      </c>
      <c r="F981" t="s">
        <v>16670</v>
      </c>
      <c r="G981" t="s">
        <v>74</v>
      </c>
      <c r="H981" t="s">
        <v>74</v>
      </c>
      <c r="I981" t="s">
        <v>16671</v>
      </c>
      <c r="J981" t="s">
        <v>14026</v>
      </c>
      <c r="K981" t="s">
        <v>74</v>
      </c>
      <c r="L981" t="s">
        <v>74</v>
      </c>
      <c r="M981" t="s">
        <v>77</v>
      </c>
      <c r="N981" t="s">
        <v>78</v>
      </c>
      <c r="O981" t="s">
        <v>74</v>
      </c>
      <c r="P981" t="s">
        <v>74</v>
      </c>
      <c r="Q981" t="s">
        <v>74</v>
      </c>
      <c r="R981" t="s">
        <v>74</v>
      </c>
      <c r="S981" t="s">
        <v>74</v>
      </c>
      <c r="T981" t="s">
        <v>16672</v>
      </c>
      <c r="U981" t="s">
        <v>16673</v>
      </c>
      <c r="V981" t="s">
        <v>16674</v>
      </c>
      <c r="W981" t="s">
        <v>16675</v>
      </c>
      <c r="X981" t="s">
        <v>16676</v>
      </c>
      <c r="Y981" t="s">
        <v>16677</v>
      </c>
      <c r="Z981" t="s">
        <v>16678</v>
      </c>
      <c r="AA981" t="s">
        <v>16679</v>
      </c>
      <c r="AB981" t="s">
        <v>16680</v>
      </c>
      <c r="AC981" t="s">
        <v>74</v>
      </c>
      <c r="AD981" t="s">
        <v>74</v>
      </c>
      <c r="AE981" t="s">
        <v>74</v>
      </c>
      <c r="AF981" t="s">
        <v>74</v>
      </c>
      <c r="AG981">
        <v>101</v>
      </c>
      <c r="AH981">
        <v>2</v>
      </c>
      <c r="AI981">
        <v>2</v>
      </c>
      <c r="AJ981">
        <v>7</v>
      </c>
      <c r="AK981">
        <v>32</v>
      </c>
      <c r="AL981" t="s">
        <v>665</v>
      </c>
      <c r="AM981" t="s">
        <v>666</v>
      </c>
      <c r="AN981" t="s">
        <v>667</v>
      </c>
      <c r="AO981" t="s">
        <v>14034</v>
      </c>
      <c r="AP981" t="s">
        <v>14035</v>
      </c>
      <c r="AQ981" t="s">
        <v>74</v>
      </c>
      <c r="AR981" t="s">
        <v>14036</v>
      </c>
      <c r="AS981" t="s">
        <v>14037</v>
      </c>
      <c r="AT981" t="s">
        <v>16681</v>
      </c>
      <c r="AU981">
        <v>2021</v>
      </c>
      <c r="AV981">
        <v>27</v>
      </c>
      <c r="AW981">
        <v>5</v>
      </c>
      <c r="AX981" t="s">
        <v>74</v>
      </c>
      <c r="AY981" t="s">
        <v>74</v>
      </c>
      <c r="AZ981" t="s">
        <v>74</v>
      </c>
      <c r="BA981" t="s">
        <v>74</v>
      </c>
      <c r="BB981">
        <v>1166</v>
      </c>
      <c r="BC981">
        <v>1188</v>
      </c>
      <c r="BD981" t="s">
        <v>74</v>
      </c>
      <c r="BE981" t="s">
        <v>16682</v>
      </c>
      <c r="BF981" t="str">
        <f>HYPERLINK("http://dx.doi.org/10.1108/IJEBR-09-2020-0642","http://dx.doi.org/10.1108/IJEBR-09-2020-0642")</f>
        <v>http://dx.doi.org/10.1108/IJEBR-09-2020-0642</v>
      </c>
      <c r="BG981" t="s">
        <v>74</v>
      </c>
      <c r="BH981" t="s">
        <v>4580</v>
      </c>
      <c r="BI981">
        <v>23</v>
      </c>
      <c r="BJ981" t="s">
        <v>93</v>
      </c>
      <c r="BK981" t="s">
        <v>94</v>
      </c>
      <c r="BL981" t="s">
        <v>95</v>
      </c>
      <c r="BM981" t="s">
        <v>16683</v>
      </c>
      <c r="BN981" t="s">
        <v>74</v>
      </c>
      <c r="BO981" t="s">
        <v>5036</v>
      </c>
      <c r="BP981" t="s">
        <v>74</v>
      </c>
      <c r="BQ981" t="s">
        <v>74</v>
      </c>
      <c r="BR981" t="s">
        <v>97</v>
      </c>
      <c r="BS981" t="s">
        <v>16684</v>
      </c>
      <c r="BT981" t="str">
        <f>HYPERLINK("https%3A%2F%2Fwww.webofscience.com%2Fwos%2Fwoscc%2Ffull-record%2FWOS:000653102500001","View Full Record in Web of Science")</f>
        <v>View Full Record in Web of Science</v>
      </c>
    </row>
    <row r="982" spans="1:72" x14ac:dyDescent="0.25">
      <c r="A982" t="s">
        <v>72</v>
      </c>
      <c r="B982" t="s">
        <v>16685</v>
      </c>
      <c r="C982" t="s">
        <v>74</v>
      </c>
      <c r="D982" t="s">
        <v>74</v>
      </c>
      <c r="E982" t="s">
        <v>74</v>
      </c>
      <c r="F982" t="s">
        <v>16686</v>
      </c>
      <c r="G982" t="s">
        <v>74</v>
      </c>
      <c r="H982" t="s">
        <v>74</v>
      </c>
      <c r="I982" t="s">
        <v>16687</v>
      </c>
      <c r="J982" t="s">
        <v>10561</v>
      </c>
      <c r="K982" t="s">
        <v>74</v>
      </c>
      <c r="L982" t="s">
        <v>74</v>
      </c>
      <c r="M982" t="s">
        <v>77</v>
      </c>
      <c r="N982" t="s">
        <v>78</v>
      </c>
      <c r="O982" t="s">
        <v>74</v>
      </c>
      <c r="P982" t="s">
        <v>74</v>
      </c>
      <c r="Q982" t="s">
        <v>74</v>
      </c>
      <c r="R982" t="s">
        <v>74</v>
      </c>
      <c r="S982" t="s">
        <v>74</v>
      </c>
      <c r="T982" t="s">
        <v>16688</v>
      </c>
      <c r="U982" t="s">
        <v>16689</v>
      </c>
      <c r="V982" t="s">
        <v>16690</v>
      </c>
      <c r="W982" t="s">
        <v>16691</v>
      </c>
      <c r="X982" t="s">
        <v>16692</v>
      </c>
      <c r="Y982" t="s">
        <v>16693</v>
      </c>
      <c r="Z982" t="s">
        <v>16694</v>
      </c>
      <c r="AA982" t="s">
        <v>74</v>
      </c>
      <c r="AB982" t="s">
        <v>74</v>
      </c>
      <c r="AC982" t="s">
        <v>16695</v>
      </c>
      <c r="AD982" t="s">
        <v>16695</v>
      </c>
      <c r="AE982" t="s">
        <v>16696</v>
      </c>
      <c r="AF982" t="s">
        <v>74</v>
      </c>
      <c r="AG982">
        <v>86</v>
      </c>
      <c r="AH982">
        <v>2</v>
      </c>
      <c r="AI982">
        <v>2</v>
      </c>
      <c r="AJ982">
        <v>6</v>
      </c>
      <c r="AK982">
        <v>24</v>
      </c>
      <c r="AL982" t="s">
        <v>2473</v>
      </c>
      <c r="AM982" t="s">
        <v>2102</v>
      </c>
      <c r="AN982" t="s">
        <v>2474</v>
      </c>
      <c r="AO982" t="s">
        <v>74</v>
      </c>
      <c r="AP982" t="s">
        <v>10570</v>
      </c>
      <c r="AQ982" t="s">
        <v>74</v>
      </c>
      <c r="AR982" t="s">
        <v>10571</v>
      </c>
      <c r="AS982" t="s">
        <v>10572</v>
      </c>
      <c r="AT982" t="s">
        <v>165</v>
      </c>
      <c r="AU982">
        <v>2021</v>
      </c>
      <c r="AV982">
        <v>11</v>
      </c>
      <c r="AW982">
        <v>5</v>
      </c>
      <c r="AX982" t="s">
        <v>74</v>
      </c>
      <c r="AY982" t="s">
        <v>74</v>
      </c>
      <c r="AZ982" t="s">
        <v>74</v>
      </c>
      <c r="BA982" t="s">
        <v>74</v>
      </c>
      <c r="BB982" t="s">
        <v>74</v>
      </c>
      <c r="BC982" t="s">
        <v>74</v>
      </c>
      <c r="BD982">
        <v>70</v>
      </c>
      <c r="BE982" t="s">
        <v>16697</v>
      </c>
      <c r="BF982" t="str">
        <f>HYPERLINK("http://dx.doi.org/10.3390/bs11050070","http://dx.doi.org/10.3390/bs11050070")</f>
        <v>http://dx.doi.org/10.3390/bs11050070</v>
      </c>
      <c r="BG982" t="s">
        <v>74</v>
      </c>
      <c r="BH982" t="s">
        <v>74</v>
      </c>
      <c r="BI982">
        <v>27</v>
      </c>
      <c r="BJ982" t="s">
        <v>3203</v>
      </c>
      <c r="BK982" t="s">
        <v>94</v>
      </c>
      <c r="BL982" t="s">
        <v>460</v>
      </c>
      <c r="BM982" t="s">
        <v>16698</v>
      </c>
      <c r="BN982">
        <v>34066401</v>
      </c>
      <c r="BO982" t="s">
        <v>3205</v>
      </c>
      <c r="BP982" t="s">
        <v>74</v>
      </c>
      <c r="BQ982" t="s">
        <v>74</v>
      </c>
      <c r="BR982" t="s">
        <v>97</v>
      </c>
      <c r="BS982" t="s">
        <v>16699</v>
      </c>
      <c r="BT982" t="str">
        <f>HYPERLINK("https%3A%2F%2Fwww.webofscience.com%2Fwos%2Fwoscc%2Ffull-record%2FWOS:000653412800001","View Full Record in Web of Science")</f>
        <v>View Full Record in Web of Science</v>
      </c>
    </row>
    <row r="983" spans="1:72" x14ac:dyDescent="0.25">
      <c r="A983" t="s">
        <v>72</v>
      </c>
      <c r="B983" t="s">
        <v>16700</v>
      </c>
      <c r="C983" t="s">
        <v>74</v>
      </c>
      <c r="D983" t="s">
        <v>74</v>
      </c>
      <c r="E983" t="s">
        <v>74</v>
      </c>
      <c r="F983" t="s">
        <v>16701</v>
      </c>
      <c r="G983" t="s">
        <v>74</v>
      </c>
      <c r="H983" t="s">
        <v>74</v>
      </c>
      <c r="I983" t="s">
        <v>16702</v>
      </c>
      <c r="J983" t="s">
        <v>6372</v>
      </c>
      <c r="K983" t="s">
        <v>74</v>
      </c>
      <c r="L983" t="s">
        <v>74</v>
      </c>
      <c r="M983" t="s">
        <v>77</v>
      </c>
      <c r="N983" t="s">
        <v>78</v>
      </c>
      <c r="O983" t="s">
        <v>74</v>
      </c>
      <c r="P983" t="s">
        <v>74</v>
      </c>
      <c r="Q983" t="s">
        <v>74</v>
      </c>
      <c r="R983" t="s">
        <v>74</v>
      </c>
      <c r="S983" t="s">
        <v>74</v>
      </c>
      <c r="T983" t="s">
        <v>16703</v>
      </c>
      <c r="U983" t="s">
        <v>16704</v>
      </c>
      <c r="V983" t="s">
        <v>16705</v>
      </c>
      <c r="W983" t="s">
        <v>16706</v>
      </c>
      <c r="X983" t="s">
        <v>16707</v>
      </c>
      <c r="Y983" t="s">
        <v>16708</v>
      </c>
      <c r="Z983" t="s">
        <v>16709</v>
      </c>
      <c r="AA983" t="s">
        <v>16710</v>
      </c>
      <c r="AB983" t="s">
        <v>16711</v>
      </c>
      <c r="AC983" t="s">
        <v>16712</v>
      </c>
      <c r="AD983" t="s">
        <v>16713</v>
      </c>
      <c r="AE983" t="s">
        <v>16714</v>
      </c>
      <c r="AF983" t="s">
        <v>74</v>
      </c>
      <c r="AG983">
        <v>92</v>
      </c>
      <c r="AH983">
        <v>2</v>
      </c>
      <c r="AI983">
        <v>2</v>
      </c>
      <c r="AJ983">
        <v>4</v>
      </c>
      <c r="AK983">
        <v>18</v>
      </c>
      <c r="AL983" t="s">
        <v>2473</v>
      </c>
      <c r="AM983" t="s">
        <v>2102</v>
      </c>
      <c r="AN983" t="s">
        <v>2474</v>
      </c>
      <c r="AO983" t="s">
        <v>74</v>
      </c>
      <c r="AP983" t="s">
        <v>6384</v>
      </c>
      <c r="AQ983" t="s">
        <v>74</v>
      </c>
      <c r="AR983" t="s">
        <v>6385</v>
      </c>
      <c r="AS983" t="s">
        <v>6386</v>
      </c>
      <c r="AT983" t="s">
        <v>165</v>
      </c>
      <c r="AU983">
        <v>2021</v>
      </c>
      <c r="AV983">
        <v>18</v>
      </c>
      <c r="AW983">
        <v>10</v>
      </c>
      <c r="AX983" t="s">
        <v>74</v>
      </c>
      <c r="AY983" t="s">
        <v>74</v>
      </c>
      <c r="AZ983" t="s">
        <v>74</v>
      </c>
      <c r="BA983" t="s">
        <v>74</v>
      </c>
      <c r="BB983" t="s">
        <v>74</v>
      </c>
      <c r="BC983" t="s">
        <v>74</v>
      </c>
      <c r="BD983">
        <v>5265</v>
      </c>
      <c r="BE983" t="s">
        <v>16715</v>
      </c>
      <c r="BF983" t="str">
        <f>HYPERLINK("http://dx.doi.org/10.3390/ijerph18105265","http://dx.doi.org/10.3390/ijerph18105265")</f>
        <v>http://dx.doi.org/10.3390/ijerph18105265</v>
      </c>
      <c r="BG983" t="s">
        <v>74</v>
      </c>
      <c r="BH983" t="s">
        <v>74</v>
      </c>
      <c r="BI983">
        <v>15</v>
      </c>
      <c r="BJ983" t="s">
        <v>6388</v>
      </c>
      <c r="BK983" t="s">
        <v>147</v>
      </c>
      <c r="BL983" t="s">
        <v>6389</v>
      </c>
      <c r="BM983" t="s">
        <v>16716</v>
      </c>
      <c r="BN983">
        <v>34063404</v>
      </c>
      <c r="BO983" t="s">
        <v>4398</v>
      </c>
      <c r="BP983" t="s">
        <v>74</v>
      </c>
      <c r="BQ983" t="s">
        <v>74</v>
      </c>
      <c r="BR983" t="s">
        <v>97</v>
      </c>
      <c r="BS983" t="s">
        <v>16717</v>
      </c>
      <c r="BT983" t="str">
        <f>HYPERLINK("https%3A%2F%2Fwww.webofscience.com%2Fwos%2Fwoscc%2Ffull-record%2FWOS:000654842100001","View Full Record in Web of Science")</f>
        <v>View Full Record in Web of Science</v>
      </c>
    </row>
    <row r="984" spans="1:72" x14ac:dyDescent="0.25">
      <c r="A984" t="s">
        <v>72</v>
      </c>
      <c r="B984" t="s">
        <v>16718</v>
      </c>
      <c r="C984" t="s">
        <v>74</v>
      </c>
      <c r="D984" t="s">
        <v>74</v>
      </c>
      <c r="E984" t="s">
        <v>74</v>
      </c>
      <c r="F984" t="s">
        <v>16719</v>
      </c>
      <c r="G984" t="s">
        <v>74</v>
      </c>
      <c r="H984" t="s">
        <v>74</v>
      </c>
      <c r="I984" t="s">
        <v>16720</v>
      </c>
      <c r="J984" t="s">
        <v>2463</v>
      </c>
      <c r="K984" t="s">
        <v>74</v>
      </c>
      <c r="L984" t="s">
        <v>74</v>
      </c>
      <c r="M984" t="s">
        <v>77</v>
      </c>
      <c r="N984" t="s">
        <v>78</v>
      </c>
      <c r="O984" t="s">
        <v>74</v>
      </c>
      <c r="P984" t="s">
        <v>74</v>
      </c>
      <c r="Q984" t="s">
        <v>74</v>
      </c>
      <c r="R984" t="s">
        <v>74</v>
      </c>
      <c r="S984" t="s">
        <v>74</v>
      </c>
      <c r="T984" t="s">
        <v>16721</v>
      </c>
      <c r="U984" t="s">
        <v>16722</v>
      </c>
      <c r="V984" t="s">
        <v>16723</v>
      </c>
      <c r="W984" t="s">
        <v>16724</v>
      </c>
      <c r="X984" t="s">
        <v>16725</v>
      </c>
      <c r="Y984" t="s">
        <v>16726</v>
      </c>
      <c r="Z984" t="s">
        <v>16727</v>
      </c>
      <c r="AA984" t="s">
        <v>74</v>
      </c>
      <c r="AB984" t="s">
        <v>16728</v>
      </c>
      <c r="AC984" t="s">
        <v>16729</v>
      </c>
      <c r="AD984" t="s">
        <v>575</v>
      </c>
      <c r="AE984" t="s">
        <v>16730</v>
      </c>
      <c r="AF984" t="s">
        <v>74</v>
      </c>
      <c r="AG984">
        <v>83</v>
      </c>
      <c r="AH984">
        <v>2</v>
      </c>
      <c r="AI984">
        <v>2</v>
      </c>
      <c r="AJ984">
        <v>9</v>
      </c>
      <c r="AK984">
        <v>29</v>
      </c>
      <c r="AL984" t="s">
        <v>2473</v>
      </c>
      <c r="AM984" t="s">
        <v>2102</v>
      </c>
      <c r="AN984" t="s">
        <v>2474</v>
      </c>
      <c r="AO984" t="s">
        <v>74</v>
      </c>
      <c r="AP984" t="s">
        <v>2475</v>
      </c>
      <c r="AQ984" t="s">
        <v>74</v>
      </c>
      <c r="AR984" t="s">
        <v>2476</v>
      </c>
      <c r="AS984" t="s">
        <v>2477</v>
      </c>
      <c r="AT984" t="s">
        <v>165</v>
      </c>
      <c r="AU984">
        <v>2021</v>
      </c>
      <c r="AV984">
        <v>13</v>
      </c>
      <c r="AW984">
        <v>10</v>
      </c>
      <c r="AX984" t="s">
        <v>74</v>
      </c>
      <c r="AY984" t="s">
        <v>74</v>
      </c>
      <c r="AZ984" t="s">
        <v>74</v>
      </c>
      <c r="BA984" t="s">
        <v>74</v>
      </c>
      <c r="BB984" t="s">
        <v>74</v>
      </c>
      <c r="BC984" t="s">
        <v>74</v>
      </c>
      <c r="BD984">
        <v>5693</v>
      </c>
      <c r="BE984" t="s">
        <v>16731</v>
      </c>
      <c r="BF984" t="str">
        <f>HYPERLINK("http://dx.doi.org/10.3390/su13105693","http://dx.doi.org/10.3390/su13105693")</f>
        <v>http://dx.doi.org/10.3390/su13105693</v>
      </c>
      <c r="BG984" t="s">
        <v>74</v>
      </c>
      <c r="BH984" t="s">
        <v>74</v>
      </c>
      <c r="BI984">
        <v>24</v>
      </c>
      <c r="BJ984" t="s">
        <v>2479</v>
      </c>
      <c r="BK984" t="s">
        <v>147</v>
      </c>
      <c r="BL984" t="s">
        <v>2480</v>
      </c>
      <c r="BM984" t="s">
        <v>16732</v>
      </c>
      <c r="BN984" t="s">
        <v>74</v>
      </c>
      <c r="BO984" t="s">
        <v>2482</v>
      </c>
      <c r="BP984" t="s">
        <v>74</v>
      </c>
      <c r="BQ984" t="s">
        <v>74</v>
      </c>
      <c r="BR984" t="s">
        <v>97</v>
      </c>
      <c r="BS984" t="s">
        <v>16733</v>
      </c>
      <c r="BT984" t="str">
        <f>HYPERLINK("https%3A%2F%2Fwww.webofscience.com%2Fwos%2Fwoscc%2Ffull-record%2FWOS:000662531900001","View Full Record in Web of Science")</f>
        <v>View Full Record in Web of Science</v>
      </c>
    </row>
    <row r="985" spans="1:72" x14ac:dyDescent="0.25">
      <c r="A985" t="s">
        <v>72</v>
      </c>
      <c r="B985" t="s">
        <v>16734</v>
      </c>
      <c r="C985" t="s">
        <v>74</v>
      </c>
      <c r="D985" t="s">
        <v>74</v>
      </c>
      <c r="E985" t="s">
        <v>74</v>
      </c>
      <c r="F985" t="s">
        <v>16735</v>
      </c>
      <c r="G985" t="s">
        <v>74</v>
      </c>
      <c r="H985" t="s">
        <v>74</v>
      </c>
      <c r="I985" t="s">
        <v>16736</v>
      </c>
      <c r="J985" t="s">
        <v>2059</v>
      </c>
      <c r="K985" t="s">
        <v>74</v>
      </c>
      <c r="L985" t="s">
        <v>74</v>
      </c>
      <c r="M985" t="s">
        <v>77</v>
      </c>
      <c r="N985" t="s">
        <v>78</v>
      </c>
      <c r="O985" t="s">
        <v>74</v>
      </c>
      <c r="P985" t="s">
        <v>74</v>
      </c>
      <c r="Q985" t="s">
        <v>74</v>
      </c>
      <c r="R985" t="s">
        <v>74</v>
      </c>
      <c r="S985" t="s">
        <v>74</v>
      </c>
      <c r="T985" t="s">
        <v>16737</v>
      </c>
      <c r="U985" t="s">
        <v>74</v>
      </c>
      <c r="V985" t="s">
        <v>16738</v>
      </c>
      <c r="W985" t="s">
        <v>16739</v>
      </c>
      <c r="X985" t="s">
        <v>16740</v>
      </c>
      <c r="Y985" t="s">
        <v>16741</v>
      </c>
      <c r="Z985" t="s">
        <v>16742</v>
      </c>
      <c r="AA985" t="s">
        <v>74</v>
      </c>
      <c r="AB985" t="s">
        <v>16743</v>
      </c>
      <c r="AC985" t="s">
        <v>16744</v>
      </c>
      <c r="AD985" t="s">
        <v>16744</v>
      </c>
      <c r="AE985" t="s">
        <v>16745</v>
      </c>
      <c r="AF985" t="s">
        <v>74</v>
      </c>
      <c r="AG985">
        <v>73</v>
      </c>
      <c r="AH985">
        <v>2</v>
      </c>
      <c r="AI985">
        <v>2</v>
      </c>
      <c r="AJ985">
        <v>13</v>
      </c>
      <c r="AK985">
        <v>45</v>
      </c>
      <c r="AL985" t="s">
        <v>2067</v>
      </c>
      <c r="AM985" t="s">
        <v>2068</v>
      </c>
      <c r="AN985" t="s">
        <v>2069</v>
      </c>
      <c r="AO985" t="s">
        <v>2070</v>
      </c>
      <c r="AP985" t="s">
        <v>2071</v>
      </c>
      <c r="AQ985" t="s">
        <v>74</v>
      </c>
      <c r="AR985" t="s">
        <v>2072</v>
      </c>
      <c r="AS985" t="s">
        <v>2073</v>
      </c>
      <c r="AT985" t="s">
        <v>122</v>
      </c>
      <c r="AU985">
        <v>2021</v>
      </c>
      <c r="AV985">
        <v>49</v>
      </c>
      <c r="AW985">
        <v>4</v>
      </c>
      <c r="AX985" t="s">
        <v>74</v>
      </c>
      <c r="AY985" t="s">
        <v>74</v>
      </c>
      <c r="AZ985" t="s">
        <v>74</v>
      </c>
      <c r="BA985" t="s">
        <v>74</v>
      </c>
      <c r="BB985" t="s">
        <v>74</v>
      </c>
      <c r="BC985" t="s">
        <v>74</v>
      </c>
      <c r="BD985" t="s">
        <v>16746</v>
      </c>
      <c r="BE985" t="s">
        <v>16747</v>
      </c>
      <c r="BF985" t="str">
        <f>HYPERLINK("http://dx.doi.org/10.2224/sbp.9780","http://dx.doi.org/10.2224/sbp.9780")</f>
        <v>http://dx.doi.org/10.2224/sbp.9780</v>
      </c>
      <c r="BG985" t="s">
        <v>74</v>
      </c>
      <c r="BH985" t="s">
        <v>74</v>
      </c>
      <c r="BI985">
        <v>17</v>
      </c>
      <c r="BJ985" t="s">
        <v>459</v>
      </c>
      <c r="BK985" t="s">
        <v>94</v>
      </c>
      <c r="BL985" t="s">
        <v>460</v>
      </c>
      <c r="BM985" t="s">
        <v>16748</v>
      </c>
      <c r="BN985" t="s">
        <v>74</v>
      </c>
      <c r="BO985" t="s">
        <v>74</v>
      </c>
      <c r="BP985" t="s">
        <v>74</v>
      </c>
      <c r="BQ985" t="s">
        <v>74</v>
      </c>
      <c r="BR985" t="s">
        <v>97</v>
      </c>
      <c r="BS985" t="s">
        <v>16749</v>
      </c>
      <c r="BT985" t="str">
        <f>HYPERLINK("https%3A%2F%2Fwww.webofscience.com%2Fwos%2Fwoscc%2Ffull-record%2FWOS:000640645500003","View Full Record in Web of Science")</f>
        <v>View Full Record in Web of Science</v>
      </c>
    </row>
    <row r="986" spans="1:72" x14ac:dyDescent="0.25">
      <c r="A986" t="s">
        <v>72</v>
      </c>
      <c r="B986" t="s">
        <v>16750</v>
      </c>
      <c r="C986" t="s">
        <v>74</v>
      </c>
      <c r="D986" t="s">
        <v>74</v>
      </c>
      <c r="E986" t="s">
        <v>74</v>
      </c>
      <c r="F986" t="s">
        <v>16751</v>
      </c>
      <c r="G986" t="s">
        <v>74</v>
      </c>
      <c r="H986" t="s">
        <v>74</v>
      </c>
      <c r="I986" t="s">
        <v>16752</v>
      </c>
      <c r="J986" t="s">
        <v>3184</v>
      </c>
      <c r="K986" t="s">
        <v>74</v>
      </c>
      <c r="L986" t="s">
        <v>74</v>
      </c>
      <c r="M986" t="s">
        <v>77</v>
      </c>
      <c r="N986" t="s">
        <v>78</v>
      </c>
      <c r="O986" t="s">
        <v>74</v>
      </c>
      <c r="P986" t="s">
        <v>74</v>
      </c>
      <c r="Q986" t="s">
        <v>74</v>
      </c>
      <c r="R986" t="s">
        <v>74</v>
      </c>
      <c r="S986" t="s">
        <v>74</v>
      </c>
      <c r="T986" t="s">
        <v>16753</v>
      </c>
      <c r="U986" t="s">
        <v>74</v>
      </c>
      <c r="V986" t="s">
        <v>16754</v>
      </c>
      <c r="W986" t="s">
        <v>16755</v>
      </c>
      <c r="X986" t="s">
        <v>16756</v>
      </c>
      <c r="Y986" t="s">
        <v>16757</v>
      </c>
      <c r="Z986" t="s">
        <v>16758</v>
      </c>
      <c r="AA986" t="s">
        <v>74</v>
      </c>
      <c r="AB986" t="s">
        <v>74</v>
      </c>
      <c r="AC986" t="s">
        <v>74</v>
      </c>
      <c r="AD986" t="s">
        <v>74</v>
      </c>
      <c r="AE986" t="s">
        <v>74</v>
      </c>
      <c r="AF986" t="s">
        <v>74</v>
      </c>
      <c r="AG986">
        <v>70</v>
      </c>
      <c r="AH986">
        <v>2</v>
      </c>
      <c r="AI986">
        <v>2</v>
      </c>
      <c r="AJ986">
        <v>12</v>
      </c>
      <c r="AK986">
        <v>61</v>
      </c>
      <c r="AL986" t="s">
        <v>3195</v>
      </c>
      <c r="AM986" t="s">
        <v>3196</v>
      </c>
      <c r="AN986" t="s">
        <v>3197</v>
      </c>
      <c r="AO986" t="s">
        <v>3198</v>
      </c>
      <c r="AP986" t="s">
        <v>74</v>
      </c>
      <c r="AQ986" t="s">
        <v>74</v>
      </c>
      <c r="AR986" t="s">
        <v>3199</v>
      </c>
      <c r="AS986" t="s">
        <v>3200</v>
      </c>
      <c r="AT986" t="s">
        <v>16759</v>
      </c>
      <c r="AU986">
        <v>2021</v>
      </c>
      <c r="AV986">
        <v>12</v>
      </c>
      <c r="AW986" t="s">
        <v>74</v>
      </c>
      <c r="AX986" t="s">
        <v>74</v>
      </c>
      <c r="AY986" t="s">
        <v>74</v>
      </c>
      <c r="AZ986" t="s">
        <v>74</v>
      </c>
      <c r="BA986" t="s">
        <v>74</v>
      </c>
      <c r="BB986" t="s">
        <v>74</v>
      </c>
      <c r="BC986" t="s">
        <v>74</v>
      </c>
      <c r="BD986">
        <v>579551</v>
      </c>
      <c r="BE986" t="s">
        <v>16760</v>
      </c>
      <c r="BF986" t="str">
        <f>HYPERLINK("http://dx.doi.org/10.3389/fpsyg.2021.579551","http://dx.doi.org/10.3389/fpsyg.2021.579551")</f>
        <v>http://dx.doi.org/10.3389/fpsyg.2021.579551</v>
      </c>
      <c r="BG986" t="s">
        <v>74</v>
      </c>
      <c r="BH986" t="s">
        <v>74</v>
      </c>
      <c r="BI986">
        <v>11</v>
      </c>
      <c r="BJ986" t="s">
        <v>3203</v>
      </c>
      <c r="BK986" t="s">
        <v>94</v>
      </c>
      <c r="BL986" t="s">
        <v>460</v>
      </c>
      <c r="BM986" t="s">
        <v>16761</v>
      </c>
      <c r="BN986">
        <v>33746818</v>
      </c>
      <c r="BO986" t="s">
        <v>3205</v>
      </c>
      <c r="BP986" t="s">
        <v>74</v>
      </c>
      <c r="BQ986" t="s">
        <v>74</v>
      </c>
      <c r="BR986" t="s">
        <v>97</v>
      </c>
      <c r="BS986" t="s">
        <v>16762</v>
      </c>
      <c r="BT986" t="str">
        <f>HYPERLINK("https%3A%2F%2Fwww.webofscience.com%2Fwos%2Fwoscc%2Ffull-record%2FWOS:000630334700001","View Full Record in Web of Science")</f>
        <v>View Full Record in Web of Science</v>
      </c>
    </row>
    <row r="987" spans="1:72" x14ac:dyDescent="0.25">
      <c r="A987" t="s">
        <v>72</v>
      </c>
      <c r="B987" t="s">
        <v>16763</v>
      </c>
      <c r="C987" t="s">
        <v>74</v>
      </c>
      <c r="D987" t="s">
        <v>74</v>
      </c>
      <c r="E987" t="s">
        <v>74</v>
      </c>
      <c r="F987" t="s">
        <v>16764</v>
      </c>
      <c r="G987" t="s">
        <v>74</v>
      </c>
      <c r="H987" t="s">
        <v>74</v>
      </c>
      <c r="I987" t="s">
        <v>16765</v>
      </c>
      <c r="J987" t="s">
        <v>16766</v>
      </c>
      <c r="K987" t="s">
        <v>74</v>
      </c>
      <c r="L987" t="s">
        <v>74</v>
      </c>
      <c r="M987" t="s">
        <v>77</v>
      </c>
      <c r="N987" t="s">
        <v>78</v>
      </c>
      <c r="O987" t="s">
        <v>74</v>
      </c>
      <c r="P987" t="s">
        <v>74</v>
      </c>
      <c r="Q987" t="s">
        <v>74</v>
      </c>
      <c r="R987" t="s">
        <v>74</v>
      </c>
      <c r="S987" t="s">
        <v>74</v>
      </c>
      <c r="T987" t="s">
        <v>16767</v>
      </c>
      <c r="U987" t="s">
        <v>16768</v>
      </c>
      <c r="V987" t="s">
        <v>16769</v>
      </c>
      <c r="W987" t="s">
        <v>16770</v>
      </c>
      <c r="X987" t="s">
        <v>16771</v>
      </c>
      <c r="Y987" t="s">
        <v>16772</v>
      </c>
      <c r="Z987" t="s">
        <v>16773</v>
      </c>
      <c r="AA987" t="s">
        <v>74</v>
      </c>
      <c r="AB987" t="s">
        <v>74</v>
      </c>
      <c r="AC987" t="s">
        <v>16774</v>
      </c>
      <c r="AD987" t="s">
        <v>16775</v>
      </c>
      <c r="AE987" t="s">
        <v>16776</v>
      </c>
      <c r="AF987" t="s">
        <v>74</v>
      </c>
      <c r="AG987">
        <v>34</v>
      </c>
      <c r="AH987">
        <v>2</v>
      </c>
      <c r="AI987">
        <v>2</v>
      </c>
      <c r="AJ987">
        <v>1</v>
      </c>
      <c r="AK987">
        <v>14</v>
      </c>
      <c r="AL987" t="s">
        <v>16777</v>
      </c>
      <c r="AM987" t="s">
        <v>16778</v>
      </c>
      <c r="AN987" t="s">
        <v>16779</v>
      </c>
      <c r="AO987" t="s">
        <v>16780</v>
      </c>
      <c r="AP987" t="s">
        <v>74</v>
      </c>
      <c r="AQ987" t="s">
        <v>74</v>
      </c>
      <c r="AR987" t="s">
        <v>16781</v>
      </c>
      <c r="AS987" t="s">
        <v>16782</v>
      </c>
      <c r="AT987" t="s">
        <v>74</v>
      </c>
      <c r="AU987">
        <v>2021</v>
      </c>
      <c r="AV987">
        <v>24</v>
      </c>
      <c r="AW987">
        <v>2</v>
      </c>
      <c r="AX987" t="s">
        <v>74</v>
      </c>
      <c r="AY987" t="s">
        <v>74</v>
      </c>
      <c r="AZ987" t="s">
        <v>74</v>
      </c>
      <c r="BA987" t="s">
        <v>74</v>
      </c>
      <c r="BB987">
        <v>355</v>
      </c>
      <c r="BC987">
        <v>369</v>
      </c>
      <c r="BD987" t="s">
        <v>74</v>
      </c>
      <c r="BE987" t="s">
        <v>16783</v>
      </c>
      <c r="BF987" t="str">
        <f>HYPERLINK("http://dx.doi.org/10.22434/IFAMR2020.0016","http://dx.doi.org/10.22434/IFAMR2020.0016")</f>
        <v>http://dx.doi.org/10.22434/IFAMR2020.0016</v>
      </c>
      <c r="BG987" t="s">
        <v>74</v>
      </c>
      <c r="BH987" t="s">
        <v>74</v>
      </c>
      <c r="BI987">
        <v>15</v>
      </c>
      <c r="BJ987" t="s">
        <v>16784</v>
      </c>
      <c r="BK987" t="s">
        <v>147</v>
      </c>
      <c r="BL987" t="s">
        <v>5436</v>
      </c>
      <c r="BM987" t="s">
        <v>16785</v>
      </c>
      <c r="BN987" t="s">
        <v>74</v>
      </c>
      <c r="BO987" t="s">
        <v>4398</v>
      </c>
      <c r="BP987" t="s">
        <v>74</v>
      </c>
      <c r="BQ987" t="s">
        <v>74</v>
      </c>
      <c r="BR987" t="s">
        <v>97</v>
      </c>
      <c r="BS987" t="s">
        <v>16786</v>
      </c>
      <c r="BT987" t="str">
        <f>HYPERLINK("https%3A%2F%2Fwww.webofscience.com%2Fwos%2Fwoscc%2Ffull-record%2FWOS:000627593400011","View Full Record in Web of Science")</f>
        <v>View Full Record in Web of Science</v>
      </c>
    </row>
    <row r="988" spans="1:72" x14ac:dyDescent="0.25">
      <c r="A988" t="s">
        <v>72</v>
      </c>
      <c r="B988" t="s">
        <v>16787</v>
      </c>
      <c r="C988" t="s">
        <v>74</v>
      </c>
      <c r="D988" t="s">
        <v>74</v>
      </c>
      <c r="E988" t="s">
        <v>74</v>
      </c>
      <c r="F988" t="s">
        <v>16788</v>
      </c>
      <c r="G988" t="s">
        <v>74</v>
      </c>
      <c r="H988" t="s">
        <v>74</v>
      </c>
      <c r="I988" t="s">
        <v>16789</v>
      </c>
      <c r="J988" t="s">
        <v>14955</v>
      </c>
      <c r="K988" t="s">
        <v>74</v>
      </c>
      <c r="L988" t="s">
        <v>74</v>
      </c>
      <c r="M988" t="s">
        <v>77</v>
      </c>
      <c r="N988" t="s">
        <v>78</v>
      </c>
      <c r="O988" t="s">
        <v>74</v>
      </c>
      <c r="P988" t="s">
        <v>74</v>
      </c>
      <c r="Q988" t="s">
        <v>74</v>
      </c>
      <c r="R988" t="s">
        <v>74</v>
      </c>
      <c r="S988" t="s">
        <v>74</v>
      </c>
      <c r="T988" t="s">
        <v>74</v>
      </c>
      <c r="U988" t="s">
        <v>16790</v>
      </c>
      <c r="V988" t="s">
        <v>16791</v>
      </c>
      <c r="W988" t="s">
        <v>16792</v>
      </c>
      <c r="X988" t="s">
        <v>16793</v>
      </c>
      <c r="Y988" t="s">
        <v>16794</v>
      </c>
      <c r="Z988" t="s">
        <v>4799</v>
      </c>
      <c r="AA988" t="s">
        <v>16795</v>
      </c>
      <c r="AB988" t="s">
        <v>16796</v>
      </c>
      <c r="AC988" t="s">
        <v>16797</v>
      </c>
      <c r="AD988" t="s">
        <v>16798</v>
      </c>
      <c r="AE988" t="s">
        <v>16799</v>
      </c>
      <c r="AF988" t="s">
        <v>74</v>
      </c>
      <c r="AG988">
        <v>93</v>
      </c>
      <c r="AH988">
        <v>2</v>
      </c>
      <c r="AI988">
        <v>2</v>
      </c>
      <c r="AJ988">
        <v>3</v>
      </c>
      <c r="AK988">
        <v>24</v>
      </c>
      <c r="AL988" t="s">
        <v>218</v>
      </c>
      <c r="AM988" t="s">
        <v>219</v>
      </c>
      <c r="AN988" t="s">
        <v>220</v>
      </c>
      <c r="AO988" t="s">
        <v>14968</v>
      </c>
      <c r="AP988" t="s">
        <v>14969</v>
      </c>
      <c r="AQ988" t="s">
        <v>74</v>
      </c>
      <c r="AR988" t="s">
        <v>14970</v>
      </c>
      <c r="AS988" t="s">
        <v>14971</v>
      </c>
      <c r="AT988" t="s">
        <v>256</v>
      </c>
      <c r="AU988">
        <v>2021</v>
      </c>
      <c r="AV988">
        <v>70</v>
      </c>
      <c r="AW988">
        <v>4</v>
      </c>
      <c r="AX988" t="s">
        <v>74</v>
      </c>
      <c r="AY988" t="s">
        <v>74</v>
      </c>
      <c r="AZ988" t="s">
        <v>74</v>
      </c>
      <c r="BA988" t="s">
        <v>74</v>
      </c>
      <c r="BB988">
        <v>1543</v>
      </c>
      <c r="BC988">
        <v>1571</v>
      </c>
      <c r="BD988" t="s">
        <v>74</v>
      </c>
      <c r="BE988" t="s">
        <v>16800</v>
      </c>
      <c r="BF988" t="str">
        <f>HYPERLINK("http://dx.doi.org/10.1111/apps.12288","http://dx.doi.org/10.1111/apps.12288")</f>
        <v>http://dx.doi.org/10.1111/apps.12288</v>
      </c>
      <c r="BG988" t="s">
        <v>74</v>
      </c>
      <c r="BH988" t="s">
        <v>12767</v>
      </c>
      <c r="BI988">
        <v>29</v>
      </c>
      <c r="BJ988" t="s">
        <v>692</v>
      </c>
      <c r="BK988" t="s">
        <v>94</v>
      </c>
      <c r="BL988" t="s">
        <v>460</v>
      </c>
      <c r="BM988" t="s">
        <v>16801</v>
      </c>
      <c r="BN988" t="s">
        <v>74</v>
      </c>
      <c r="BO988" t="s">
        <v>74</v>
      </c>
      <c r="BP988" t="s">
        <v>74</v>
      </c>
      <c r="BQ988" t="s">
        <v>74</v>
      </c>
      <c r="BR988" t="s">
        <v>97</v>
      </c>
      <c r="BS988" t="s">
        <v>16802</v>
      </c>
      <c r="BT988" t="str">
        <f>HYPERLINK("https%3A%2F%2Fwww.webofscience.com%2Fwos%2Fwoscc%2Ffull-record%2FWOS:000580574400001","View Full Record in Web of Science")</f>
        <v>View Full Record in Web of Science</v>
      </c>
    </row>
    <row r="989" spans="1:72" x14ac:dyDescent="0.25">
      <c r="A989" t="s">
        <v>72</v>
      </c>
      <c r="B989" t="s">
        <v>16803</v>
      </c>
      <c r="C989" t="s">
        <v>74</v>
      </c>
      <c r="D989" t="s">
        <v>74</v>
      </c>
      <c r="E989" t="s">
        <v>74</v>
      </c>
      <c r="F989" t="s">
        <v>16804</v>
      </c>
      <c r="G989" t="s">
        <v>74</v>
      </c>
      <c r="H989" t="s">
        <v>74</v>
      </c>
      <c r="I989" t="s">
        <v>16805</v>
      </c>
      <c r="J989" t="s">
        <v>1220</v>
      </c>
      <c r="K989" t="s">
        <v>74</v>
      </c>
      <c r="L989" t="s">
        <v>74</v>
      </c>
      <c r="M989" t="s">
        <v>77</v>
      </c>
      <c r="N989" t="s">
        <v>78</v>
      </c>
      <c r="O989" t="s">
        <v>74</v>
      </c>
      <c r="P989" t="s">
        <v>74</v>
      </c>
      <c r="Q989" t="s">
        <v>74</v>
      </c>
      <c r="R989" t="s">
        <v>74</v>
      </c>
      <c r="S989" t="s">
        <v>74</v>
      </c>
      <c r="T989" t="s">
        <v>16806</v>
      </c>
      <c r="U989" t="s">
        <v>16807</v>
      </c>
      <c r="V989" t="s">
        <v>16808</v>
      </c>
      <c r="W989" t="s">
        <v>16809</v>
      </c>
      <c r="X989" t="s">
        <v>13206</v>
      </c>
      <c r="Y989" t="s">
        <v>16810</v>
      </c>
      <c r="Z989" t="s">
        <v>16811</v>
      </c>
      <c r="AA989" t="s">
        <v>13209</v>
      </c>
      <c r="AB989" t="s">
        <v>16812</v>
      </c>
      <c r="AC989" t="s">
        <v>74</v>
      </c>
      <c r="AD989" t="s">
        <v>74</v>
      </c>
      <c r="AE989" t="s">
        <v>74</v>
      </c>
      <c r="AF989" t="s">
        <v>74</v>
      </c>
      <c r="AG989">
        <v>66</v>
      </c>
      <c r="AH989">
        <v>2</v>
      </c>
      <c r="AI989">
        <v>2</v>
      </c>
      <c r="AJ989">
        <v>4</v>
      </c>
      <c r="AK989">
        <v>10</v>
      </c>
      <c r="AL989" t="s">
        <v>329</v>
      </c>
      <c r="AM989" t="s">
        <v>330</v>
      </c>
      <c r="AN989" t="s">
        <v>331</v>
      </c>
      <c r="AO989" t="s">
        <v>1228</v>
      </c>
      <c r="AP989" t="s">
        <v>1229</v>
      </c>
      <c r="AQ989" t="s">
        <v>74</v>
      </c>
      <c r="AR989" t="s">
        <v>1230</v>
      </c>
      <c r="AS989" t="s">
        <v>1231</v>
      </c>
      <c r="AT989" t="s">
        <v>792</v>
      </c>
      <c r="AU989">
        <v>2020</v>
      </c>
      <c r="AV989">
        <v>88</v>
      </c>
      <c r="AW989" t="s">
        <v>74</v>
      </c>
      <c r="AX989" t="s">
        <v>74</v>
      </c>
      <c r="AY989" t="s">
        <v>74</v>
      </c>
      <c r="AZ989" t="s">
        <v>74</v>
      </c>
      <c r="BA989" t="s">
        <v>74</v>
      </c>
      <c r="BB989">
        <v>366</v>
      </c>
      <c r="BC989">
        <v>377</v>
      </c>
      <c r="BD989" t="s">
        <v>74</v>
      </c>
      <c r="BE989" t="s">
        <v>16813</v>
      </c>
      <c r="BF989" t="str">
        <f>HYPERLINK("http://dx.doi.org/10.1016/j.indmarman.2020.05.027","http://dx.doi.org/10.1016/j.indmarman.2020.05.027")</f>
        <v>http://dx.doi.org/10.1016/j.indmarman.2020.05.027</v>
      </c>
      <c r="BG989" t="s">
        <v>74</v>
      </c>
      <c r="BH989" t="s">
        <v>74</v>
      </c>
      <c r="BI989">
        <v>12</v>
      </c>
      <c r="BJ989" t="s">
        <v>93</v>
      </c>
      <c r="BK989" t="s">
        <v>94</v>
      </c>
      <c r="BL989" t="s">
        <v>95</v>
      </c>
      <c r="BM989" t="s">
        <v>16814</v>
      </c>
      <c r="BN989" t="s">
        <v>74</v>
      </c>
      <c r="BO989" t="s">
        <v>74</v>
      </c>
      <c r="BP989" t="s">
        <v>74</v>
      </c>
      <c r="BQ989" t="s">
        <v>74</v>
      </c>
      <c r="BR989" t="s">
        <v>97</v>
      </c>
      <c r="BS989" t="s">
        <v>16815</v>
      </c>
      <c r="BT989" t="str">
        <f>HYPERLINK("https%3A%2F%2Fwww.webofscience.com%2Fwos%2Fwoscc%2Ffull-record%2FWOS:000552766500037","View Full Record in Web of Science")</f>
        <v>View Full Record in Web of Science</v>
      </c>
    </row>
    <row r="990" spans="1:72" x14ac:dyDescent="0.25">
      <c r="A990" t="s">
        <v>72</v>
      </c>
      <c r="B990" t="s">
        <v>16816</v>
      </c>
      <c r="C990" t="s">
        <v>74</v>
      </c>
      <c r="D990" t="s">
        <v>74</v>
      </c>
      <c r="E990" t="s">
        <v>74</v>
      </c>
      <c r="F990" t="s">
        <v>16817</v>
      </c>
      <c r="G990" t="s">
        <v>74</v>
      </c>
      <c r="H990" t="s">
        <v>74</v>
      </c>
      <c r="I990" t="s">
        <v>16818</v>
      </c>
      <c r="J990" t="s">
        <v>4134</v>
      </c>
      <c r="K990" t="s">
        <v>74</v>
      </c>
      <c r="L990" t="s">
        <v>74</v>
      </c>
      <c r="M990" t="s">
        <v>77</v>
      </c>
      <c r="N990" t="s">
        <v>78</v>
      </c>
      <c r="O990" t="s">
        <v>74</v>
      </c>
      <c r="P990" t="s">
        <v>74</v>
      </c>
      <c r="Q990" t="s">
        <v>74</v>
      </c>
      <c r="R990" t="s">
        <v>74</v>
      </c>
      <c r="S990" t="s">
        <v>74</v>
      </c>
      <c r="T990" t="s">
        <v>16819</v>
      </c>
      <c r="U990" t="s">
        <v>16820</v>
      </c>
      <c r="V990" t="s">
        <v>16821</v>
      </c>
      <c r="W990" t="s">
        <v>16822</v>
      </c>
      <c r="X990" t="s">
        <v>5203</v>
      </c>
      <c r="Y990" t="s">
        <v>16823</v>
      </c>
      <c r="Z990" t="s">
        <v>16824</v>
      </c>
      <c r="AA990" t="s">
        <v>74</v>
      </c>
      <c r="AB990" t="s">
        <v>5206</v>
      </c>
      <c r="AC990" t="s">
        <v>74</v>
      </c>
      <c r="AD990" t="s">
        <v>74</v>
      </c>
      <c r="AE990" t="s">
        <v>74</v>
      </c>
      <c r="AF990" t="s">
        <v>74</v>
      </c>
      <c r="AG990">
        <v>103</v>
      </c>
      <c r="AH990">
        <v>2</v>
      </c>
      <c r="AI990">
        <v>2</v>
      </c>
      <c r="AJ990">
        <v>5</v>
      </c>
      <c r="AK990">
        <v>34</v>
      </c>
      <c r="AL990" t="s">
        <v>665</v>
      </c>
      <c r="AM990" t="s">
        <v>666</v>
      </c>
      <c r="AN990" t="s">
        <v>667</v>
      </c>
      <c r="AO990" t="s">
        <v>4144</v>
      </c>
      <c r="AP990" t="s">
        <v>4145</v>
      </c>
      <c r="AQ990" t="s">
        <v>74</v>
      </c>
      <c r="AR990" t="s">
        <v>4146</v>
      </c>
      <c r="AS990" t="s">
        <v>4147</v>
      </c>
      <c r="AT990" t="s">
        <v>16825</v>
      </c>
      <c r="AU990">
        <v>2021</v>
      </c>
      <c r="AV990">
        <v>24</v>
      </c>
      <c r="AW990">
        <v>2</v>
      </c>
      <c r="AX990" t="s">
        <v>74</v>
      </c>
      <c r="AY990" t="s">
        <v>74</v>
      </c>
      <c r="AZ990" t="s">
        <v>74</v>
      </c>
      <c r="BA990" t="s">
        <v>74</v>
      </c>
      <c r="BB990">
        <v>533</v>
      </c>
      <c r="BC990">
        <v>552</v>
      </c>
      <c r="BD990" t="s">
        <v>74</v>
      </c>
      <c r="BE990" t="s">
        <v>16826</v>
      </c>
      <c r="BF990" t="str">
        <f>HYPERLINK("http://dx.doi.org/10.1108/EJIM-08-2019-0233","http://dx.doi.org/10.1108/EJIM-08-2019-0233")</f>
        <v>http://dx.doi.org/10.1108/EJIM-08-2019-0233</v>
      </c>
      <c r="BG990" t="s">
        <v>74</v>
      </c>
      <c r="BH990" t="s">
        <v>2176</v>
      </c>
      <c r="BI990">
        <v>20</v>
      </c>
      <c r="BJ990" t="s">
        <v>93</v>
      </c>
      <c r="BK990" t="s">
        <v>94</v>
      </c>
      <c r="BL990" t="s">
        <v>95</v>
      </c>
      <c r="BM990" t="s">
        <v>16827</v>
      </c>
      <c r="BN990" t="s">
        <v>74</v>
      </c>
      <c r="BO990" t="s">
        <v>74</v>
      </c>
      <c r="BP990" t="s">
        <v>74</v>
      </c>
      <c r="BQ990" t="s">
        <v>74</v>
      </c>
      <c r="BR990" t="s">
        <v>97</v>
      </c>
      <c r="BS990" t="s">
        <v>16828</v>
      </c>
      <c r="BT990" t="str">
        <f>HYPERLINK("https%3A%2F%2Fwww.webofscience.com%2Fwos%2Fwoscc%2Ffull-record%2FWOS:000541607400001","View Full Record in Web of Science")</f>
        <v>View Full Record in Web of Science</v>
      </c>
    </row>
    <row r="991" spans="1:72" x14ac:dyDescent="0.25">
      <c r="A991" t="s">
        <v>72</v>
      </c>
      <c r="B991" t="s">
        <v>16829</v>
      </c>
      <c r="C991" t="s">
        <v>74</v>
      </c>
      <c r="D991" t="s">
        <v>74</v>
      </c>
      <c r="E991" t="s">
        <v>74</v>
      </c>
      <c r="F991" t="s">
        <v>16830</v>
      </c>
      <c r="G991" t="s">
        <v>74</v>
      </c>
      <c r="H991" t="s">
        <v>74</v>
      </c>
      <c r="I991" t="s">
        <v>16831</v>
      </c>
      <c r="J991" t="s">
        <v>13001</v>
      </c>
      <c r="K991" t="s">
        <v>74</v>
      </c>
      <c r="L991" t="s">
        <v>74</v>
      </c>
      <c r="M991" t="s">
        <v>77</v>
      </c>
      <c r="N991" t="s">
        <v>78</v>
      </c>
      <c r="O991" t="s">
        <v>74</v>
      </c>
      <c r="P991" t="s">
        <v>74</v>
      </c>
      <c r="Q991" t="s">
        <v>74</v>
      </c>
      <c r="R991" t="s">
        <v>74</v>
      </c>
      <c r="S991" t="s">
        <v>74</v>
      </c>
      <c r="T991" t="s">
        <v>16832</v>
      </c>
      <c r="U991" t="s">
        <v>16833</v>
      </c>
      <c r="V991" t="s">
        <v>16834</v>
      </c>
      <c r="W991" t="s">
        <v>16835</v>
      </c>
      <c r="X991" t="s">
        <v>16836</v>
      </c>
      <c r="Y991" t="s">
        <v>16837</v>
      </c>
      <c r="Z991" t="s">
        <v>16838</v>
      </c>
      <c r="AA991" t="s">
        <v>16839</v>
      </c>
      <c r="AB991" t="s">
        <v>74</v>
      </c>
      <c r="AC991" t="s">
        <v>16836</v>
      </c>
      <c r="AD991" t="s">
        <v>16836</v>
      </c>
      <c r="AE991" t="s">
        <v>16840</v>
      </c>
      <c r="AF991" t="s">
        <v>74</v>
      </c>
      <c r="AG991">
        <v>69</v>
      </c>
      <c r="AH991">
        <v>2</v>
      </c>
      <c r="AI991">
        <v>2</v>
      </c>
      <c r="AJ991">
        <v>3</v>
      </c>
      <c r="AK991">
        <v>36</v>
      </c>
      <c r="AL991" t="s">
        <v>2351</v>
      </c>
      <c r="AM991" t="s">
        <v>541</v>
      </c>
      <c r="AN991" t="s">
        <v>2352</v>
      </c>
      <c r="AO991" t="s">
        <v>13011</v>
      </c>
      <c r="AP991" t="s">
        <v>13012</v>
      </c>
      <c r="AQ991" t="s">
        <v>74</v>
      </c>
      <c r="AR991" t="s">
        <v>13013</v>
      </c>
      <c r="AS991" t="s">
        <v>13014</v>
      </c>
      <c r="AT991" t="s">
        <v>91</v>
      </c>
      <c r="AU991">
        <v>2020</v>
      </c>
      <c r="AV991">
        <v>52</v>
      </c>
      <c r="AW991">
        <v>2</v>
      </c>
      <c r="AX991" t="s">
        <v>74</v>
      </c>
      <c r="AY991" t="s">
        <v>74</v>
      </c>
      <c r="AZ991" t="s">
        <v>74</v>
      </c>
      <c r="BA991" t="s">
        <v>74</v>
      </c>
      <c r="BB991">
        <v>441</v>
      </c>
      <c r="BC991">
        <v>450</v>
      </c>
      <c r="BD991" t="s">
        <v>74</v>
      </c>
      <c r="BE991" t="s">
        <v>16841</v>
      </c>
      <c r="BF991" t="str">
        <f>HYPERLINK("http://dx.doi.org/10.1177/0961000618810378","http://dx.doi.org/10.1177/0961000618810378")</f>
        <v>http://dx.doi.org/10.1177/0961000618810378</v>
      </c>
      <c r="BG991" t="s">
        <v>74</v>
      </c>
      <c r="BH991" t="s">
        <v>74</v>
      </c>
      <c r="BI991">
        <v>10</v>
      </c>
      <c r="BJ991" t="s">
        <v>7086</v>
      </c>
      <c r="BK991" t="s">
        <v>94</v>
      </c>
      <c r="BL991" t="s">
        <v>7086</v>
      </c>
      <c r="BM991" t="s">
        <v>16842</v>
      </c>
      <c r="BN991" t="s">
        <v>74</v>
      </c>
      <c r="BO991" t="s">
        <v>74</v>
      </c>
      <c r="BP991" t="s">
        <v>74</v>
      </c>
      <c r="BQ991" t="s">
        <v>74</v>
      </c>
      <c r="BR991" t="s">
        <v>97</v>
      </c>
      <c r="BS991" t="s">
        <v>16843</v>
      </c>
      <c r="BT991" t="str">
        <f>HYPERLINK("https%3A%2F%2Fwww.webofscience.com%2Fwos%2Fwoscc%2Ffull-record%2FWOS:000526383900009","View Full Record in Web of Science")</f>
        <v>View Full Record in Web of Science</v>
      </c>
    </row>
    <row r="992" spans="1:72" x14ac:dyDescent="0.25">
      <c r="A992" t="s">
        <v>72</v>
      </c>
      <c r="B992" t="s">
        <v>16844</v>
      </c>
      <c r="C992" t="s">
        <v>74</v>
      </c>
      <c r="D992" t="s">
        <v>74</v>
      </c>
      <c r="E992" t="s">
        <v>74</v>
      </c>
      <c r="F992" t="s">
        <v>16845</v>
      </c>
      <c r="G992" t="s">
        <v>74</v>
      </c>
      <c r="H992" t="s">
        <v>74</v>
      </c>
      <c r="I992" t="s">
        <v>16846</v>
      </c>
      <c r="J992" t="s">
        <v>2059</v>
      </c>
      <c r="K992" t="s">
        <v>74</v>
      </c>
      <c r="L992" t="s">
        <v>74</v>
      </c>
      <c r="M992" t="s">
        <v>77</v>
      </c>
      <c r="N992" t="s">
        <v>78</v>
      </c>
      <c r="O992" t="s">
        <v>74</v>
      </c>
      <c r="P992" t="s">
        <v>74</v>
      </c>
      <c r="Q992" t="s">
        <v>74</v>
      </c>
      <c r="R992" t="s">
        <v>74</v>
      </c>
      <c r="S992" t="s">
        <v>74</v>
      </c>
      <c r="T992" t="s">
        <v>16847</v>
      </c>
      <c r="U992" t="s">
        <v>16848</v>
      </c>
      <c r="V992" t="s">
        <v>16849</v>
      </c>
      <c r="W992" t="s">
        <v>16850</v>
      </c>
      <c r="X992" t="s">
        <v>6751</v>
      </c>
      <c r="Y992" t="s">
        <v>16851</v>
      </c>
      <c r="Z992" t="s">
        <v>16852</v>
      </c>
      <c r="AA992" t="s">
        <v>74</v>
      </c>
      <c r="AB992" t="s">
        <v>74</v>
      </c>
      <c r="AC992" t="s">
        <v>74</v>
      </c>
      <c r="AD992" t="s">
        <v>74</v>
      </c>
      <c r="AE992" t="s">
        <v>74</v>
      </c>
      <c r="AF992" t="s">
        <v>74</v>
      </c>
      <c r="AG992">
        <v>30</v>
      </c>
      <c r="AH992">
        <v>2</v>
      </c>
      <c r="AI992">
        <v>2</v>
      </c>
      <c r="AJ992">
        <v>13</v>
      </c>
      <c r="AK992">
        <v>61</v>
      </c>
      <c r="AL992" t="s">
        <v>2067</v>
      </c>
      <c r="AM992" t="s">
        <v>2068</v>
      </c>
      <c r="AN992" t="s">
        <v>2069</v>
      </c>
      <c r="AO992" t="s">
        <v>2070</v>
      </c>
      <c r="AP992" t="s">
        <v>2071</v>
      </c>
      <c r="AQ992" t="s">
        <v>74</v>
      </c>
      <c r="AR992" t="s">
        <v>2072</v>
      </c>
      <c r="AS992" t="s">
        <v>2073</v>
      </c>
      <c r="AT992" t="s">
        <v>200</v>
      </c>
      <c r="AU992">
        <v>2020</v>
      </c>
      <c r="AV992">
        <v>48</v>
      </c>
      <c r="AW992">
        <v>3</v>
      </c>
      <c r="AX992" t="s">
        <v>74</v>
      </c>
      <c r="AY992" t="s">
        <v>74</v>
      </c>
      <c r="AZ992" t="s">
        <v>74</v>
      </c>
      <c r="BA992" t="s">
        <v>74</v>
      </c>
      <c r="BB992" t="s">
        <v>74</v>
      </c>
      <c r="BC992" t="s">
        <v>74</v>
      </c>
      <c r="BD992" t="s">
        <v>16853</v>
      </c>
      <c r="BE992" t="s">
        <v>16854</v>
      </c>
      <c r="BF992" t="str">
        <f>HYPERLINK("http://dx.doi.org/10.2224/sbp.9014","http://dx.doi.org/10.2224/sbp.9014")</f>
        <v>http://dx.doi.org/10.2224/sbp.9014</v>
      </c>
      <c r="BG992" t="s">
        <v>74</v>
      </c>
      <c r="BH992" t="s">
        <v>74</v>
      </c>
      <c r="BI992">
        <v>6</v>
      </c>
      <c r="BJ992" t="s">
        <v>459</v>
      </c>
      <c r="BK992" t="s">
        <v>94</v>
      </c>
      <c r="BL992" t="s">
        <v>460</v>
      </c>
      <c r="BM992" t="s">
        <v>12235</v>
      </c>
      <c r="BN992" t="s">
        <v>74</v>
      </c>
      <c r="BO992" t="s">
        <v>74</v>
      </c>
      <c r="BP992" t="s">
        <v>74</v>
      </c>
      <c r="BQ992" t="s">
        <v>74</v>
      </c>
      <c r="BR992" t="s">
        <v>97</v>
      </c>
      <c r="BS992" t="s">
        <v>16855</v>
      </c>
      <c r="BT992" t="str">
        <f>HYPERLINK("https%3A%2F%2Fwww.webofscience.com%2Fwos%2Fwoscc%2Ffull-record%2FWOS:000519717800016","View Full Record in Web of Science")</f>
        <v>View Full Record in Web of Science</v>
      </c>
    </row>
    <row r="993" spans="1:72" x14ac:dyDescent="0.25">
      <c r="A993" t="s">
        <v>72</v>
      </c>
      <c r="B993" t="s">
        <v>16856</v>
      </c>
      <c r="C993" t="s">
        <v>74</v>
      </c>
      <c r="D993" t="s">
        <v>74</v>
      </c>
      <c r="E993" t="s">
        <v>74</v>
      </c>
      <c r="F993" t="s">
        <v>16857</v>
      </c>
      <c r="G993" t="s">
        <v>74</v>
      </c>
      <c r="H993" t="s">
        <v>74</v>
      </c>
      <c r="I993" t="s">
        <v>16858</v>
      </c>
      <c r="J993" t="s">
        <v>16859</v>
      </c>
      <c r="K993" t="s">
        <v>74</v>
      </c>
      <c r="L993" t="s">
        <v>74</v>
      </c>
      <c r="M993" t="s">
        <v>77</v>
      </c>
      <c r="N993" t="s">
        <v>78</v>
      </c>
      <c r="O993" t="s">
        <v>74</v>
      </c>
      <c r="P993" t="s">
        <v>74</v>
      </c>
      <c r="Q993" t="s">
        <v>74</v>
      </c>
      <c r="R993" t="s">
        <v>74</v>
      </c>
      <c r="S993" t="s">
        <v>74</v>
      </c>
      <c r="T993" t="s">
        <v>16860</v>
      </c>
      <c r="U993" t="s">
        <v>74</v>
      </c>
      <c r="V993" t="s">
        <v>16861</v>
      </c>
      <c r="W993" t="s">
        <v>16862</v>
      </c>
      <c r="X993" t="s">
        <v>16863</v>
      </c>
      <c r="Y993" t="s">
        <v>16864</v>
      </c>
      <c r="Z993" t="s">
        <v>16865</v>
      </c>
      <c r="AA993" t="s">
        <v>74</v>
      </c>
      <c r="AB993" t="s">
        <v>16866</v>
      </c>
      <c r="AC993" t="s">
        <v>74</v>
      </c>
      <c r="AD993" t="s">
        <v>74</v>
      </c>
      <c r="AE993" t="s">
        <v>74</v>
      </c>
      <c r="AF993" t="s">
        <v>74</v>
      </c>
      <c r="AG993">
        <v>10</v>
      </c>
      <c r="AH993">
        <v>2</v>
      </c>
      <c r="AI993">
        <v>2</v>
      </c>
      <c r="AJ993">
        <v>0</v>
      </c>
      <c r="AK993">
        <v>1</v>
      </c>
      <c r="AL993" t="s">
        <v>2351</v>
      </c>
      <c r="AM993" t="s">
        <v>541</v>
      </c>
      <c r="AN993" t="s">
        <v>2352</v>
      </c>
      <c r="AO993" t="s">
        <v>16867</v>
      </c>
      <c r="AP993" t="s">
        <v>16868</v>
      </c>
      <c r="AQ993" t="s">
        <v>74</v>
      </c>
      <c r="AR993" t="s">
        <v>16869</v>
      </c>
      <c r="AS993" t="s">
        <v>16870</v>
      </c>
      <c r="AT993" t="s">
        <v>405</v>
      </c>
      <c r="AU993">
        <v>2021</v>
      </c>
      <c r="AV993">
        <v>20</v>
      </c>
      <c r="AW993">
        <v>2</v>
      </c>
      <c r="AX993" t="s">
        <v>74</v>
      </c>
      <c r="AY993" t="s">
        <v>74</v>
      </c>
      <c r="AZ993" t="s">
        <v>74</v>
      </c>
      <c r="BA993" t="s">
        <v>74</v>
      </c>
      <c r="BB993">
        <v>807</v>
      </c>
      <c r="BC993">
        <v>813</v>
      </c>
      <c r="BD993">
        <v>1471301219891021</v>
      </c>
      <c r="BE993" t="s">
        <v>16871</v>
      </c>
      <c r="BF993" t="str">
        <f>HYPERLINK("http://dx.doi.org/10.1177/1471301219891021","http://dx.doi.org/10.1177/1471301219891021")</f>
        <v>http://dx.doi.org/10.1177/1471301219891021</v>
      </c>
      <c r="BG993" t="s">
        <v>74</v>
      </c>
      <c r="BH993" t="s">
        <v>4275</v>
      </c>
      <c r="BI993">
        <v>7</v>
      </c>
      <c r="BJ993" t="s">
        <v>16872</v>
      </c>
      <c r="BK993" t="s">
        <v>94</v>
      </c>
      <c r="BL993" t="s">
        <v>16873</v>
      </c>
      <c r="BM993" t="s">
        <v>16874</v>
      </c>
      <c r="BN993">
        <v>31771352</v>
      </c>
      <c r="BO993" t="s">
        <v>378</v>
      </c>
      <c r="BP993" t="s">
        <v>74</v>
      </c>
      <c r="BQ993" t="s">
        <v>74</v>
      </c>
      <c r="BR993" t="s">
        <v>97</v>
      </c>
      <c r="BS993" t="s">
        <v>16875</v>
      </c>
      <c r="BT993" t="str">
        <f>HYPERLINK("https%3A%2F%2Fwww.webofscience.com%2Fwos%2Fwoscc%2Ffull-record%2FWOS:000499533000001","View Full Record in Web of Science")</f>
        <v>View Full Record in Web of Science</v>
      </c>
    </row>
    <row r="994" spans="1:72" x14ac:dyDescent="0.25">
      <c r="A994" t="s">
        <v>72</v>
      </c>
      <c r="B994" t="s">
        <v>16876</v>
      </c>
      <c r="C994" t="s">
        <v>74</v>
      </c>
      <c r="D994" t="s">
        <v>74</v>
      </c>
      <c r="E994" t="s">
        <v>74</v>
      </c>
      <c r="F994" t="s">
        <v>16877</v>
      </c>
      <c r="G994" t="s">
        <v>74</v>
      </c>
      <c r="H994" t="s">
        <v>74</v>
      </c>
      <c r="I994" t="s">
        <v>16878</v>
      </c>
      <c r="J994" t="s">
        <v>2059</v>
      </c>
      <c r="K994" t="s">
        <v>74</v>
      </c>
      <c r="L994" t="s">
        <v>74</v>
      </c>
      <c r="M994" t="s">
        <v>77</v>
      </c>
      <c r="N994" t="s">
        <v>78</v>
      </c>
      <c r="O994" t="s">
        <v>74</v>
      </c>
      <c r="P994" t="s">
        <v>74</v>
      </c>
      <c r="Q994" t="s">
        <v>74</v>
      </c>
      <c r="R994" t="s">
        <v>74</v>
      </c>
      <c r="S994" t="s">
        <v>74</v>
      </c>
      <c r="T994" t="s">
        <v>16879</v>
      </c>
      <c r="U994" t="s">
        <v>16880</v>
      </c>
      <c r="V994" t="s">
        <v>16881</v>
      </c>
      <c r="W994" t="s">
        <v>16882</v>
      </c>
      <c r="X994" t="s">
        <v>16883</v>
      </c>
      <c r="Y994" t="s">
        <v>16884</v>
      </c>
      <c r="Z994" t="s">
        <v>16885</v>
      </c>
      <c r="AA994" t="s">
        <v>74</v>
      </c>
      <c r="AB994" t="s">
        <v>74</v>
      </c>
      <c r="AC994" t="s">
        <v>74</v>
      </c>
      <c r="AD994" t="s">
        <v>74</v>
      </c>
      <c r="AE994" t="s">
        <v>74</v>
      </c>
      <c r="AF994" t="s">
        <v>74</v>
      </c>
      <c r="AG994">
        <v>38</v>
      </c>
      <c r="AH994">
        <v>2</v>
      </c>
      <c r="AI994">
        <v>2</v>
      </c>
      <c r="AJ994">
        <v>6</v>
      </c>
      <c r="AK994">
        <v>32</v>
      </c>
      <c r="AL994" t="s">
        <v>2067</v>
      </c>
      <c r="AM994" t="s">
        <v>2068</v>
      </c>
      <c r="AN994" t="s">
        <v>2069</v>
      </c>
      <c r="AO994" t="s">
        <v>2070</v>
      </c>
      <c r="AP994" t="s">
        <v>2071</v>
      </c>
      <c r="AQ994" t="s">
        <v>74</v>
      </c>
      <c r="AR994" t="s">
        <v>2072</v>
      </c>
      <c r="AS994" t="s">
        <v>2073</v>
      </c>
      <c r="AT994" t="s">
        <v>496</v>
      </c>
      <c r="AU994">
        <v>2019</v>
      </c>
      <c r="AV994">
        <v>47</v>
      </c>
      <c r="AW994">
        <v>9</v>
      </c>
      <c r="AX994" t="s">
        <v>74</v>
      </c>
      <c r="AY994" t="s">
        <v>74</v>
      </c>
      <c r="AZ994" t="s">
        <v>74</v>
      </c>
      <c r="BA994" t="s">
        <v>74</v>
      </c>
      <c r="BB994" t="s">
        <v>74</v>
      </c>
      <c r="BC994" t="s">
        <v>74</v>
      </c>
      <c r="BD994" t="s">
        <v>16886</v>
      </c>
      <c r="BE994" t="s">
        <v>16887</v>
      </c>
      <c r="BF994" t="str">
        <f>HYPERLINK("http://dx.doi.org/10.2224/sbp.8166","http://dx.doi.org/10.2224/sbp.8166")</f>
        <v>http://dx.doi.org/10.2224/sbp.8166</v>
      </c>
      <c r="BG994" t="s">
        <v>74</v>
      </c>
      <c r="BH994" t="s">
        <v>74</v>
      </c>
      <c r="BI994">
        <v>14</v>
      </c>
      <c r="BJ994" t="s">
        <v>459</v>
      </c>
      <c r="BK994" t="s">
        <v>94</v>
      </c>
      <c r="BL994" t="s">
        <v>460</v>
      </c>
      <c r="BM994" t="s">
        <v>8347</v>
      </c>
      <c r="BN994" t="s">
        <v>74</v>
      </c>
      <c r="BO994" t="s">
        <v>74</v>
      </c>
      <c r="BP994" t="s">
        <v>74</v>
      </c>
      <c r="BQ994" t="s">
        <v>74</v>
      </c>
      <c r="BR994" t="s">
        <v>97</v>
      </c>
      <c r="BS994" t="s">
        <v>16888</v>
      </c>
      <c r="BT994" t="str">
        <f>HYPERLINK("https%3A%2F%2Fwww.webofscience.com%2Fwos%2Fwoscc%2Ffull-record%2FWOS:000485660100004","View Full Record in Web of Science")</f>
        <v>View Full Record in Web of Science</v>
      </c>
    </row>
    <row r="995" spans="1:72" x14ac:dyDescent="0.25">
      <c r="A995" t="s">
        <v>72</v>
      </c>
      <c r="B995" t="s">
        <v>16889</v>
      </c>
      <c r="C995" t="s">
        <v>74</v>
      </c>
      <c r="D995" t="s">
        <v>74</v>
      </c>
      <c r="E995" t="s">
        <v>74</v>
      </c>
      <c r="F995" t="s">
        <v>16890</v>
      </c>
      <c r="G995" t="s">
        <v>74</v>
      </c>
      <c r="H995" t="s">
        <v>74</v>
      </c>
      <c r="I995" t="s">
        <v>16891</v>
      </c>
      <c r="J995" t="s">
        <v>16892</v>
      </c>
      <c r="K995" t="s">
        <v>74</v>
      </c>
      <c r="L995" t="s">
        <v>74</v>
      </c>
      <c r="M995" t="s">
        <v>77</v>
      </c>
      <c r="N995" t="s">
        <v>78</v>
      </c>
      <c r="O995" t="s">
        <v>74</v>
      </c>
      <c r="P995" t="s">
        <v>74</v>
      </c>
      <c r="Q995" t="s">
        <v>74</v>
      </c>
      <c r="R995" t="s">
        <v>74</v>
      </c>
      <c r="S995" t="s">
        <v>74</v>
      </c>
      <c r="T995" t="s">
        <v>16893</v>
      </c>
      <c r="U995" t="s">
        <v>16894</v>
      </c>
      <c r="V995" t="s">
        <v>16895</v>
      </c>
      <c r="W995" t="s">
        <v>16896</v>
      </c>
      <c r="X995" t="s">
        <v>74</v>
      </c>
      <c r="Y995" t="s">
        <v>16897</v>
      </c>
      <c r="Z995" t="s">
        <v>16898</v>
      </c>
      <c r="AA995" t="s">
        <v>74</v>
      </c>
      <c r="AB995" t="s">
        <v>74</v>
      </c>
      <c r="AC995" t="s">
        <v>16899</v>
      </c>
      <c r="AD995" t="s">
        <v>16900</v>
      </c>
      <c r="AE995" t="s">
        <v>16901</v>
      </c>
      <c r="AF995" t="s">
        <v>74</v>
      </c>
      <c r="AG995">
        <v>16</v>
      </c>
      <c r="AH995">
        <v>2</v>
      </c>
      <c r="AI995">
        <v>3</v>
      </c>
      <c r="AJ995">
        <v>0</v>
      </c>
      <c r="AK995">
        <v>5</v>
      </c>
      <c r="AL995" t="s">
        <v>16902</v>
      </c>
      <c r="AM995" t="s">
        <v>16903</v>
      </c>
      <c r="AN995" t="s">
        <v>16904</v>
      </c>
      <c r="AO995" t="s">
        <v>16905</v>
      </c>
      <c r="AP995" t="s">
        <v>16906</v>
      </c>
      <c r="AQ995" t="s">
        <v>74</v>
      </c>
      <c r="AR995" t="s">
        <v>16907</v>
      </c>
      <c r="AS995" t="s">
        <v>16908</v>
      </c>
      <c r="AT995" t="s">
        <v>200</v>
      </c>
      <c r="AU995">
        <v>2019</v>
      </c>
      <c r="AV995">
        <v>23</v>
      </c>
      <c r="AW995">
        <v>1</v>
      </c>
      <c r="AX995" t="s">
        <v>74</v>
      </c>
      <c r="AY995" t="s">
        <v>74</v>
      </c>
      <c r="AZ995" t="s">
        <v>74</v>
      </c>
      <c r="BA995" t="s">
        <v>74</v>
      </c>
      <c r="BB995">
        <v>55</v>
      </c>
      <c r="BC995">
        <v>64</v>
      </c>
      <c r="BD995" t="s">
        <v>74</v>
      </c>
      <c r="BE995" t="s">
        <v>16909</v>
      </c>
      <c r="BF995" t="str">
        <f>HYPERLINK("http://dx.doi.org/10.29063/ajrh2019/v23i1.6","http://dx.doi.org/10.29063/ajrh2019/v23i1.6")</f>
        <v>http://dx.doi.org/10.29063/ajrh2019/v23i1.6</v>
      </c>
      <c r="BG995" t="s">
        <v>74</v>
      </c>
      <c r="BH995" t="s">
        <v>74</v>
      </c>
      <c r="BI995">
        <v>10</v>
      </c>
      <c r="BJ995" t="s">
        <v>8184</v>
      </c>
      <c r="BK995" t="s">
        <v>94</v>
      </c>
      <c r="BL995" t="s">
        <v>8184</v>
      </c>
      <c r="BM995" t="s">
        <v>16910</v>
      </c>
      <c r="BN995">
        <v>31034172</v>
      </c>
      <c r="BO995" t="s">
        <v>74</v>
      </c>
      <c r="BP995" t="s">
        <v>74</v>
      </c>
      <c r="BQ995" t="s">
        <v>74</v>
      </c>
      <c r="BR995" t="s">
        <v>97</v>
      </c>
      <c r="BS995" t="s">
        <v>16911</v>
      </c>
      <c r="BT995" t="str">
        <f>HYPERLINK("https%3A%2F%2Fwww.webofscience.com%2Fwos%2Fwoscc%2Ffull-record%2FWOS:000484336900006","View Full Record in Web of Science")</f>
        <v>View Full Record in Web of Science</v>
      </c>
    </row>
    <row r="996" spans="1:72" x14ac:dyDescent="0.25">
      <c r="A996" t="s">
        <v>72</v>
      </c>
      <c r="B996" t="s">
        <v>16912</v>
      </c>
      <c r="C996" t="s">
        <v>74</v>
      </c>
      <c r="D996" t="s">
        <v>74</v>
      </c>
      <c r="E996" t="s">
        <v>74</v>
      </c>
      <c r="F996" t="s">
        <v>16913</v>
      </c>
      <c r="G996" t="s">
        <v>74</v>
      </c>
      <c r="H996" t="s">
        <v>74</v>
      </c>
      <c r="I996" t="s">
        <v>16914</v>
      </c>
      <c r="J996" t="s">
        <v>2463</v>
      </c>
      <c r="K996" t="s">
        <v>74</v>
      </c>
      <c r="L996" t="s">
        <v>74</v>
      </c>
      <c r="M996" t="s">
        <v>77</v>
      </c>
      <c r="N996" t="s">
        <v>78</v>
      </c>
      <c r="O996" t="s">
        <v>74</v>
      </c>
      <c r="P996" t="s">
        <v>74</v>
      </c>
      <c r="Q996" t="s">
        <v>74</v>
      </c>
      <c r="R996" t="s">
        <v>74</v>
      </c>
      <c r="S996" t="s">
        <v>74</v>
      </c>
      <c r="T996" t="s">
        <v>16915</v>
      </c>
      <c r="U996" t="s">
        <v>16916</v>
      </c>
      <c r="V996" t="s">
        <v>16917</v>
      </c>
      <c r="W996" t="s">
        <v>16918</v>
      </c>
      <c r="X996" t="s">
        <v>16919</v>
      </c>
      <c r="Y996" t="s">
        <v>16920</v>
      </c>
      <c r="Z996" t="s">
        <v>16921</v>
      </c>
      <c r="AA996" t="s">
        <v>74</v>
      </c>
      <c r="AB996" t="s">
        <v>74</v>
      </c>
      <c r="AC996" t="s">
        <v>74</v>
      </c>
      <c r="AD996" t="s">
        <v>74</v>
      </c>
      <c r="AE996" t="s">
        <v>74</v>
      </c>
      <c r="AF996" t="s">
        <v>74</v>
      </c>
      <c r="AG996">
        <v>53</v>
      </c>
      <c r="AH996">
        <v>2</v>
      </c>
      <c r="AI996">
        <v>2</v>
      </c>
      <c r="AJ996">
        <v>5</v>
      </c>
      <c r="AK996">
        <v>12</v>
      </c>
      <c r="AL996" t="s">
        <v>2473</v>
      </c>
      <c r="AM996" t="s">
        <v>2102</v>
      </c>
      <c r="AN996" t="s">
        <v>2474</v>
      </c>
      <c r="AO996" t="s">
        <v>74</v>
      </c>
      <c r="AP996" t="s">
        <v>2475</v>
      </c>
      <c r="AQ996" t="s">
        <v>74</v>
      </c>
      <c r="AR996" t="s">
        <v>2476</v>
      </c>
      <c r="AS996" t="s">
        <v>2477</v>
      </c>
      <c r="AT996" t="s">
        <v>392</v>
      </c>
      <c r="AU996">
        <v>2018</v>
      </c>
      <c r="AV996">
        <v>10</v>
      </c>
      <c r="AW996">
        <v>8</v>
      </c>
      <c r="AX996" t="s">
        <v>74</v>
      </c>
      <c r="AY996" t="s">
        <v>74</v>
      </c>
      <c r="AZ996" t="s">
        <v>74</v>
      </c>
      <c r="BA996" t="s">
        <v>74</v>
      </c>
      <c r="BB996" t="s">
        <v>74</v>
      </c>
      <c r="BC996" t="s">
        <v>74</v>
      </c>
      <c r="BD996">
        <v>2785</v>
      </c>
      <c r="BE996" t="s">
        <v>16922</v>
      </c>
      <c r="BF996" t="str">
        <f>HYPERLINK("http://dx.doi.org/10.3390/su10082785","http://dx.doi.org/10.3390/su10082785")</f>
        <v>http://dx.doi.org/10.3390/su10082785</v>
      </c>
      <c r="BG996" t="s">
        <v>74</v>
      </c>
      <c r="BH996" t="s">
        <v>74</v>
      </c>
      <c r="BI996">
        <v>14</v>
      </c>
      <c r="BJ996" t="s">
        <v>2479</v>
      </c>
      <c r="BK996" t="s">
        <v>147</v>
      </c>
      <c r="BL996" t="s">
        <v>2480</v>
      </c>
      <c r="BM996" t="s">
        <v>14398</v>
      </c>
      <c r="BN996" t="s">
        <v>74</v>
      </c>
      <c r="BO996" t="s">
        <v>3513</v>
      </c>
      <c r="BP996" t="s">
        <v>74</v>
      </c>
      <c r="BQ996" t="s">
        <v>74</v>
      </c>
      <c r="BR996" t="s">
        <v>97</v>
      </c>
      <c r="BS996" t="s">
        <v>16923</v>
      </c>
      <c r="BT996" t="str">
        <f>HYPERLINK("https%3A%2F%2Fwww.webofscience.com%2Fwos%2Fwoscc%2Ffull-record%2FWOS:000446767700201","View Full Record in Web of Science")</f>
        <v>View Full Record in Web of Science</v>
      </c>
    </row>
    <row r="997" spans="1:72" x14ac:dyDescent="0.25">
      <c r="A997" t="s">
        <v>72</v>
      </c>
      <c r="B997" t="s">
        <v>16924</v>
      </c>
      <c r="C997" t="s">
        <v>74</v>
      </c>
      <c r="D997" t="s">
        <v>74</v>
      </c>
      <c r="E997" t="s">
        <v>74</v>
      </c>
      <c r="F997" t="s">
        <v>16925</v>
      </c>
      <c r="G997" t="s">
        <v>74</v>
      </c>
      <c r="H997" t="s">
        <v>74</v>
      </c>
      <c r="I997" t="s">
        <v>16926</v>
      </c>
      <c r="J997" t="s">
        <v>16927</v>
      </c>
      <c r="K997" t="s">
        <v>74</v>
      </c>
      <c r="L997" t="s">
        <v>74</v>
      </c>
      <c r="M997" t="s">
        <v>77</v>
      </c>
      <c r="N997" t="s">
        <v>78</v>
      </c>
      <c r="O997" t="s">
        <v>74</v>
      </c>
      <c r="P997" t="s">
        <v>74</v>
      </c>
      <c r="Q997" t="s">
        <v>74</v>
      </c>
      <c r="R997" t="s">
        <v>74</v>
      </c>
      <c r="S997" t="s">
        <v>74</v>
      </c>
      <c r="T997" t="s">
        <v>16928</v>
      </c>
      <c r="U997" t="s">
        <v>74</v>
      </c>
      <c r="V997" t="s">
        <v>16929</v>
      </c>
      <c r="W997" t="s">
        <v>16930</v>
      </c>
      <c r="X997" t="s">
        <v>16931</v>
      </c>
      <c r="Y997" t="s">
        <v>16932</v>
      </c>
      <c r="Z997" t="s">
        <v>16933</v>
      </c>
      <c r="AA997" t="s">
        <v>74</v>
      </c>
      <c r="AB997" t="s">
        <v>74</v>
      </c>
      <c r="AC997" t="s">
        <v>74</v>
      </c>
      <c r="AD997" t="s">
        <v>74</v>
      </c>
      <c r="AE997" t="s">
        <v>74</v>
      </c>
      <c r="AF997" t="s">
        <v>74</v>
      </c>
      <c r="AG997">
        <v>23</v>
      </c>
      <c r="AH997">
        <v>2</v>
      </c>
      <c r="AI997">
        <v>2</v>
      </c>
      <c r="AJ997">
        <v>2</v>
      </c>
      <c r="AK997">
        <v>14</v>
      </c>
      <c r="AL997" t="s">
        <v>16934</v>
      </c>
      <c r="AM997" t="s">
        <v>16935</v>
      </c>
      <c r="AN997" t="s">
        <v>16936</v>
      </c>
      <c r="AO997" t="s">
        <v>16937</v>
      </c>
      <c r="AP997" t="s">
        <v>74</v>
      </c>
      <c r="AQ997" t="s">
        <v>74</v>
      </c>
      <c r="AR997" t="s">
        <v>16938</v>
      </c>
      <c r="AS997" t="s">
        <v>16939</v>
      </c>
      <c r="AT997" t="s">
        <v>74</v>
      </c>
      <c r="AU997">
        <v>2018</v>
      </c>
      <c r="AV997">
        <v>26</v>
      </c>
      <c r="AW997">
        <v>2</v>
      </c>
      <c r="AX997" t="s">
        <v>74</v>
      </c>
      <c r="AY997" t="s">
        <v>74</v>
      </c>
      <c r="AZ997" t="s">
        <v>74</v>
      </c>
      <c r="BA997" t="s">
        <v>74</v>
      </c>
      <c r="BB997">
        <v>129</v>
      </c>
      <c r="BC997">
        <v>138</v>
      </c>
      <c r="BD997" t="s">
        <v>74</v>
      </c>
      <c r="BE997" t="s">
        <v>74</v>
      </c>
      <c r="BF997" t="s">
        <v>74</v>
      </c>
      <c r="BG997" t="s">
        <v>74</v>
      </c>
      <c r="BH997" t="s">
        <v>74</v>
      </c>
      <c r="BI997">
        <v>10</v>
      </c>
      <c r="BJ997" t="s">
        <v>16940</v>
      </c>
      <c r="BK997" t="s">
        <v>283</v>
      </c>
      <c r="BL997" t="s">
        <v>16941</v>
      </c>
      <c r="BM997" t="s">
        <v>16942</v>
      </c>
      <c r="BN997" t="s">
        <v>74</v>
      </c>
      <c r="BO997" t="s">
        <v>74</v>
      </c>
      <c r="BP997" t="s">
        <v>74</v>
      </c>
      <c r="BQ997" t="s">
        <v>74</v>
      </c>
      <c r="BR997" t="s">
        <v>97</v>
      </c>
      <c r="BS997" t="s">
        <v>16943</v>
      </c>
      <c r="BT997" t="str">
        <f>HYPERLINK("https%3A%2F%2Fwww.webofscience.com%2Fwos%2Fwoscc%2Ffull-record%2FWOS:000437812600016","View Full Record in Web of Science")</f>
        <v>View Full Record in Web of Science</v>
      </c>
    </row>
    <row r="998" spans="1:72" x14ac:dyDescent="0.25">
      <c r="A998" t="s">
        <v>72</v>
      </c>
      <c r="B998" t="s">
        <v>16944</v>
      </c>
      <c r="C998" t="s">
        <v>74</v>
      </c>
      <c r="D998" t="s">
        <v>74</v>
      </c>
      <c r="E998" t="s">
        <v>74</v>
      </c>
      <c r="F998" t="s">
        <v>16945</v>
      </c>
      <c r="G998" t="s">
        <v>74</v>
      </c>
      <c r="H998" t="s">
        <v>74</v>
      </c>
      <c r="I998" t="s">
        <v>16946</v>
      </c>
      <c r="J998" t="s">
        <v>2771</v>
      </c>
      <c r="K998" t="s">
        <v>74</v>
      </c>
      <c r="L998" t="s">
        <v>74</v>
      </c>
      <c r="M998" t="s">
        <v>77</v>
      </c>
      <c r="N998" t="s">
        <v>78</v>
      </c>
      <c r="O998" t="s">
        <v>74</v>
      </c>
      <c r="P998" t="s">
        <v>74</v>
      </c>
      <c r="Q998" t="s">
        <v>74</v>
      </c>
      <c r="R998" t="s">
        <v>74</v>
      </c>
      <c r="S998" t="s">
        <v>74</v>
      </c>
      <c r="T998" t="s">
        <v>16947</v>
      </c>
      <c r="U998" t="s">
        <v>16948</v>
      </c>
      <c r="V998" t="s">
        <v>16949</v>
      </c>
      <c r="W998" t="s">
        <v>16950</v>
      </c>
      <c r="X998" t="s">
        <v>16951</v>
      </c>
      <c r="Y998" t="s">
        <v>16952</v>
      </c>
      <c r="Z998" t="s">
        <v>16953</v>
      </c>
      <c r="AA998" t="s">
        <v>74</v>
      </c>
      <c r="AB998" t="s">
        <v>16954</v>
      </c>
      <c r="AC998" t="s">
        <v>74</v>
      </c>
      <c r="AD998" t="s">
        <v>74</v>
      </c>
      <c r="AE998" t="s">
        <v>74</v>
      </c>
      <c r="AF998" t="s">
        <v>74</v>
      </c>
      <c r="AG998">
        <v>45</v>
      </c>
      <c r="AH998">
        <v>2</v>
      </c>
      <c r="AI998">
        <v>2</v>
      </c>
      <c r="AJ998">
        <v>0</v>
      </c>
      <c r="AK998">
        <v>13</v>
      </c>
      <c r="AL998" t="s">
        <v>665</v>
      </c>
      <c r="AM998" t="s">
        <v>666</v>
      </c>
      <c r="AN998" t="s">
        <v>667</v>
      </c>
      <c r="AO998" t="s">
        <v>2781</v>
      </c>
      <c r="AP998" t="s">
        <v>2782</v>
      </c>
      <c r="AQ998" t="s">
        <v>74</v>
      </c>
      <c r="AR998" t="s">
        <v>2771</v>
      </c>
      <c r="AS998" t="s">
        <v>2783</v>
      </c>
      <c r="AT998" t="s">
        <v>74</v>
      </c>
      <c r="AU998">
        <v>2018</v>
      </c>
      <c r="AV998">
        <v>47</v>
      </c>
      <c r="AW998">
        <v>7</v>
      </c>
      <c r="AX998" t="s">
        <v>74</v>
      </c>
      <c r="AY998" t="s">
        <v>74</v>
      </c>
      <c r="AZ998" t="s">
        <v>74</v>
      </c>
      <c r="BA998" t="s">
        <v>74</v>
      </c>
      <c r="BB998">
        <v>1363</v>
      </c>
      <c r="BC998">
        <v>1377</v>
      </c>
      <c r="BD998" t="s">
        <v>74</v>
      </c>
      <c r="BE998" t="s">
        <v>16955</v>
      </c>
      <c r="BF998" t="str">
        <f>HYPERLINK("http://dx.doi.org/10.1108/K-05-2017-0183","http://dx.doi.org/10.1108/K-05-2017-0183")</f>
        <v>http://dx.doi.org/10.1108/K-05-2017-0183</v>
      </c>
      <c r="BG998" t="s">
        <v>74</v>
      </c>
      <c r="BH998" t="s">
        <v>74</v>
      </c>
      <c r="BI998">
        <v>15</v>
      </c>
      <c r="BJ998" t="s">
        <v>2785</v>
      </c>
      <c r="BK998" t="s">
        <v>147</v>
      </c>
      <c r="BL998" t="s">
        <v>2786</v>
      </c>
      <c r="BM998" t="s">
        <v>16956</v>
      </c>
      <c r="BN998" t="s">
        <v>74</v>
      </c>
      <c r="BO998" t="s">
        <v>74</v>
      </c>
      <c r="BP998" t="s">
        <v>74</v>
      </c>
      <c r="BQ998" t="s">
        <v>74</v>
      </c>
      <c r="BR998" t="s">
        <v>97</v>
      </c>
      <c r="BS998" t="s">
        <v>16957</v>
      </c>
      <c r="BT998" t="str">
        <f>HYPERLINK("https%3A%2F%2Fwww.webofscience.com%2Fwos%2Fwoscc%2Ffull-record%2FWOS:000441905600005","View Full Record in Web of Science")</f>
        <v>View Full Record in Web of Science</v>
      </c>
    </row>
    <row r="999" spans="1:72" x14ac:dyDescent="0.25">
      <c r="A999" t="s">
        <v>72</v>
      </c>
      <c r="B999" t="s">
        <v>16958</v>
      </c>
      <c r="C999" t="s">
        <v>74</v>
      </c>
      <c r="D999" t="s">
        <v>74</v>
      </c>
      <c r="E999" t="s">
        <v>74</v>
      </c>
      <c r="F999" t="s">
        <v>16959</v>
      </c>
      <c r="G999" t="s">
        <v>74</v>
      </c>
      <c r="H999" t="s">
        <v>74</v>
      </c>
      <c r="I999" t="s">
        <v>16960</v>
      </c>
      <c r="J999" t="s">
        <v>16961</v>
      </c>
      <c r="K999" t="s">
        <v>74</v>
      </c>
      <c r="L999" t="s">
        <v>74</v>
      </c>
      <c r="M999" t="s">
        <v>77</v>
      </c>
      <c r="N999" t="s">
        <v>78</v>
      </c>
      <c r="O999" t="s">
        <v>74</v>
      </c>
      <c r="P999" t="s">
        <v>74</v>
      </c>
      <c r="Q999" t="s">
        <v>74</v>
      </c>
      <c r="R999" t="s">
        <v>74</v>
      </c>
      <c r="S999" t="s">
        <v>74</v>
      </c>
      <c r="T999" t="s">
        <v>16962</v>
      </c>
      <c r="U999" t="s">
        <v>16963</v>
      </c>
      <c r="V999" t="s">
        <v>16964</v>
      </c>
      <c r="W999" t="s">
        <v>16965</v>
      </c>
      <c r="X999" t="s">
        <v>16966</v>
      </c>
      <c r="Y999" t="s">
        <v>16967</v>
      </c>
      <c r="Z999" t="s">
        <v>16968</v>
      </c>
      <c r="AA999" t="s">
        <v>74</v>
      </c>
      <c r="AB999" t="s">
        <v>74</v>
      </c>
      <c r="AC999" t="s">
        <v>16969</v>
      </c>
      <c r="AD999" t="s">
        <v>16969</v>
      </c>
      <c r="AE999" t="s">
        <v>16970</v>
      </c>
      <c r="AF999" t="s">
        <v>74</v>
      </c>
      <c r="AG999">
        <v>31</v>
      </c>
      <c r="AH999">
        <v>2</v>
      </c>
      <c r="AI999">
        <v>2</v>
      </c>
      <c r="AJ999">
        <v>1</v>
      </c>
      <c r="AK999">
        <v>15</v>
      </c>
      <c r="AL999" t="s">
        <v>16971</v>
      </c>
      <c r="AM999" t="s">
        <v>16972</v>
      </c>
      <c r="AN999" t="s">
        <v>16973</v>
      </c>
      <c r="AO999" t="s">
        <v>16974</v>
      </c>
      <c r="AP999" t="s">
        <v>74</v>
      </c>
      <c r="AQ999" t="s">
        <v>74</v>
      </c>
      <c r="AR999" t="s">
        <v>16961</v>
      </c>
      <c r="AS999" t="s">
        <v>16975</v>
      </c>
      <c r="AT999" t="s">
        <v>16976</v>
      </c>
      <c r="AU999">
        <v>2017</v>
      </c>
      <c r="AV999" t="s">
        <v>74</v>
      </c>
      <c r="AW999">
        <v>59</v>
      </c>
      <c r="AX999" t="s">
        <v>74</v>
      </c>
      <c r="AY999" t="s">
        <v>74</v>
      </c>
      <c r="AZ999" t="s">
        <v>74</v>
      </c>
      <c r="BA999" t="s">
        <v>74</v>
      </c>
      <c r="BB999">
        <v>76</v>
      </c>
      <c r="BC999">
        <v>85</v>
      </c>
      <c r="BD999" t="s">
        <v>74</v>
      </c>
      <c r="BE999" t="s">
        <v>74</v>
      </c>
      <c r="BF999" t="s">
        <v>74</v>
      </c>
      <c r="BG999" t="s">
        <v>74</v>
      </c>
      <c r="BH999" t="s">
        <v>74</v>
      </c>
      <c r="BI999">
        <v>10</v>
      </c>
      <c r="BJ999" t="s">
        <v>16977</v>
      </c>
      <c r="BK999" t="s">
        <v>283</v>
      </c>
      <c r="BL999" t="s">
        <v>16978</v>
      </c>
      <c r="BM999" t="s">
        <v>16979</v>
      </c>
      <c r="BN999" t="s">
        <v>74</v>
      </c>
      <c r="BO999" t="s">
        <v>74</v>
      </c>
      <c r="BP999" t="s">
        <v>74</v>
      </c>
      <c r="BQ999" t="s">
        <v>74</v>
      </c>
      <c r="BR999" t="s">
        <v>97</v>
      </c>
      <c r="BS999" t="s">
        <v>16980</v>
      </c>
      <c r="BT999" t="str">
        <f>HYPERLINK("https%3A%2F%2Fwww.webofscience.com%2Fwos%2Fwoscc%2Ffull-record%2FWOS:000445544300009","View Full Record in Web of Science")</f>
        <v>View Full Record in Web of Science</v>
      </c>
    </row>
    <row r="1000" spans="1:72" x14ac:dyDescent="0.25">
      <c r="A1000" t="s">
        <v>72</v>
      </c>
      <c r="B1000" t="s">
        <v>16981</v>
      </c>
      <c r="C1000" t="s">
        <v>74</v>
      </c>
      <c r="D1000" t="s">
        <v>74</v>
      </c>
      <c r="E1000" t="s">
        <v>74</v>
      </c>
      <c r="F1000" t="s">
        <v>16982</v>
      </c>
      <c r="G1000" t="s">
        <v>74</v>
      </c>
      <c r="H1000" t="s">
        <v>74</v>
      </c>
      <c r="I1000" t="s">
        <v>16983</v>
      </c>
      <c r="J1000" t="s">
        <v>6567</v>
      </c>
      <c r="K1000" t="s">
        <v>74</v>
      </c>
      <c r="L1000" t="s">
        <v>74</v>
      </c>
      <c r="M1000" t="s">
        <v>77</v>
      </c>
      <c r="N1000" t="s">
        <v>78</v>
      </c>
      <c r="O1000" t="s">
        <v>74</v>
      </c>
      <c r="P1000" t="s">
        <v>74</v>
      </c>
      <c r="Q1000" t="s">
        <v>74</v>
      </c>
      <c r="R1000" t="s">
        <v>74</v>
      </c>
      <c r="S1000" t="s">
        <v>74</v>
      </c>
      <c r="T1000" t="s">
        <v>16984</v>
      </c>
      <c r="U1000" t="s">
        <v>16985</v>
      </c>
      <c r="V1000" t="s">
        <v>16986</v>
      </c>
      <c r="W1000" t="s">
        <v>16987</v>
      </c>
      <c r="X1000" t="s">
        <v>16988</v>
      </c>
      <c r="Y1000" t="s">
        <v>16989</v>
      </c>
      <c r="Z1000" t="s">
        <v>16990</v>
      </c>
      <c r="AA1000" t="s">
        <v>16991</v>
      </c>
      <c r="AB1000" t="s">
        <v>16992</v>
      </c>
      <c r="AC1000" t="s">
        <v>16993</v>
      </c>
      <c r="AD1000" t="s">
        <v>16994</v>
      </c>
      <c r="AE1000" t="s">
        <v>16995</v>
      </c>
      <c r="AF1000" t="s">
        <v>74</v>
      </c>
      <c r="AG1000">
        <v>43</v>
      </c>
      <c r="AH1000">
        <v>2</v>
      </c>
      <c r="AI1000">
        <v>2</v>
      </c>
      <c r="AJ1000">
        <v>0</v>
      </c>
      <c r="AK1000">
        <v>16</v>
      </c>
      <c r="AL1000" t="s">
        <v>6577</v>
      </c>
      <c r="AM1000" t="s">
        <v>6578</v>
      </c>
      <c r="AN1000" t="s">
        <v>6579</v>
      </c>
      <c r="AO1000" t="s">
        <v>6580</v>
      </c>
      <c r="AP1000" t="s">
        <v>6581</v>
      </c>
      <c r="AQ1000" t="s">
        <v>74</v>
      </c>
      <c r="AR1000" t="s">
        <v>6582</v>
      </c>
      <c r="AS1000" t="s">
        <v>6583</v>
      </c>
      <c r="AT1000" t="s">
        <v>405</v>
      </c>
      <c r="AU1000">
        <v>2016</v>
      </c>
      <c r="AV1000">
        <v>25</v>
      </c>
      <c r="AW1000">
        <v>1</v>
      </c>
      <c r="AX1000" t="s">
        <v>74</v>
      </c>
      <c r="AY1000" t="s">
        <v>74</v>
      </c>
      <c r="AZ1000" t="s">
        <v>74</v>
      </c>
      <c r="BA1000" t="s">
        <v>74</v>
      </c>
      <c r="BB1000">
        <v>53</v>
      </c>
      <c r="BC1000">
        <v>70</v>
      </c>
      <c r="BD1000" t="s">
        <v>74</v>
      </c>
      <c r="BE1000" t="s">
        <v>16996</v>
      </c>
      <c r="BF1000" t="str">
        <f>HYPERLINK("http://dx.doi.org/10.18267/j.pep.536","http://dx.doi.org/10.18267/j.pep.536")</f>
        <v>http://dx.doi.org/10.18267/j.pep.536</v>
      </c>
      <c r="BG1000" t="s">
        <v>74</v>
      </c>
      <c r="BH1000" t="s">
        <v>74</v>
      </c>
      <c r="BI1000">
        <v>18</v>
      </c>
      <c r="BJ1000" t="s">
        <v>2599</v>
      </c>
      <c r="BK1000" t="s">
        <v>94</v>
      </c>
      <c r="BL1000" t="s">
        <v>95</v>
      </c>
      <c r="BM1000" t="s">
        <v>16997</v>
      </c>
      <c r="BN1000" t="s">
        <v>74</v>
      </c>
      <c r="BO1000" t="s">
        <v>8011</v>
      </c>
      <c r="BP1000" t="s">
        <v>74</v>
      </c>
      <c r="BQ1000" t="s">
        <v>74</v>
      </c>
      <c r="BR1000" t="s">
        <v>97</v>
      </c>
      <c r="BS1000" t="s">
        <v>16998</v>
      </c>
      <c r="BT1000" t="str">
        <f>HYPERLINK("https%3A%2F%2Fwww.webofscience.com%2Fwos%2Fwoscc%2Ffull-record%2FWOS:000371374000004","View Full Record in Web of Science")</f>
        <v>View Full Record in Web of Science</v>
      </c>
    </row>
    <row r="1001" spans="1:72" x14ac:dyDescent="0.25">
      <c r="A1001" t="s">
        <v>72</v>
      </c>
      <c r="B1001" t="s">
        <v>16999</v>
      </c>
      <c r="C1001" t="s">
        <v>74</v>
      </c>
      <c r="D1001" t="s">
        <v>74</v>
      </c>
      <c r="E1001" t="s">
        <v>74</v>
      </c>
      <c r="F1001" t="s">
        <v>17000</v>
      </c>
      <c r="G1001" t="s">
        <v>74</v>
      </c>
      <c r="H1001" t="s">
        <v>74</v>
      </c>
      <c r="I1001" t="s">
        <v>17001</v>
      </c>
      <c r="J1001" t="s">
        <v>17002</v>
      </c>
      <c r="K1001" t="s">
        <v>74</v>
      </c>
      <c r="L1001" t="s">
        <v>74</v>
      </c>
      <c r="M1001" t="s">
        <v>77</v>
      </c>
      <c r="N1001" t="s">
        <v>78</v>
      </c>
      <c r="O1001" t="s">
        <v>74</v>
      </c>
      <c r="P1001" t="s">
        <v>74</v>
      </c>
      <c r="Q1001" t="s">
        <v>74</v>
      </c>
      <c r="R1001" t="s">
        <v>74</v>
      </c>
      <c r="S1001" t="s">
        <v>74</v>
      </c>
      <c r="T1001" t="s">
        <v>17003</v>
      </c>
      <c r="U1001" t="s">
        <v>17004</v>
      </c>
      <c r="V1001" t="s">
        <v>17005</v>
      </c>
      <c r="W1001" t="s">
        <v>17006</v>
      </c>
      <c r="X1001" t="s">
        <v>17007</v>
      </c>
      <c r="Y1001" t="s">
        <v>17008</v>
      </c>
      <c r="Z1001" t="s">
        <v>17009</v>
      </c>
      <c r="AA1001" t="s">
        <v>74</v>
      </c>
      <c r="AB1001" t="s">
        <v>17010</v>
      </c>
      <c r="AC1001" t="s">
        <v>74</v>
      </c>
      <c r="AD1001" t="s">
        <v>74</v>
      </c>
      <c r="AE1001" t="s">
        <v>74</v>
      </c>
      <c r="AF1001" t="s">
        <v>74</v>
      </c>
      <c r="AG1001">
        <v>49</v>
      </c>
      <c r="AH1001">
        <v>2</v>
      </c>
      <c r="AI1001">
        <v>3</v>
      </c>
      <c r="AJ1001">
        <v>0</v>
      </c>
      <c r="AK1001">
        <v>15</v>
      </c>
      <c r="AL1001" t="s">
        <v>17011</v>
      </c>
      <c r="AM1001" t="s">
        <v>17012</v>
      </c>
      <c r="AN1001" t="s">
        <v>17013</v>
      </c>
      <c r="AO1001" t="s">
        <v>17014</v>
      </c>
      <c r="AP1001" t="s">
        <v>17015</v>
      </c>
      <c r="AQ1001" t="s">
        <v>74</v>
      </c>
      <c r="AR1001" t="s">
        <v>17016</v>
      </c>
      <c r="AS1001" t="s">
        <v>17017</v>
      </c>
      <c r="AT1001" t="s">
        <v>74</v>
      </c>
      <c r="AU1001">
        <v>2015</v>
      </c>
      <c r="AV1001">
        <v>28</v>
      </c>
      <c r="AW1001">
        <v>4</v>
      </c>
      <c r="AX1001" t="s">
        <v>74</v>
      </c>
      <c r="AY1001" t="s">
        <v>74</v>
      </c>
      <c r="AZ1001" t="s">
        <v>74</v>
      </c>
      <c r="BA1001" t="s">
        <v>74</v>
      </c>
      <c r="BB1001">
        <v>689</v>
      </c>
      <c r="BC1001">
        <v>706</v>
      </c>
      <c r="BD1001" t="s">
        <v>74</v>
      </c>
      <c r="BE1001" t="s">
        <v>17018</v>
      </c>
      <c r="BF1001" t="str">
        <f>HYPERLINK("http://dx.doi.org/10.13075/ijomeh.1896.00237","http://dx.doi.org/10.13075/ijomeh.1896.00237")</f>
        <v>http://dx.doi.org/10.13075/ijomeh.1896.00237</v>
      </c>
      <c r="BG1001" t="s">
        <v>74</v>
      </c>
      <c r="BH1001" t="s">
        <v>74</v>
      </c>
      <c r="BI1001">
        <v>18</v>
      </c>
      <c r="BJ1001" t="s">
        <v>8184</v>
      </c>
      <c r="BK1001" t="s">
        <v>283</v>
      </c>
      <c r="BL1001" t="s">
        <v>8184</v>
      </c>
      <c r="BM1001" t="s">
        <v>17019</v>
      </c>
      <c r="BN1001">
        <v>26216308</v>
      </c>
      <c r="BO1001" t="s">
        <v>3513</v>
      </c>
      <c r="BP1001" t="s">
        <v>74</v>
      </c>
      <c r="BQ1001" t="s">
        <v>74</v>
      </c>
      <c r="BR1001" t="s">
        <v>97</v>
      </c>
      <c r="BS1001" t="s">
        <v>17020</v>
      </c>
      <c r="BT1001" t="str">
        <f>HYPERLINK("https%3A%2F%2Fwww.webofscience.com%2Fwos%2Fwoscc%2Ffull-record%2FWOS:000358993900004","View Full Record in Web of Science")</f>
        <v>View Full Record in Web of Science</v>
      </c>
    </row>
    <row r="1002" spans="1:72" x14ac:dyDescent="0.25">
      <c r="A1002" t="s">
        <v>72</v>
      </c>
      <c r="B1002" t="s">
        <v>17021</v>
      </c>
      <c r="C1002" t="s">
        <v>74</v>
      </c>
      <c r="D1002" t="s">
        <v>74</v>
      </c>
      <c r="E1002" t="s">
        <v>74</v>
      </c>
      <c r="F1002" t="s">
        <v>17022</v>
      </c>
      <c r="G1002" t="s">
        <v>74</v>
      </c>
      <c r="H1002" t="s">
        <v>74</v>
      </c>
      <c r="I1002" t="s">
        <v>17023</v>
      </c>
      <c r="J1002" t="s">
        <v>17024</v>
      </c>
      <c r="K1002" t="s">
        <v>74</v>
      </c>
      <c r="L1002" t="s">
        <v>74</v>
      </c>
      <c r="M1002" t="s">
        <v>77</v>
      </c>
      <c r="N1002" t="s">
        <v>78</v>
      </c>
      <c r="O1002" t="s">
        <v>74</v>
      </c>
      <c r="P1002" t="s">
        <v>74</v>
      </c>
      <c r="Q1002" t="s">
        <v>74</v>
      </c>
      <c r="R1002" t="s">
        <v>74</v>
      </c>
      <c r="S1002" t="s">
        <v>74</v>
      </c>
      <c r="T1002" t="s">
        <v>17025</v>
      </c>
      <c r="U1002" t="s">
        <v>17026</v>
      </c>
      <c r="V1002" t="s">
        <v>17027</v>
      </c>
      <c r="W1002" t="s">
        <v>17028</v>
      </c>
      <c r="X1002" t="s">
        <v>2776</v>
      </c>
      <c r="Y1002" t="s">
        <v>17029</v>
      </c>
      <c r="Z1002" t="s">
        <v>17030</v>
      </c>
      <c r="AA1002" t="s">
        <v>74</v>
      </c>
      <c r="AB1002" t="s">
        <v>74</v>
      </c>
      <c r="AC1002" t="s">
        <v>74</v>
      </c>
      <c r="AD1002" t="s">
        <v>74</v>
      </c>
      <c r="AE1002" t="s">
        <v>74</v>
      </c>
      <c r="AF1002" t="s">
        <v>74</v>
      </c>
      <c r="AG1002">
        <v>41</v>
      </c>
      <c r="AH1002">
        <v>2</v>
      </c>
      <c r="AI1002">
        <v>2</v>
      </c>
      <c r="AJ1002">
        <v>0</v>
      </c>
      <c r="AK1002">
        <v>25</v>
      </c>
      <c r="AL1002" t="s">
        <v>17031</v>
      </c>
      <c r="AM1002" t="s">
        <v>17032</v>
      </c>
      <c r="AN1002" t="s">
        <v>17033</v>
      </c>
      <c r="AO1002" t="s">
        <v>17034</v>
      </c>
      <c r="AP1002" t="s">
        <v>17035</v>
      </c>
      <c r="AQ1002" t="s">
        <v>74</v>
      </c>
      <c r="AR1002" t="s">
        <v>17036</v>
      </c>
      <c r="AS1002" t="s">
        <v>17037</v>
      </c>
      <c r="AT1002" t="s">
        <v>74</v>
      </c>
      <c r="AU1002">
        <v>2014</v>
      </c>
      <c r="AV1002">
        <v>16</v>
      </c>
      <c r="AW1002" t="s">
        <v>74</v>
      </c>
      <c r="AX1002" t="s">
        <v>74</v>
      </c>
      <c r="AY1002" t="s">
        <v>74</v>
      </c>
      <c r="AZ1002">
        <v>3</v>
      </c>
      <c r="BA1002" t="s">
        <v>74</v>
      </c>
      <c r="BB1002">
        <v>133</v>
      </c>
      <c r="BC1002">
        <v>153</v>
      </c>
      <c r="BD1002" t="s">
        <v>74</v>
      </c>
      <c r="BE1002" t="s">
        <v>74</v>
      </c>
      <c r="BF1002" t="s">
        <v>74</v>
      </c>
      <c r="BG1002" t="s">
        <v>74</v>
      </c>
      <c r="BH1002" t="s">
        <v>74</v>
      </c>
      <c r="BI1002">
        <v>21</v>
      </c>
      <c r="BJ1002" t="s">
        <v>815</v>
      </c>
      <c r="BK1002" t="s">
        <v>94</v>
      </c>
      <c r="BL1002" t="s">
        <v>815</v>
      </c>
      <c r="BM1002" t="s">
        <v>17038</v>
      </c>
      <c r="BN1002" t="s">
        <v>74</v>
      </c>
      <c r="BO1002" t="s">
        <v>74</v>
      </c>
      <c r="BP1002" t="s">
        <v>74</v>
      </c>
      <c r="BQ1002" t="s">
        <v>74</v>
      </c>
      <c r="BR1002" t="s">
        <v>97</v>
      </c>
      <c r="BS1002" t="s">
        <v>17039</v>
      </c>
      <c r="BT1002" t="str">
        <f>HYPERLINK("https%3A%2F%2Fwww.webofscience.com%2Fwos%2Fwoscc%2Ffull-record%2FWOS:000346884300006","View Full Record in Web of Science")</f>
        <v>View Full Record in Web of Science</v>
      </c>
    </row>
    <row r="1003" spans="1:72" x14ac:dyDescent="0.25">
      <c r="A1003" t="s">
        <v>72</v>
      </c>
      <c r="B1003" t="s">
        <v>17040</v>
      </c>
      <c r="C1003" t="s">
        <v>74</v>
      </c>
      <c r="D1003" t="s">
        <v>74</v>
      </c>
      <c r="E1003" t="s">
        <v>74</v>
      </c>
      <c r="F1003" t="s">
        <v>17041</v>
      </c>
      <c r="G1003" t="s">
        <v>74</v>
      </c>
      <c r="H1003" t="s">
        <v>74</v>
      </c>
      <c r="I1003" t="s">
        <v>17042</v>
      </c>
      <c r="J1003" t="s">
        <v>3528</v>
      </c>
      <c r="K1003" t="s">
        <v>74</v>
      </c>
      <c r="L1003" t="s">
        <v>74</v>
      </c>
      <c r="M1003" t="s">
        <v>77</v>
      </c>
      <c r="N1003" t="s">
        <v>78</v>
      </c>
      <c r="O1003" t="s">
        <v>74</v>
      </c>
      <c r="P1003" t="s">
        <v>74</v>
      </c>
      <c r="Q1003" t="s">
        <v>74</v>
      </c>
      <c r="R1003" t="s">
        <v>74</v>
      </c>
      <c r="S1003" t="s">
        <v>74</v>
      </c>
      <c r="T1003" t="s">
        <v>17043</v>
      </c>
      <c r="U1003" t="s">
        <v>17044</v>
      </c>
      <c r="V1003" t="s">
        <v>17045</v>
      </c>
      <c r="W1003" t="s">
        <v>17046</v>
      </c>
      <c r="X1003" t="s">
        <v>17047</v>
      </c>
      <c r="Y1003" t="s">
        <v>17048</v>
      </c>
      <c r="Z1003" t="s">
        <v>17049</v>
      </c>
      <c r="AA1003" t="s">
        <v>74</v>
      </c>
      <c r="AB1003" t="s">
        <v>74</v>
      </c>
      <c r="AC1003" t="s">
        <v>74</v>
      </c>
      <c r="AD1003" t="s">
        <v>74</v>
      </c>
      <c r="AE1003" t="s">
        <v>74</v>
      </c>
      <c r="AF1003" t="s">
        <v>74</v>
      </c>
      <c r="AG1003">
        <v>59</v>
      </c>
      <c r="AH1003">
        <v>2</v>
      </c>
      <c r="AI1003">
        <v>2</v>
      </c>
      <c r="AJ1003">
        <v>0</v>
      </c>
      <c r="AK1003">
        <v>29</v>
      </c>
      <c r="AL1003" t="s">
        <v>1099</v>
      </c>
      <c r="AM1003" t="s">
        <v>305</v>
      </c>
      <c r="AN1003" t="s">
        <v>1100</v>
      </c>
      <c r="AO1003" t="s">
        <v>3537</v>
      </c>
      <c r="AP1003" t="s">
        <v>3538</v>
      </c>
      <c r="AQ1003" t="s">
        <v>74</v>
      </c>
      <c r="AR1003" t="s">
        <v>3539</v>
      </c>
      <c r="AS1003" t="s">
        <v>3540</v>
      </c>
      <c r="AT1003" t="s">
        <v>2734</v>
      </c>
      <c r="AU1003">
        <v>2013</v>
      </c>
      <c r="AV1003">
        <v>33</v>
      </c>
      <c r="AW1003" t="s">
        <v>1478</v>
      </c>
      <c r="AX1003" t="s">
        <v>74</v>
      </c>
      <c r="AY1003" t="s">
        <v>74</v>
      </c>
      <c r="AZ1003" t="s">
        <v>860</v>
      </c>
      <c r="BA1003" t="s">
        <v>74</v>
      </c>
      <c r="BB1003">
        <v>392</v>
      </c>
      <c r="BC1003">
        <v>408</v>
      </c>
      <c r="BD1003" t="s">
        <v>74</v>
      </c>
      <c r="BE1003" t="s">
        <v>17050</v>
      </c>
      <c r="BF1003" t="str">
        <f>HYPERLINK("http://dx.doi.org/10.1080/02642069.2013.755173","http://dx.doi.org/10.1080/02642069.2013.755173")</f>
        <v>http://dx.doi.org/10.1080/02642069.2013.755173</v>
      </c>
      <c r="BG1003" t="s">
        <v>74</v>
      </c>
      <c r="BH1003" t="s">
        <v>74</v>
      </c>
      <c r="BI1003">
        <v>17</v>
      </c>
      <c r="BJ1003" t="s">
        <v>442</v>
      </c>
      <c r="BK1003" t="s">
        <v>94</v>
      </c>
      <c r="BL1003" t="s">
        <v>95</v>
      </c>
      <c r="BM1003" t="s">
        <v>17051</v>
      </c>
      <c r="BN1003" t="s">
        <v>74</v>
      </c>
      <c r="BO1003" t="s">
        <v>74</v>
      </c>
      <c r="BP1003" t="s">
        <v>74</v>
      </c>
      <c r="BQ1003" t="s">
        <v>74</v>
      </c>
      <c r="BR1003" t="s">
        <v>97</v>
      </c>
      <c r="BS1003" t="s">
        <v>17052</v>
      </c>
      <c r="BT1003" t="str">
        <f>HYPERLINK("https%3A%2F%2Fwww.webofscience.com%2Fwos%2Fwoscc%2Ffull-record%2FWOS:000316657300009","View Full Record in Web of Science")</f>
        <v>View Full Record in Web of Science</v>
      </c>
    </row>
    <row r="1004" spans="1:72" x14ac:dyDescent="0.25">
      <c r="A1004" t="s">
        <v>72</v>
      </c>
      <c r="B1004" t="s">
        <v>17053</v>
      </c>
      <c r="C1004" t="s">
        <v>74</v>
      </c>
      <c r="D1004" t="s">
        <v>74</v>
      </c>
      <c r="E1004" t="s">
        <v>74</v>
      </c>
      <c r="F1004" t="s">
        <v>17053</v>
      </c>
      <c r="G1004" t="s">
        <v>74</v>
      </c>
      <c r="H1004" t="s">
        <v>74</v>
      </c>
      <c r="I1004" t="s">
        <v>17054</v>
      </c>
      <c r="J1004" t="s">
        <v>17055</v>
      </c>
      <c r="K1004" t="s">
        <v>74</v>
      </c>
      <c r="L1004" t="s">
        <v>74</v>
      </c>
      <c r="M1004" t="s">
        <v>77</v>
      </c>
      <c r="N1004" t="s">
        <v>78</v>
      </c>
      <c r="O1004" t="s">
        <v>74</v>
      </c>
      <c r="P1004" t="s">
        <v>74</v>
      </c>
      <c r="Q1004" t="s">
        <v>74</v>
      </c>
      <c r="R1004" t="s">
        <v>74</v>
      </c>
      <c r="S1004" t="s">
        <v>74</v>
      </c>
      <c r="T1004" t="s">
        <v>74</v>
      </c>
      <c r="U1004" t="s">
        <v>74</v>
      </c>
      <c r="V1004" t="s">
        <v>17056</v>
      </c>
      <c r="W1004" t="s">
        <v>17057</v>
      </c>
      <c r="X1004" t="s">
        <v>17058</v>
      </c>
      <c r="Y1004" t="s">
        <v>17059</v>
      </c>
      <c r="Z1004" t="s">
        <v>17060</v>
      </c>
      <c r="AA1004" t="s">
        <v>74</v>
      </c>
      <c r="AB1004" t="s">
        <v>74</v>
      </c>
      <c r="AC1004" t="s">
        <v>74</v>
      </c>
      <c r="AD1004" t="s">
        <v>74</v>
      </c>
      <c r="AE1004" t="s">
        <v>74</v>
      </c>
      <c r="AF1004" t="s">
        <v>74</v>
      </c>
      <c r="AG1004">
        <v>9</v>
      </c>
      <c r="AH1004">
        <v>2</v>
      </c>
      <c r="AI1004">
        <v>2</v>
      </c>
      <c r="AJ1004">
        <v>0</v>
      </c>
      <c r="AK1004">
        <v>2</v>
      </c>
      <c r="AL1004" t="s">
        <v>2557</v>
      </c>
      <c r="AM1004" t="s">
        <v>10469</v>
      </c>
      <c r="AN1004" t="s">
        <v>10470</v>
      </c>
      <c r="AO1004" t="s">
        <v>17061</v>
      </c>
      <c r="AP1004" t="s">
        <v>17062</v>
      </c>
      <c r="AQ1004" t="s">
        <v>74</v>
      </c>
      <c r="AR1004" t="s">
        <v>17063</v>
      </c>
      <c r="AS1004" t="s">
        <v>17064</v>
      </c>
      <c r="AT1004" t="s">
        <v>165</v>
      </c>
      <c r="AU1004">
        <v>2005</v>
      </c>
      <c r="AV1004">
        <v>43</v>
      </c>
      <c r="AW1004">
        <v>5</v>
      </c>
      <c r="AX1004" t="s">
        <v>74</v>
      </c>
      <c r="AY1004" t="s">
        <v>74</v>
      </c>
      <c r="AZ1004" t="s">
        <v>74</v>
      </c>
      <c r="BA1004" t="s">
        <v>74</v>
      </c>
      <c r="BB1004">
        <v>84</v>
      </c>
      <c r="BC1004">
        <v>89</v>
      </c>
      <c r="BD1004" t="s">
        <v>74</v>
      </c>
      <c r="BE1004" t="s">
        <v>17065</v>
      </c>
      <c r="BF1004" t="str">
        <f>HYPERLINK("http://dx.doi.org/10.1109/MCOM.2005.1453427","http://dx.doi.org/10.1109/MCOM.2005.1453427")</f>
        <v>http://dx.doi.org/10.1109/MCOM.2005.1453427</v>
      </c>
      <c r="BG1004" t="s">
        <v>74</v>
      </c>
      <c r="BH1004" t="s">
        <v>74</v>
      </c>
      <c r="BI1004">
        <v>6</v>
      </c>
      <c r="BJ1004" t="s">
        <v>17066</v>
      </c>
      <c r="BK1004" t="s">
        <v>283</v>
      </c>
      <c r="BL1004" t="s">
        <v>17067</v>
      </c>
      <c r="BM1004" t="s">
        <v>17068</v>
      </c>
      <c r="BN1004" t="s">
        <v>74</v>
      </c>
      <c r="BO1004" t="s">
        <v>74</v>
      </c>
      <c r="BP1004" t="s">
        <v>74</v>
      </c>
      <c r="BQ1004" t="s">
        <v>74</v>
      </c>
      <c r="BR1004" t="s">
        <v>97</v>
      </c>
      <c r="BS1004" t="s">
        <v>17069</v>
      </c>
      <c r="BT1004" t="str">
        <f>HYPERLINK("https%3A%2F%2Fwww.webofscience.com%2Fwos%2Fwoscc%2Ffull-record%2FWOS:000228972100004","View Full Record in Web of Science")</f>
        <v>View Full Record in Web of Science</v>
      </c>
    </row>
    <row r="1005" spans="1:72" x14ac:dyDescent="0.25">
      <c r="A1005" t="s">
        <v>72</v>
      </c>
      <c r="B1005" t="s">
        <v>17070</v>
      </c>
      <c r="C1005" t="s">
        <v>74</v>
      </c>
      <c r="D1005" t="s">
        <v>74</v>
      </c>
      <c r="E1005" t="s">
        <v>74</v>
      </c>
      <c r="F1005" t="s">
        <v>17070</v>
      </c>
      <c r="G1005" t="s">
        <v>74</v>
      </c>
      <c r="H1005" t="s">
        <v>74</v>
      </c>
      <c r="I1005" t="s">
        <v>17071</v>
      </c>
      <c r="J1005" t="s">
        <v>17072</v>
      </c>
      <c r="K1005" t="s">
        <v>74</v>
      </c>
      <c r="L1005" t="s">
        <v>74</v>
      </c>
      <c r="M1005" t="s">
        <v>77</v>
      </c>
      <c r="N1005" t="s">
        <v>78</v>
      </c>
      <c r="O1005" t="s">
        <v>74</v>
      </c>
      <c r="P1005" t="s">
        <v>74</v>
      </c>
      <c r="Q1005" t="s">
        <v>74</v>
      </c>
      <c r="R1005" t="s">
        <v>74</v>
      </c>
      <c r="S1005" t="s">
        <v>74</v>
      </c>
      <c r="T1005" t="s">
        <v>17073</v>
      </c>
      <c r="U1005" t="s">
        <v>17074</v>
      </c>
      <c r="V1005" t="s">
        <v>17075</v>
      </c>
      <c r="W1005" t="s">
        <v>17076</v>
      </c>
      <c r="X1005" t="s">
        <v>17077</v>
      </c>
      <c r="Y1005" t="s">
        <v>17078</v>
      </c>
      <c r="Z1005" t="s">
        <v>17079</v>
      </c>
      <c r="AA1005" t="s">
        <v>74</v>
      </c>
      <c r="AB1005" t="s">
        <v>74</v>
      </c>
      <c r="AC1005" t="s">
        <v>74</v>
      </c>
      <c r="AD1005" t="s">
        <v>74</v>
      </c>
      <c r="AE1005" t="s">
        <v>74</v>
      </c>
      <c r="AF1005" t="s">
        <v>74</v>
      </c>
      <c r="AG1005">
        <v>32</v>
      </c>
      <c r="AH1005">
        <v>2</v>
      </c>
      <c r="AI1005">
        <v>2</v>
      </c>
      <c r="AJ1005">
        <v>0</v>
      </c>
      <c r="AK1005">
        <v>4</v>
      </c>
      <c r="AL1005" t="s">
        <v>17080</v>
      </c>
      <c r="AM1005" t="s">
        <v>17081</v>
      </c>
      <c r="AN1005" t="s">
        <v>17082</v>
      </c>
      <c r="AO1005" t="s">
        <v>17083</v>
      </c>
      <c r="AP1005" t="s">
        <v>74</v>
      </c>
      <c r="AQ1005" t="s">
        <v>74</v>
      </c>
      <c r="AR1005" t="s">
        <v>17084</v>
      </c>
      <c r="AS1005" t="s">
        <v>17085</v>
      </c>
      <c r="AT1005" t="s">
        <v>74</v>
      </c>
      <c r="AU1005">
        <v>2004</v>
      </c>
      <c r="AV1005">
        <v>50</v>
      </c>
      <c r="AW1005">
        <v>4</v>
      </c>
      <c r="AX1005" t="s">
        <v>74</v>
      </c>
      <c r="AY1005" t="s">
        <v>74</v>
      </c>
      <c r="AZ1005" t="s">
        <v>74</v>
      </c>
      <c r="BA1005" t="s">
        <v>74</v>
      </c>
      <c r="BB1005">
        <v>239</v>
      </c>
      <c r="BC1005">
        <v>246</v>
      </c>
      <c r="BD1005" t="s">
        <v>74</v>
      </c>
      <c r="BE1005" t="s">
        <v>74</v>
      </c>
      <c r="BF1005" t="s">
        <v>74</v>
      </c>
      <c r="BG1005" t="s">
        <v>74</v>
      </c>
      <c r="BH1005" t="s">
        <v>74</v>
      </c>
      <c r="BI1005">
        <v>8</v>
      </c>
      <c r="BJ1005" t="s">
        <v>17086</v>
      </c>
      <c r="BK1005" t="s">
        <v>283</v>
      </c>
      <c r="BL1005" t="s">
        <v>14557</v>
      </c>
      <c r="BM1005" t="s">
        <v>17087</v>
      </c>
      <c r="BN1005" t="s">
        <v>74</v>
      </c>
      <c r="BO1005" t="s">
        <v>74</v>
      </c>
      <c r="BP1005" t="s">
        <v>74</v>
      </c>
      <c r="BQ1005" t="s">
        <v>74</v>
      </c>
      <c r="BR1005" t="s">
        <v>97</v>
      </c>
      <c r="BS1005" t="s">
        <v>17088</v>
      </c>
      <c r="BT1005" t="str">
        <f>HYPERLINK("https%3A%2F%2Fwww.webofscience.com%2Fwos%2Fwoscc%2Ffull-record%2FWOS:000223508000006","View Full Record in Web of Science")</f>
        <v>View Full Record in Web of Science</v>
      </c>
    </row>
    <row r="1006" spans="1:72" x14ac:dyDescent="0.25">
      <c r="A1006" t="s">
        <v>72</v>
      </c>
      <c r="B1006" t="s">
        <v>17089</v>
      </c>
      <c r="C1006" t="s">
        <v>74</v>
      </c>
      <c r="D1006" t="s">
        <v>74</v>
      </c>
      <c r="E1006" t="s">
        <v>74</v>
      </c>
      <c r="F1006" t="s">
        <v>17089</v>
      </c>
      <c r="G1006" t="s">
        <v>74</v>
      </c>
      <c r="H1006" t="s">
        <v>74</v>
      </c>
      <c r="I1006" t="s">
        <v>17090</v>
      </c>
      <c r="J1006" t="s">
        <v>17091</v>
      </c>
      <c r="K1006" t="s">
        <v>74</v>
      </c>
      <c r="L1006" t="s">
        <v>74</v>
      </c>
      <c r="M1006" t="s">
        <v>11465</v>
      </c>
      <c r="N1006" t="s">
        <v>78</v>
      </c>
      <c r="O1006" t="s">
        <v>74</v>
      </c>
      <c r="P1006" t="s">
        <v>74</v>
      </c>
      <c r="Q1006" t="s">
        <v>74</v>
      </c>
      <c r="R1006" t="s">
        <v>74</v>
      </c>
      <c r="S1006" t="s">
        <v>74</v>
      </c>
      <c r="T1006" t="s">
        <v>74</v>
      </c>
      <c r="U1006" t="s">
        <v>74</v>
      </c>
      <c r="V1006" t="s">
        <v>17092</v>
      </c>
      <c r="W1006" t="s">
        <v>17093</v>
      </c>
      <c r="X1006" t="s">
        <v>17094</v>
      </c>
      <c r="Y1006" t="s">
        <v>17095</v>
      </c>
      <c r="Z1006" t="s">
        <v>74</v>
      </c>
      <c r="AA1006" t="s">
        <v>74</v>
      </c>
      <c r="AB1006" t="s">
        <v>74</v>
      </c>
      <c r="AC1006" t="s">
        <v>74</v>
      </c>
      <c r="AD1006" t="s">
        <v>74</v>
      </c>
      <c r="AE1006" t="s">
        <v>74</v>
      </c>
      <c r="AF1006" t="s">
        <v>74</v>
      </c>
      <c r="AG1006">
        <v>65</v>
      </c>
      <c r="AH1006">
        <v>2</v>
      </c>
      <c r="AI1006">
        <v>2</v>
      </c>
      <c r="AJ1006">
        <v>0</v>
      </c>
      <c r="AK1006">
        <v>2</v>
      </c>
      <c r="AL1006" t="s">
        <v>17096</v>
      </c>
      <c r="AM1006" t="s">
        <v>2653</v>
      </c>
      <c r="AN1006" t="s">
        <v>17097</v>
      </c>
      <c r="AO1006" t="s">
        <v>17098</v>
      </c>
      <c r="AP1006" t="s">
        <v>74</v>
      </c>
      <c r="AQ1006" t="s">
        <v>74</v>
      </c>
      <c r="AR1006" t="s">
        <v>17099</v>
      </c>
      <c r="AS1006" t="s">
        <v>17100</v>
      </c>
      <c r="AT1006" t="s">
        <v>74</v>
      </c>
      <c r="AU1006">
        <v>2000</v>
      </c>
      <c r="AV1006">
        <v>51</v>
      </c>
      <c r="AW1006">
        <v>4</v>
      </c>
      <c r="AX1006" t="s">
        <v>74</v>
      </c>
      <c r="AY1006" t="s">
        <v>74</v>
      </c>
      <c r="AZ1006" t="s">
        <v>74</v>
      </c>
      <c r="BA1006" t="s">
        <v>74</v>
      </c>
      <c r="BB1006">
        <v>401</v>
      </c>
      <c r="BC1006" t="s">
        <v>2838</v>
      </c>
      <c r="BD1006" t="s">
        <v>74</v>
      </c>
      <c r="BE1006" t="s">
        <v>74</v>
      </c>
      <c r="BF1006" t="s">
        <v>74</v>
      </c>
      <c r="BG1006" t="s">
        <v>74</v>
      </c>
      <c r="BH1006" t="s">
        <v>74</v>
      </c>
      <c r="BI1006">
        <v>17</v>
      </c>
      <c r="BJ1006" t="s">
        <v>3492</v>
      </c>
      <c r="BK1006" t="s">
        <v>94</v>
      </c>
      <c r="BL1006" t="s">
        <v>3492</v>
      </c>
      <c r="BM1006" t="s">
        <v>17101</v>
      </c>
      <c r="BN1006" t="s">
        <v>74</v>
      </c>
      <c r="BO1006" t="s">
        <v>74</v>
      </c>
      <c r="BP1006" t="s">
        <v>74</v>
      </c>
      <c r="BQ1006" t="s">
        <v>74</v>
      </c>
      <c r="BR1006" t="s">
        <v>97</v>
      </c>
      <c r="BS1006" t="s">
        <v>17102</v>
      </c>
      <c r="BT1006" t="str">
        <f>HYPERLINK("https%3A%2F%2Fwww.webofscience.com%2Fwos%2Fwoscc%2Ffull-record%2FWOS:000167416400002","View Full Record in Web of Science")</f>
        <v>View Full Record in Web of Science</v>
      </c>
    </row>
    <row r="1007" spans="1:72" x14ac:dyDescent="0.25">
      <c r="A1007" t="s">
        <v>72</v>
      </c>
      <c r="B1007" t="s">
        <v>17103</v>
      </c>
      <c r="C1007" t="s">
        <v>74</v>
      </c>
      <c r="D1007" t="s">
        <v>74</v>
      </c>
      <c r="E1007" t="s">
        <v>74</v>
      </c>
      <c r="F1007" t="s">
        <v>17103</v>
      </c>
      <c r="G1007" t="s">
        <v>74</v>
      </c>
      <c r="H1007" t="s">
        <v>74</v>
      </c>
      <c r="I1007" t="s">
        <v>17104</v>
      </c>
      <c r="J1007" t="s">
        <v>5119</v>
      </c>
      <c r="K1007" t="s">
        <v>74</v>
      </c>
      <c r="L1007" t="s">
        <v>74</v>
      </c>
      <c r="M1007" t="s">
        <v>77</v>
      </c>
      <c r="N1007" t="s">
        <v>78</v>
      </c>
      <c r="O1007" t="s">
        <v>74</v>
      </c>
      <c r="P1007" t="s">
        <v>74</v>
      </c>
      <c r="Q1007" t="s">
        <v>74</v>
      </c>
      <c r="R1007" t="s">
        <v>74</v>
      </c>
      <c r="S1007" t="s">
        <v>74</v>
      </c>
      <c r="T1007" t="s">
        <v>17105</v>
      </c>
      <c r="U1007" t="s">
        <v>17106</v>
      </c>
      <c r="V1007" t="s">
        <v>17107</v>
      </c>
      <c r="W1007" t="s">
        <v>17108</v>
      </c>
      <c r="X1007" t="s">
        <v>17109</v>
      </c>
      <c r="Y1007" t="s">
        <v>17110</v>
      </c>
      <c r="Z1007" t="s">
        <v>74</v>
      </c>
      <c r="AA1007" t="s">
        <v>74</v>
      </c>
      <c r="AB1007" t="s">
        <v>17111</v>
      </c>
      <c r="AC1007" t="s">
        <v>74</v>
      </c>
      <c r="AD1007" t="s">
        <v>74</v>
      </c>
      <c r="AE1007" t="s">
        <v>74</v>
      </c>
      <c r="AF1007" t="s">
        <v>74</v>
      </c>
      <c r="AG1007">
        <v>18</v>
      </c>
      <c r="AH1007">
        <v>2</v>
      </c>
      <c r="AI1007">
        <v>2</v>
      </c>
      <c r="AJ1007">
        <v>1</v>
      </c>
      <c r="AK1007">
        <v>13</v>
      </c>
      <c r="AL1007" t="s">
        <v>159</v>
      </c>
      <c r="AM1007" t="s">
        <v>160</v>
      </c>
      <c r="AN1007" t="s">
        <v>4857</v>
      </c>
      <c r="AO1007" t="s">
        <v>5124</v>
      </c>
      <c r="AP1007" t="s">
        <v>74</v>
      </c>
      <c r="AQ1007" t="s">
        <v>74</v>
      </c>
      <c r="AR1007" t="s">
        <v>5126</v>
      </c>
      <c r="AS1007" t="s">
        <v>5127</v>
      </c>
      <c r="AT1007" t="s">
        <v>74</v>
      </c>
      <c r="AU1007">
        <v>2000</v>
      </c>
      <c r="AV1007">
        <v>91</v>
      </c>
      <c r="AW1007">
        <v>3</v>
      </c>
      <c r="AX1007" t="s">
        <v>74</v>
      </c>
      <c r="AY1007" t="s">
        <v>74</v>
      </c>
      <c r="AZ1007" t="s">
        <v>74</v>
      </c>
      <c r="BA1007" t="s">
        <v>74</v>
      </c>
      <c r="BB1007">
        <v>308</v>
      </c>
      <c r="BC1007">
        <v>315</v>
      </c>
      <c r="BD1007" t="s">
        <v>74</v>
      </c>
      <c r="BE1007" t="s">
        <v>17112</v>
      </c>
      <c r="BF1007" t="str">
        <f>HYPERLINK("http://dx.doi.org/10.1111/1467-9663.00118","http://dx.doi.org/10.1111/1467-9663.00118")</f>
        <v>http://dx.doi.org/10.1111/1467-9663.00118</v>
      </c>
      <c r="BG1007" t="s">
        <v>74</v>
      </c>
      <c r="BH1007" t="s">
        <v>74</v>
      </c>
      <c r="BI1007">
        <v>8</v>
      </c>
      <c r="BJ1007" t="s">
        <v>5129</v>
      </c>
      <c r="BK1007" t="s">
        <v>94</v>
      </c>
      <c r="BL1007" t="s">
        <v>5130</v>
      </c>
      <c r="BM1007" t="s">
        <v>17113</v>
      </c>
      <c r="BN1007" t="s">
        <v>74</v>
      </c>
      <c r="BO1007" t="s">
        <v>74</v>
      </c>
      <c r="BP1007" t="s">
        <v>74</v>
      </c>
      <c r="BQ1007" t="s">
        <v>74</v>
      </c>
      <c r="BR1007" t="s">
        <v>97</v>
      </c>
      <c r="BS1007" t="s">
        <v>17114</v>
      </c>
      <c r="BT1007" t="str">
        <f>HYPERLINK("https%3A%2F%2Fwww.webofscience.com%2Fwos%2Fwoscc%2Ffull-record%2FWOS:000089710500008","View Full Record in Web of Science")</f>
        <v>View Full Record in Web of Science</v>
      </c>
    </row>
    <row r="1008" spans="1:72" x14ac:dyDescent="0.25">
      <c r="A1008" t="s">
        <v>72</v>
      </c>
      <c r="B1008" t="s">
        <v>17115</v>
      </c>
      <c r="C1008" t="s">
        <v>74</v>
      </c>
      <c r="D1008" t="s">
        <v>74</v>
      </c>
      <c r="E1008" t="s">
        <v>74</v>
      </c>
      <c r="F1008" t="s">
        <v>17115</v>
      </c>
      <c r="G1008" t="s">
        <v>74</v>
      </c>
      <c r="H1008" t="s">
        <v>74</v>
      </c>
      <c r="I1008" t="s">
        <v>17116</v>
      </c>
      <c r="J1008" t="s">
        <v>1186</v>
      </c>
      <c r="K1008" t="s">
        <v>74</v>
      </c>
      <c r="L1008" t="s">
        <v>74</v>
      </c>
      <c r="M1008" t="s">
        <v>77</v>
      </c>
      <c r="N1008" t="s">
        <v>78</v>
      </c>
      <c r="O1008" t="s">
        <v>74</v>
      </c>
      <c r="P1008" t="s">
        <v>74</v>
      </c>
      <c r="Q1008" t="s">
        <v>74</v>
      </c>
      <c r="R1008" t="s">
        <v>74</v>
      </c>
      <c r="S1008" t="s">
        <v>74</v>
      </c>
      <c r="T1008" t="s">
        <v>74</v>
      </c>
      <c r="U1008" t="s">
        <v>17117</v>
      </c>
      <c r="V1008" t="s">
        <v>17118</v>
      </c>
      <c r="W1008" t="s">
        <v>17119</v>
      </c>
      <c r="X1008" t="s">
        <v>17120</v>
      </c>
      <c r="Y1008" t="s">
        <v>17121</v>
      </c>
      <c r="Z1008" t="s">
        <v>74</v>
      </c>
      <c r="AA1008" t="s">
        <v>17122</v>
      </c>
      <c r="AB1008" t="s">
        <v>17123</v>
      </c>
      <c r="AC1008" t="s">
        <v>74</v>
      </c>
      <c r="AD1008" t="s">
        <v>74</v>
      </c>
      <c r="AE1008" t="s">
        <v>74</v>
      </c>
      <c r="AF1008" t="s">
        <v>74</v>
      </c>
      <c r="AG1008">
        <v>29</v>
      </c>
      <c r="AH1008">
        <v>2</v>
      </c>
      <c r="AI1008">
        <v>2</v>
      </c>
      <c r="AJ1008">
        <v>0</v>
      </c>
      <c r="AK1008">
        <v>10</v>
      </c>
      <c r="AL1008" t="s">
        <v>1192</v>
      </c>
      <c r="AM1008" t="s">
        <v>1193</v>
      </c>
      <c r="AN1008" t="s">
        <v>1194</v>
      </c>
      <c r="AO1008" t="s">
        <v>1195</v>
      </c>
      <c r="AP1008" t="s">
        <v>74</v>
      </c>
      <c r="AQ1008" t="s">
        <v>74</v>
      </c>
      <c r="AR1008" t="s">
        <v>1196</v>
      </c>
      <c r="AS1008" t="s">
        <v>1197</v>
      </c>
      <c r="AT1008" t="s">
        <v>375</v>
      </c>
      <c r="AU1008">
        <v>1999</v>
      </c>
      <c r="AV1008">
        <v>13</v>
      </c>
      <c r="AW1008">
        <v>4</v>
      </c>
      <c r="AX1008" t="s">
        <v>74</v>
      </c>
      <c r="AY1008" t="s">
        <v>74</v>
      </c>
      <c r="AZ1008" t="s">
        <v>74</v>
      </c>
      <c r="BA1008" t="s">
        <v>74</v>
      </c>
      <c r="BB1008">
        <v>287</v>
      </c>
      <c r="BC1008">
        <v>302</v>
      </c>
      <c r="BD1008" t="s">
        <v>74</v>
      </c>
      <c r="BE1008" t="s">
        <v>17124</v>
      </c>
      <c r="BF1008" t="str">
        <f>HYPERLINK("http://dx.doi.org/10.1023/A:1008175430501","http://dx.doi.org/10.1023/A:1008175430501")</f>
        <v>http://dx.doi.org/10.1023/A:1008175430501</v>
      </c>
      <c r="BG1008" t="s">
        <v>74</v>
      </c>
      <c r="BH1008" t="s">
        <v>74</v>
      </c>
      <c r="BI1008">
        <v>16</v>
      </c>
      <c r="BJ1008" t="s">
        <v>1199</v>
      </c>
      <c r="BK1008" t="s">
        <v>94</v>
      </c>
      <c r="BL1008" t="s">
        <v>95</v>
      </c>
      <c r="BM1008" t="s">
        <v>17125</v>
      </c>
      <c r="BN1008" t="s">
        <v>74</v>
      </c>
      <c r="BO1008" t="s">
        <v>378</v>
      </c>
      <c r="BP1008" t="s">
        <v>74</v>
      </c>
      <c r="BQ1008" t="s">
        <v>74</v>
      </c>
      <c r="BR1008" t="s">
        <v>97</v>
      </c>
      <c r="BS1008" t="s">
        <v>17126</v>
      </c>
      <c r="BT1008" t="str">
        <f>HYPERLINK("https%3A%2F%2Fwww.webofscience.com%2Fwos%2Fwoscc%2Ffull-record%2FWOS:000085463900003","View Full Record in Web of Science")</f>
        <v>View Full Record in Web of Science</v>
      </c>
    </row>
    <row r="1009" spans="1:72" x14ac:dyDescent="0.25">
      <c r="A1009" t="s">
        <v>72</v>
      </c>
      <c r="B1009" t="s">
        <v>17127</v>
      </c>
      <c r="C1009" t="s">
        <v>74</v>
      </c>
      <c r="D1009" t="s">
        <v>74</v>
      </c>
      <c r="E1009" t="s">
        <v>74</v>
      </c>
      <c r="F1009" t="s">
        <v>17127</v>
      </c>
      <c r="G1009" t="s">
        <v>74</v>
      </c>
      <c r="H1009" t="s">
        <v>74</v>
      </c>
      <c r="I1009" t="s">
        <v>17128</v>
      </c>
      <c r="J1009" t="s">
        <v>362</v>
      </c>
      <c r="K1009" t="s">
        <v>74</v>
      </c>
      <c r="L1009" t="s">
        <v>74</v>
      </c>
      <c r="M1009" t="s">
        <v>77</v>
      </c>
      <c r="N1009" t="s">
        <v>78</v>
      </c>
      <c r="O1009" t="s">
        <v>74</v>
      </c>
      <c r="P1009" t="s">
        <v>74</v>
      </c>
      <c r="Q1009" t="s">
        <v>74</v>
      </c>
      <c r="R1009" t="s">
        <v>74</v>
      </c>
      <c r="S1009" t="s">
        <v>74</v>
      </c>
      <c r="T1009" t="s">
        <v>74</v>
      </c>
      <c r="U1009" t="s">
        <v>74</v>
      </c>
      <c r="V1009" t="s">
        <v>74</v>
      </c>
      <c r="W1009" t="s">
        <v>74</v>
      </c>
      <c r="X1009" t="s">
        <v>74</v>
      </c>
      <c r="Y1009" t="s">
        <v>17129</v>
      </c>
      <c r="Z1009" t="s">
        <v>74</v>
      </c>
      <c r="AA1009" t="s">
        <v>74</v>
      </c>
      <c r="AB1009" t="s">
        <v>74</v>
      </c>
      <c r="AC1009" t="s">
        <v>74</v>
      </c>
      <c r="AD1009" t="s">
        <v>74</v>
      </c>
      <c r="AE1009" t="s">
        <v>74</v>
      </c>
      <c r="AF1009" t="s">
        <v>74</v>
      </c>
      <c r="AG1009">
        <v>11</v>
      </c>
      <c r="AH1009">
        <v>2</v>
      </c>
      <c r="AI1009">
        <v>2</v>
      </c>
      <c r="AJ1009">
        <v>0</v>
      </c>
      <c r="AK1009">
        <v>7</v>
      </c>
      <c r="AL1009" t="s">
        <v>2289</v>
      </c>
      <c r="AM1009" t="s">
        <v>1395</v>
      </c>
      <c r="AN1009" t="s">
        <v>2290</v>
      </c>
      <c r="AO1009" t="s">
        <v>371</v>
      </c>
      <c r="AP1009" t="s">
        <v>74</v>
      </c>
      <c r="AQ1009" t="s">
        <v>74</v>
      </c>
      <c r="AR1009" t="s">
        <v>373</v>
      </c>
      <c r="AS1009" t="s">
        <v>374</v>
      </c>
      <c r="AT1009" t="s">
        <v>74</v>
      </c>
      <c r="AU1009">
        <v>1984</v>
      </c>
      <c r="AV1009">
        <v>10</v>
      </c>
      <c r="AW1009">
        <v>4</v>
      </c>
      <c r="AX1009" t="s">
        <v>74</v>
      </c>
      <c r="AY1009" t="s">
        <v>74</v>
      </c>
      <c r="AZ1009" t="s">
        <v>74</v>
      </c>
      <c r="BA1009" t="s">
        <v>74</v>
      </c>
      <c r="BB1009">
        <v>441</v>
      </c>
      <c r="BC1009">
        <v>444</v>
      </c>
      <c r="BD1009" t="s">
        <v>74</v>
      </c>
      <c r="BE1009" t="s">
        <v>17130</v>
      </c>
      <c r="BF1009" t="str">
        <f>HYPERLINK("http://dx.doi.org/10.1086/208983","http://dx.doi.org/10.1086/208983")</f>
        <v>http://dx.doi.org/10.1086/208983</v>
      </c>
      <c r="BG1009" t="s">
        <v>74</v>
      </c>
      <c r="BH1009" t="s">
        <v>74</v>
      </c>
      <c r="BI1009">
        <v>4</v>
      </c>
      <c r="BJ1009" t="s">
        <v>337</v>
      </c>
      <c r="BK1009" t="s">
        <v>94</v>
      </c>
      <c r="BL1009" t="s">
        <v>95</v>
      </c>
      <c r="BM1009" t="s">
        <v>17131</v>
      </c>
      <c r="BN1009" t="s">
        <v>74</v>
      </c>
      <c r="BO1009" t="s">
        <v>74</v>
      </c>
      <c r="BP1009" t="s">
        <v>74</v>
      </c>
      <c r="BQ1009" t="s">
        <v>74</v>
      </c>
      <c r="BR1009" t="s">
        <v>97</v>
      </c>
      <c r="BS1009" t="s">
        <v>17132</v>
      </c>
      <c r="BT1009" t="str">
        <f>HYPERLINK("https%3A%2F%2Fwww.webofscience.com%2Fwos%2Fwoscc%2Ffull-record%2FWOS:A1984SH16100008","View Full Record in Web of Science")</f>
        <v>View Full Record in Web of Science</v>
      </c>
    </row>
    <row r="1010" spans="1:72" x14ac:dyDescent="0.25">
      <c r="A1010" t="s">
        <v>72</v>
      </c>
      <c r="B1010" t="s">
        <v>17133</v>
      </c>
      <c r="C1010" t="s">
        <v>74</v>
      </c>
      <c r="D1010" t="s">
        <v>74</v>
      </c>
      <c r="E1010" t="s">
        <v>74</v>
      </c>
      <c r="F1010" t="s">
        <v>17134</v>
      </c>
      <c r="G1010" t="s">
        <v>74</v>
      </c>
      <c r="H1010" t="s">
        <v>74</v>
      </c>
      <c r="I1010" t="s">
        <v>17135</v>
      </c>
      <c r="J1010" t="s">
        <v>592</v>
      </c>
      <c r="K1010" t="s">
        <v>74</v>
      </c>
      <c r="L1010" t="s">
        <v>74</v>
      </c>
      <c r="M1010" t="s">
        <v>77</v>
      </c>
      <c r="N1010" t="s">
        <v>78</v>
      </c>
      <c r="O1010" t="s">
        <v>74</v>
      </c>
      <c r="P1010" t="s">
        <v>74</v>
      </c>
      <c r="Q1010" t="s">
        <v>74</v>
      </c>
      <c r="R1010" t="s">
        <v>74</v>
      </c>
      <c r="S1010" t="s">
        <v>74</v>
      </c>
      <c r="T1010" t="s">
        <v>17136</v>
      </c>
      <c r="U1010" t="s">
        <v>17137</v>
      </c>
      <c r="V1010" t="s">
        <v>17138</v>
      </c>
      <c r="W1010" t="s">
        <v>17139</v>
      </c>
      <c r="X1010" t="s">
        <v>17140</v>
      </c>
      <c r="Y1010" t="s">
        <v>17141</v>
      </c>
      <c r="Z1010" t="s">
        <v>17142</v>
      </c>
      <c r="AA1010" t="s">
        <v>74</v>
      </c>
      <c r="AB1010" t="s">
        <v>74</v>
      </c>
      <c r="AC1010" t="s">
        <v>74</v>
      </c>
      <c r="AD1010" t="s">
        <v>74</v>
      </c>
      <c r="AE1010" t="s">
        <v>74</v>
      </c>
      <c r="AF1010" t="s">
        <v>74</v>
      </c>
      <c r="AG1010">
        <v>109</v>
      </c>
      <c r="AH1010">
        <v>1</v>
      </c>
      <c r="AI1010">
        <v>1</v>
      </c>
      <c r="AJ1010">
        <v>16</v>
      </c>
      <c r="AK1010">
        <v>26</v>
      </c>
      <c r="AL1010" t="s">
        <v>602</v>
      </c>
      <c r="AM1010" t="s">
        <v>160</v>
      </c>
      <c r="AN1010" t="s">
        <v>603</v>
      </c>
      <c r="AO1010" t="s">
        <v>604</v>
      </c>
      <c r="AP1010" t="s">
        <v>605</v>
      </c>
      <c r="AQ1010" t="s">
        <v>74</v>
      </c>
      <c r="AR1010" t="s">
        <v>606</v>
      </c>
      <c r="AS1010" t="s">
        <v>607</v>
      </c>
      <c r="AT1010" t="s">
        <v>405</v>
      </c>
      <c r="AU1010">
        <v>2023</v>
      </c>
      <c r="AV1010">
        <v>94</v>
      </c>
      <c r="AW1010" t="s">
        <v>74</v>
      </c>
      <c r="AX1010" t="s">
        <v>74</v>
      </c>
      <c r="AY1010" t="s">
        <v>74</v>
      </c>
      <c r="AZ1010" t="s">
        <v>74</v>
      </c>
      <c r="BA1010" t="s">
        <v>74</v>
      </c>
      <c r="BB1010" t="s">
        <v>74</v>
      </c>
      <c r="BC1010" t="s">
        <v>74</v>
      </c>
      <c r="BD1010">
        <v>104660</v>
      </c>
      <c r="BE1010" t="s">
        <v>17143</v>
      </c>
      <c r="BF1010" t="str">
        <f>HYPERLINK("http://dx.doi.org/10.1016/j.tourman.2022.104660","http://dx.doi.org/10.1016/j.tourman.2022.104660")</f>
        <v>http://dx.doi.org/10.1016/j.tourman.2022.104660</v>
      </c>
      <c r="BG1010" t="s">
        <v>74</v>
      </c>
      <c r="BH1010" t="s">
        <v>74</v>
      </c>
      <c r="BI1010">
        <v>15</v>
      </c>
      <c r="BJ1010" t="s">
        <v>609</v>
      </c>
      <c r="BK1010" t="s">
        <v>94</v>
      </c>
      <c r="BL1010" t="s">
        <v>610</v>
      </c>
      <c r="BM1010" t="s">
        <v>17144</v>
      </c>
      <c r="BN1010" t="s">
        <v>74</v>
      </c>
      <c r="BO1010" t="s">
        <v>74</v>
      </c>
      <c r="BP1010" t="s">
        <v>74</v>
      </c>
      <c r="BQ1010" t="s">
        <v>74</v>
      </c>
      <c r="BR1010" t="s">
        <v>97</v>
      </c>
      <c r="BS1010" t="s">
        <v>17145</v>
      </c>
      <c r="BT1010" t="str">
        <f>HYPERLINK("https%3A%2F%2Fwww.webofscience.com%2Fwos%2Fwoscc%2Ffull-record%2FWOS:000866476800002","View Full Record in Web of Science")</f>
        <v>View Full Record in Web of Science</v>
      </c>
    </row>
    <row r="1011" spans="1:72" x14ac:dyDescent="0.25">
      <c r="A1011" t="s">
        <v>72</v>
      </c>
      <c r="B1011" t="s">
        <v>17146</v>
      </c>
      <c r="C1011" t="s">
        <v>74</v>
      </c>
      <c r="D1011" t="s">
        <v>74</v>
      </c>
      <c r="E1011" t="s">
        <v>74</v>
      </c>
      <c r="F1011" t="s">
        <v>17147</v>
      </c>
      <c r="G1011" t="s">
        <v>74</v>
      </c>
      <c r="H1011" t="s">
        <v>74</v>
      </c>
      <c r="I1011" t="s">
        <v>17148</v>
      </c>
      <c r="J1011" t="s">
        <v>13366</v>
      </c>
      <c r="K1011" t="s">
        <v>74</v>
      </c>
      <c r="L1011" t="s">
        <v>74</v>
      </c>
      <c r="M1011" t="s">
        <v>77</v>
      </c>
      <c r="N1011" t="s">
        <v>10095</v>
      </c>
      <c r="O1011" t="s">
        <v>74</v>
      </c>
      <c r="P1011" t="s">
        <v>74</v>
      </c>
      <c r="Q1011" t="s">
        <v>74</v>
      </c>
      <c r="R1011" t="s">
        <v>74</v>
      </c>
      <c r="S1011" t="s">
        <v>74</v>
      </c>
      <c r="T1011" t="s">
        <v>17149</v>
      </c>
      <c r="U1011" t="s">
        <v>17150</v>
      </c>
      <c r="V1011" t="s">
        <v>17151</v>
      </c>
      <c r="W1011" t="s">
        <v>17152</v>
      </c>
      <c r="X1011" t="s">
        <v>17153</v>
      </c>
      <c r="Y1011" t="s">
        <v>17154</v>
      </c>
      <c r="Z1011" t="s">
        <v>17155</v>
      </c>
      <c r="AA1011" t="s">
        <v>74</v>
      </c>
      <c r="AB1011" t="s">
        <v>74</v>
      </c>
      <c r="AC1011" t="s">
        <v>17156</v>
      </c>
      <c r="AD1011" t="s">
        <v>7706</v>
      </c>
      <c r="AE1011" t="s">
        <v>17157</v>
      </c>
      <c r="AF1011" t="s">
        <v>74</v>
      </c>
      <c r="AG1011">
        <v>114</v>
      </c>
      <c r="AH1011">
        <v>1</v>
      </c>
      <c r="AI1011">
        <v>1</v>
      </c>
      <c r="AJ1011">
        <v>16</v>
      </c>
      <c r="AK1011">
        <v>16</v>
      </c>
      <c r="AL1011" t="s">
        <v>350</v>
      </c>
      <c r="AM1011" t="s">
        <v>351</v>
      </c>
      <c r="AN1011" t="s">
        <v>352</v>
      </c>
      <c r="AO1011" t="s">
        <v>13379</v>
      </c>
      <c r="AP1011" t="s">
        <v>13380</v>
      </c>
      <c r="AQ1011" t="s">
        <v>74</v>
      </c>
      <c r="AR1011" t="s">
        <v>13381</v>
      </c>
      <c r="AS1011" t="s">
        <v>13382</v>
      </c>
      <c r="AT1011" t="s">
        <v>74</v>
      </c>
      <c r="AU1011" t="s">
        <v>74</v>
      </c>
      <c r="AV1011" t="s">
        <v>74</v>
      </c>
      <c r="AW1011" t="s">
        <v>74</v>
      </c>
      <c r="AX1011" t="s">
        <v>74</v>
      </c>
      <c r="AY1011" t="s">
        <v>74</v>
      </c>
      <c r="AZ1011" t="s">
        <v>74</v>
      </c>
      <c r="BA1011" t="s">
        <v>74</v>
      </c>
      <c r="BB1011" t="s">
        <v>74</v>
      </c>
      <c r="BC1011" t="s">
        <v>74</v>
      </c>
      <c r="BD1011" t="s">
        <v>74</v>
      </c>
      <c r="BE1011" t="s">
        <v>17158</v>
      </c>
      <c r="BF1011" t="str">
        <f>HYPERLINK("http://dx.doi.org/10.1177/00910260221147692","http://dx.doi.org/10.1177/00910260221147692")</f>
        <v>http://dx.doi.org/10.1177/00910260221147692</v>
      </c>
      <c r="BG1011" t="s">
        <v>74</v>
      </c>
      <c r="BH1011" t="s">
        <v>17159</v>
      </c>
      <c r="BI1011">
        <v>26</v>
      </c>
      <c r="BJ1011" t="s">
        <v>13384</v>
      </c>
      <c r="BK1011" t="s">
        <v>94</v>
      </c>
      <c r="BL1011" t="s">
        <v>2246</v>
      </c>
      <c r="BM1011" t="s">
        <v>17160</v>
      </c>
      <c r="BN1011" t="s">
        <v>74</v>
      </c>
      <c r="BO1011" t="s">
        <v>74</v>
      </c>
      <c r="BP1011" t="s">
        <v>74</v>
      </c>
      <c r="BQ1011" t="s">
        <v>74</v>
      </c>
      <c r="BR1011" t="s">
        <v>97</v>
      </c>
      <c r="BS1011" t="s">
        <v>17161</v>
      </c>
      <c r="BT1011" t="str">
        <f>HYPERLINK("https%3A%2F%2Fwww.webofscience.com%2Fwos%2Fwoscc%2Ffull-record%2FWOS:000912549900001","View Full Record in Web of Science")</f>
        <v>View Full Record in Web of Science</v>
      </c>
    </row>
    <row r="1012" spans="1:72" x14ac:dyDescent="0.25">
      <c r="A1012" t="s">
        <v>72</v>
      </c>
      <c r="B1012" t="s">
        <v>17162</v>
      </c>
      <c r="C1012" t="s">
        <v>74</v>
      </c>
      <c r="D1012" t="s">
        <v>74</v>
      </c>
      <c r="E1012" t="s">
        <v>74</v>
      </c>
      <c r="F1012" t="s">
        <v>17163</v>
      </c>
      <c r="G1012" t="s">
        <v>74</v>
      </c>
      <c r="H1012" t="s">
        <v>74</v>
      </c>
      <c r="I1012" t="s">
        <v>17164</v>
      </c>
      <c r="J1012" t="s">
        <v>2502</v>
      </c>
      <c r="K1012" t="s">
        <v>74</v>
      </c>
      <c r="L1012" t="s">
        <v>74</v>
      </c>
      <c r="M1012" t="s">
        <v>77</v>
      </c>
      <c r="N1012" t="s">
        <v>10095</v>
      </c>
      <c r="O1012" t="s">
        <v>74</v>
      </c>
      <c r="P1012" t="s">
        <v>74</v>
      </c>
      <c r="Q1012" t="s">
        <v>74</v>
      </c>
      <c r="R1012" t="s">
        <v>74</v>
      </c>
      <c r="S1012" t="s">
        <v>74</v>
      </c>
      <c r="T1012" t="s">
        <v>17165</v>
      </c>
      <c r="U1012" t="s">
        <v>17166</v>
      </c>
      <c r="V1012" t="s">
        <v>17167</v>
      </c>
      <c r="W1012" t="s">
        <v>17168</v>
      </c>
      <c r="X1012" t="s">
        <v>17169</v>
      </c>
      <c r="Y1012" t="s">
        <v>17170</v>
      </c>
      <c r="Z1012" t="s">
        <v>17171</v>
      </c>
      <c r="AA1012" t="s">
        <v>17172</v>
      </c>
      <c r="AB1012" t="s">
        <v>17173</v>
      </c>
      <c r="AC1012" t="s">
        <v>74</v>
      </c>
      <c r="AD1012" t="s">
        <v>74</v>
      </c>
      <c r="AE1012" t="s">
        <v>74</v>
      </c>
      <c r="AF1012" t="s">
        <v>74</v>
      </c>
      <c r="AG1012">
        <v>101</v>
      </c>
      <c r="AH1012">
        <v>1</v>
      </c>
      <c r="AI1012">
        <v>1</v>
      </c>
      <c r="AJ1012">
        <v>29</v>
      </c>
      <c r="AK1012">
        <v>29</v>
      </c>
      <c r="AL1012" t="s">
        <v>665</v>
      </c>
      <c r="AM1012" t="s">
        <v>666</v>
      </c>
      <c r="AN1012" t="s">
        <v>667</v>
      </c>
      <c r="AO1012" t="s">
        <v>2510</v>
      </c>
      <c r="AP1012" t="s">
        <v>2511</v>
      </c>
      <c r="AQ1012" t="s">
        <v>74</v>
      </c>
      <c r="AR1012" t="s">
        <v>2512</v>
      </c>
      <c r="AS1012" t="s">
        <v>2513</v>
      </c>
      <c r="AT1012" t="s">
        <v>74</v>
      </c>
      <c r="AU1012" t="s">
        <v>74</v>
      </c>
      <c r="AV1012" t="s">
        <v>74</v>
      </c>
      <c r="AW1012" t="s">
        <v>74</v>
      </c>
      <c r="AX1012" t="s">
        <v>74</v>
      </c>
      <c r="AY1012" t="s">
        <v>74</v>
      </c>
      <c r="AZ1012" t="s">
        <v>74</v>
      </c>
      <c r="BA1012" t="s">
        <v>74</v>
      </c>
      <c r="BB1012" t="s">
        <v>74</v>
      </c>
      <c r="BC1012" t="s">
        <v>74</v>
      </c>
      <c r="BD1012" t="s">
        <v>74</v>
      </c>
      <c r="BE1012" t="s">
        <v>17174</v>
      </c>
      <c r="BF1012" t="str">
        <f>HYPERLINK("http://dx.doi.org/10.1108/PR-04-2021-0239","http://dx.doi.org/10.1108/PR-04-2021-0239")</f>
        <v>http://dx.doi.org/10.1108/PR-04-2021-0239</v>
      </c>
      <c r="BG1012" t="s">
        <v>74</v>
      </c>
      <c r="BH1012" t="s">
        <v>17159</v>
      </c>
      <c r="BI1012">
        <v>22</v>
      </c>
      <c r="BJ1012" t="s">
        <v>2515</v>
      </c>
      <c r="BK1012" t="s">
        <v>94</v>
      </c>
      <c r="BL1012" t="s">
        <v>227</v>
      </c>
      <c r="BM1012" t="s">
        <v>17175</v>
      </c>
      <c r="BN1012" t="s">
        <v>74</v>
      </c>
      <c r="BO1012" t="s">
        <v>111</v>
      </c>
      <c r="BP1012" t="s">
        <v>74</v>
      </c>
      <c r="BQ1012" t="s">
        <v>74</v>
      </c>
      <c r="BR1012" t="s">
        <v>97</v>
      </c>
      <c r="BS1012" t="s">
        <v>17176</v>
      </c>
      <c r="BT1012" t="str">
        <f>HYPERLINK("https%3A%2F%2Fwww.webofscience.com%2Fwos%2Fwoscc%2Ffull-record%2FWOS:000908291900001","View Full Record in Web of Science")</f>
        <v>View Full Record in Web of Science</v>
      </c>
    </row>
    <row r="1013" spans="1:72" x14ac:dyDescent="0.25">
      <c r="A1013" t="s">
        <v>72</v>
      </c>
      <c r="B1013" t="s">
        <v>17177</v>
      </c>
      <c r="C1013" t="s">
        <v>74</v>
      </c>
      <c r="D1013" t="s">
        <v>74</v>
      </c>
      <c r="E1013" t="s">
        <v>74</v>
      </c>
      <c r="F1013" t="s">
        <v>17178</v>
      </c>
      <c r="G1013" t="s">
        <v>74</v>
      </c>
      <c r="H1013" t="s">
        <v>74</v>
      </c>
      <c r="I1013" t="s">
        <v>17179</v>
      </c>
      <c r="J1013" t="s">
        <v>3683</v>
      </c>
      <c r="K1013" t="s">
        <v>74</v>
      </c>
      <c r="L1013" t="s">
        <v>74</v>
      </c>
      <c r="M1013" t="s">
        <v>77</v>
      </c>
      <c r="N1013" t="s">
        <v>78</v>
      </c>
      <c r="O1013" t="s">
        <v>74</v>
      </c>
      <c r="P1013" t="s">
        <v>74</v>
      </c>
      <c r="Q1013" t="s">
        <v>74</v>
      </c>
      <c r="R1013" t="s">
        <v>74</v>
      </c>
      <c r="S1013" t="s">
        <v>74</v>
      </c>
      <c r="T1013" t="s">
        <v>17180</v>
      </c>
      <c r="U1013" t="s">
        <v>17181</v>
      </c>
      <c r="V1013" t="s">
        <v>17182</v>
      </c>
      <c r="W1013" t="s">
        <v>17183</v>
      </c>
      <c r="X1013" t="s">
        <v>17184</v>
      </c>
      <c r="Y1013" t="s">
        <v>17185</v>
      </c>
      <c r="Z1013" t="s">
        <v>17186</v>
      </c>
      <c r="AA1013" t="s">
        <v>17187</v>
      </c>
      <c r="AB1013" t="s">
        <v>17188</v>
      </c>
      <c r="AC1013" t="s">
        <v>17189</v>
      </c>
      <c r="AD1013" t="s">
        <v>17190</v>
      </c>
      <c r="AE1013" t="s">
        <v>17191</v>
      </c>
      <c r="AF1013" t="s">
        <v>74</v>
      </c>
      <c r="AG1013">
        <v>61</v>
      </c>
      <c r="AH1013">
        <v>1</v>
      </c>
      <c r="AI1013">
        <v>1</v>
      </c>
      <c r="AJ1013">
        <v>0</v>
      </c>
      <c r="AK1013">
        <v>0</v>
      </c>
      <c r="AL1013" t="s">
        <v>1533</v>
      </c>
      <c r="AM1013" t="s">
        <v>1534</v>
      </c>
      <c r="AN1013" t="s">
        <v>1535</v>
      </c>
      <c r="AO1013" t="s">
        <v>3693</v>
      </c>
      <c r="AP1013" t="s">
        <v>3694</v>
      </c>
      <c r="AQ1013" t="s">
        <v>74</v>
      </c>
      <c r="AR1013" t="s">
        <v>3695</v>
      </c>
      <c r="AS1013" t="s">
        <v>3696</v>
      </c>
      <c r="AT1013" t="s">
        <v>91</v>
      </c>
      <c r="AU1013">
        <v>2023</v>
      </c>
      <c r="AV1013">
        <v>13</v>
      </c>
      <c r="AW1013">
        <v>2</v>
      </c>
      <c r="AX1013" t="s">
        <v>74</v>
      </c>
      <c r="AY1013" t="s">
        <v>74</v>
      </c>
      <c r="AZ1013" t="s">
        <v>74</v>
      </c>
      <c r="BA1013" t="s">
        <v>74</v>
      </c>
      <c r="BB1013">
        <v>257</v>
      </c>
      <c r="BC1013">
        <v>279</v>
      </c>
      <c r="BD1013" t="s">
        <v>74</v>
      </c>
      <c r="BE1013" t="s">
        <v>17192</v>
      </c>
      <c r="BF1013" t="str">
        <f>HYPERLINK("http://dx.doi.org/10.1007/s40821-022-00232-1","http://dx.doi.org/10.1007/s40821-022-00232-1")</f>
        <v>http://dx.doi.org/10.1007/s40821-022-00232-1</v>
      </c>
      <c r="BG1013" t="s">
        <v>74</v>
      </c>
      <c r="BH1013" t="s">
        <v>17159</v>
      </c>
      <c r="BI1013">
        <v>23</v>
      </c>
      <c r="BJ1013" t="s">
        <v>1199</v>
      </c>
      <c r="BK1013" t="s">
        <v>94</v>
      </c>
      <c r="BL1013" t="s">
        <v>95</v>
      </c>
      <c r="BM1013" t="s">
        <v>17193</v>
      </c>
      <c r="BN1013" t="s">
        <v>74</v>
      </c>
      <c r="BO1013" t="s">
        <v>408</v>
      </c>
      <c r="BP1013" t="s">
        <v>74</v>
      </c>
      <c r="BQ1013" t="s">
        <v>74</v>
      </c>
      <c r="BR1013" t="s">
        <v>97</v>
      </c>
      <c r="BS1013" t="s">
        <v>17194</v>
      </c>
      <c r="BT1013" t="str">
        <f>HYPERLINK("https%3A%2F%2Fwww.webofscience.com%2Fwos%2Fwoscc%2Ffull-record%2FWOS:000920116400001","View Full Record in Web of Science")</f>
        <v>View Full Record in Web of Science</v>
      </c>
    </row>
    <row r="1014" spans="1:72" x14ac:dyDescent="0.25">
      <c r="A1014" t="s">
        <v>72</v>
      </c>
      <c r="B1014" t="s">
        <v>17195</v>
      </c>
      <c r="C1014" t="s">
        <v>74</v>
      </c>
      <c r="D1014" t="s">
        <v>74</v>
      </c>
      <c r="E1014" t="s">
        <v>74</v>
      </c>
      <c r="F1014" t="s">
        <v>17196</v>
      </c>
      <c r="G1014" t="s">
        <v>74</v>
      </c>
      <c r="H1014" t="s">
        <v>74</v>
      </c>
      <c r="I1014" t="s">
        <v>17197</v>
      </c>
      <c r="J1014" t="s">
        <v>5394</v>
      </c>
      <c r="K1014" t="s">
        <v>74</v>
      </c>
      <c r="L1014" t="s">
        <v>74</v>
      </c>
      <c r="M1014" t="s">
        <v>77</v>
      </c>
      <c r="N1014" t="s">
        <v>78</v>
      </c>
      <c r="O1014" t="s">
        <v>74</v>
      </c>
      <c r="P1014" t="s">
        <v>74</v>
      </c>
      <c r="Q1014" t="s">
        <v>74</v>
      </c>
      <c r="R1014" t="s">
        <v>74</v>
      </c>
      <c r="S1014" t="s">
        <v>74</v>
      </c>
      <c r="T1014" t="s">
        <v>17198</v>
      </c>
      <c r="U1014" t="s">
        <v>17199</v>
      </c>
      <c r="V1014" t="s">
        <v>17200</v>
      </c>
      <c r="W1014" t="s">
        <v>17201</v>
      </c>
      <c r="X1014" t="s">
        <v>17202</v>
      </c>
      <c r="Y1014" t="s">
        <v>17203</v>
      </c>
      <c r="Z1014" t="s">
        <v>17204</v>
      </c>
      <c r="AA1014" t="s">
        <v>17205</v>
      </c>
      <c r="AB1014" t="s">
        <v>17206</v>
      </c>
      <c r="AC1014" t="s">
        <v>74</v>
      </c>
      <c r="AD1014" t="s">
        <v>74</v>
      </c>
      <c r="AE1014" t="s">
        <v>74</v>
      </c>
      <c r="AF1014" t="s">
        <v>74</v>
      </c>
      <c r="AG1014">
        <v>115</v>
      </c>
      <c r="AH1014">
        <v>1</v>
      </c>
      <c r="AI1014">
        <v>1</v>
      </c>
      <c r="AJ1014">
        <v>14</v>
      </c>
      <c r="AK1014">
        <v>14</v>
      </c>
      <c r="AL1014" t="s">
        <v>602</v>
      </c>
      <c r="AM1014" t="s">
        <v>160</v>
      </c>
      <c r="AN1014" t="s">
        <v>603</v>
      </c>
      <c r="AO1014" t="s">
        <v>5406</v>
      </c>
      <c r="AP1014" t="s">
        <v>5407</v>
      </c>
      <c r="AQ1014" t="s">
        <v>74</v>
      </c>
      <c r="AR1014" t="s">
        <v>5408</v>
      </c>
      <c r="AS1014" t="s">
        <v>5409</v>
      </c>
      <c r="AT1014" t="s">
        <v>405</v>
      </c>
      <c r="AU1014">
        <v>2023</v>
      </c>
      <c r="AV1014">
        <v>72</v>
      </c>
      <c r="AW1014" t="s">
        <v>74</v>
      </c>
      <c r="AX1014" t="s">
        <v>74</v>
      </c>
      <c r="AY1014" t="s">
        <v>74</v>
      </c>
      <c r="AZ1014" t="s">
        <v>74</v>
      </c>
      <c r="BA1014" t="s">
        <v>74</v>
      </c>
      <c r="BB1014" t="s">
        <v>74</v>
      </c>
      <c r="BC1014" t="s">
        <v>74</v>
      </c>
      <c r="BD1014">
        <v>102195</v>
      </c>
      <c r="BE1014" t="s">
        <v>17207</v>
      </c>
      <c r="BF1014" t="str">
        <f>HYPERLINK("http://dx.doi.org/10.1016/j.techsoc.2022.102195","http://dx.doi.org/10.1016/j.techsoc.2022.102195")</f>
        <v>http://dx.doi.org/10.1016/j.techsoc.2022.102195</v>
      </c>
      <c r="BG1014" t="s">
        <v>74</v>
      </c>
      <c r="BH1014" t="s">
        <v>17159</v>
      </c>
      <c r="BI1014">
        <v>10</v>
      </c>
      <c r="BJ1014" t="s">
        <v>5411</v>
      </c>
      <c r="BK1014" t="s">
        <v>94</v>
      </c>
      <c r="BL1014" t="s">
        <v>5412</v>
      </c>
      <c r="BM1014" t="s">
        <v>17208</v>
      </c>
      <c r="BN1014" t="s">
        <v>74</v>
      </c>
      <c r="BO1014" t="s">
        <v>74</v>
      </c>
      <c r="BP1014" t="s">
        <v>74</v>
      </c>
      <c r="BQ1014" t="s">
        <v>74</v>
      </c>
      <c r="BR1014" t="s">
        <v>97</v>
      </c>
      <c r="BS1014" t="s">
        <v>17209</v>
      </c>
      <c r="BT1014" t="str">
        <f>HYPERLINK("https%3A%2F%2Fwww.webofscience.com%2Fwos%2Fwoscc%2Ffull-record%2FWOS:000919576900001","View Full Record in Web of Science")</f>
        <v>View Full Record in Web of Science</v>
      </c>
    </row>
    <row r="1015" spans="1:72" x14ac:dyDescent="0.25">
      <c r="A1015" t="s">
        <v>72</v>
      </c>
      <c r="B1015" t="s">
        <v>17210</v>
      </c>
      <c r="C1015" t="s">
        <v>74</v>
      </c>
      <c r="D1015" t="s">
        <v>74</v>
      </c>
      <c r="E1015" t="s">
        <v>74</v>
      </c>
      <c r="F1015" t="s">
        <v>17211</v>
      </c>
      <c r="G1015" t="s">
        <v>74</v>
      </c>
      <c r="H1015" t="s">
        <v>74</v>
      </c>
      <c r="I1015" t="s">
        <v>17212</v>
      </c>
      <c r="J1015" t="s">
        <v>2463</v>
      </c>
      <c r="K1015" t="s">
        <v>74</v>
      </c>
      <c r="L1015" t="s">
        <v>74</v>
      </c>
      <c r="M1015" t="s">
        <v>77</v>
      </c>
      <c r="N1015" t="s">
        <v>78</v>
      </c>
      <c r="O1015" t="s">
        <v>74</v>
      </c>
      <c r="P1015" t="s">
        <v>74</v>
      </c>
      <c r="Q1015" t="s">
        <v>74</v>
      </c>
      <c r="R1015" t="s">
        <v>74</v>
      </c>
      <c r="S1015" t="s">
        <v>74</v>
      </c>
      <c r="T1015" t="s">
        <v>17213</v>
      </c>
      <c r="U1015" t="s">
        <v>17214</v>
      </c>
      <c r="V1015" t="s">
        <v>17215</v>
      </c>
      <c r="W1015" t="s">
        <v>17216</v>
      </c>
      <c r="X1015" t="s">
        <v>17217</v>
      </c>
      <c r="Y1015" t="s">
        <v>17218</v>
      </c>
      <c r="Z1015" t="s">
        <v>17219</v>
      </c>
      <c r="AA1015" t="s">
        <v>74</v>
      </c>
      <c r="AB1015" t="s">
        <v>17220</v>
      </c>
      <c r="AC1015" t="s">
        <v>74</v>
      </c>
      <c r="AD1015" t="s">
        <v>74</v>
      </c>
      <c r="AE1015" t="s">
        <v>74</v>
      </c>
      <c r="AF1015" t="s">
        <v>74</v>
      </c>
      <c r="AG1015">
        <v>120</v>
      </c>
      <c r="AH1015">
        <v>1</v>
      </c>
      <c r="AI1015">
        <v>1</v>
      </c>
      <c r="AJ1015">
        <v>10</v>
      </c>
      <c r="AK1015">
        <v>10</v>
      </c>
      <c r="AL1015" t="s">
        <v>2473</v>
      </c>
      <c r="AM1015" t="s">
        <v>2102</v>
      </c>
      <c r="AN1015" t="s">
        <v>2474</v>
      </c>
      <c r="AO1015" t="s">
        <v>74</v>
      </c>
      <c r="AP1015" t="s">
        <v>2475</v>
      </c>
      <c r="AQ1015" t="s">
        <v>74</v>
      </c>
      <c r="AR1015" t="s">
        <v>2476</v>
      </c>
      <c r="AS1015" t="s">
        <v>2477</v>
      </c>
      <c r="AT1015" t="s">
        <v>892</v>
      </c>
      <c r="AU1015">
        <v>2023</v>
      </c>
      <c r="AV1015">
        <v>15</v>
      </c>
      <c r="AW1015">
        <v>2</v>
      </c>
      <c r="AX1015" t="s">
        <v>74</v>
      </c>
      <c r="AY1015" t="s">
        <v>74</v>
      </c>
      <c r="AZ1015" t="s">
        <v>74</v>
      </c>
      <c r="BA1015" t="s">
        <v>74</v>
      </c>
      <c r="BB1015" t="s">
        <v>74</v>
      </c>
      <c r="BC1015" t="s">
        <v>74</v>
      </c>
      <c r="BD1015">
        <v>1267</v>
      </c>
      <c r="BE1015" t="s">
        <v>17221</v>
      </c>
      <c r="BF1015" t="str">
        <f>HYPERLINK("http://dx.doi.org/10.3390/su15021267","http://dx.doi.org/10.3390/su15021267")</f>
        <v>http://dx.doi.org/10.3390/su15021267</v>
      </c>
      <c r="BG1015" t="s">
        <v>74</v>
      </c>
      <c r="BH1015" t="s">
        <v>74</v>
      </c>
      <c r="BI1015">
        <v>21</v>
      </c>
      <c r="BJ1015" t="s">
        <v>2479</v>
      </c>
      <c r="BK1015" t="s">
        <v>147</v>
      </c>
      <c r="BL1015" t="s">
        <v>2480</v>
      </c>
      <c r="BM1015" t="s">
        <v>17222</v>
      </c>
      <c r="BN1015" t="s">
        <v>74</v>
      </c>
      <c r="BO1015" t="s">
        <v>2482</v>
      </c>
      <c r="BP1015" t="s">
        <v>74</v>
      </c>
      <c r="BQ1015" t="s">
        <v>74</v>
      </c>
      <c r="BR1015" t="s">
        <v>97</v>
      </c>
      <c r="BS1015" t="s">
        <v>17223</v>
      </c>
      <c r="BT1015" t="str">
        <f>HYPERLINK("https%3A%2F%2Fwww.webofscience.com%2Fwos%2Fwoscc%2Ffull-record%2FWOS:000915716700001","View Full Record in Web of Science")</f>
        <v>View Full Record in Web of Science</v>
      </c>
    </row>
    <row r="1016" spans="1:72" x14ac:dyDescent="0.25">
      <c r="A1016" t="s">
        <v>72</v>
      </c>
      <c r="B1016" t="s">
        <v>17224</v>
      </c>
      <c r="C1016" t="s">
        <v>74</v>
      </c>
      <c r="D1016" t="s">
        <v>74</v>
      </c>
      <c r="E1016" t="s">
        <v>74</v>
      </c>
      <c r="F1016" t="s">
        <v>17225</v>
      </c>
      <c r="G1016" t="s">
        <v>74</v>
      </c>
      <c r="H1016" t="s">
        <v>74</v>
      </c>
      <c r="I1016" t="s">
        <v>17226</v>
      </c>
      <c r="J1016" t="s">
        <v>17227</v>
      </c>
      <c r="K1016" t="s">
        <v>74</v>
      </c>
      <c r="L1016" t="s">
        <v>74</v>
      </c>
      <c r="M1016" t="s">
        <v>77</v>
      </c>
      <c r="N1016" t="s">
        <v>78</v>
      </c>
      <c r="O1016" t="s">
        <v>74</v>
      </c>
      <c r="P1016" t="s">
        <v>74</v>
      </c>
      <c r="Q1016" t="s">
        <v>74</v>
      </c>
      <c r="R1016" t="s">
        <v>74</v>
      </c>
      <c r="S1016" t="s">
        <v>74</v>
      </c>
      <c r="T1016" t="s">
        <v>17228</v>
      </c>
      <c r="U1016" t="s">
        <v>17229</v>
      </c>
      <c r="V1016" t="s">
        <v>17230</v>
      </c>
      <c r="W1016" t="s">
        <v>17231</v>
      </c>
      <c r="X1016" t="s">
        <v>17232</v>
      </c>
      <c r="Y1016" t="s">
        <v>17233</v>
      </c>
      <c r="Z1016" t="s">
        <v>17234</v>
      </c>
      <c r="AA1016" t="s">
        <v>74</v>
      </c>
      <c r="AB1016" t="s">
        <v>74</v>
      </c>
      <c r="AC1016" t="s">
        <v>74</v>
      </c>
      <c r="AD1016" t="s">
        <v>74</v>
      </c>
      <c r="AE1016" t="s">
        <v>74</v>
      </c>
      <c r="AF1016" t="s">
        <v>74</v>
      </c>
      <c r="AG1016">
        <v>193</v>
      </c>
      <c r="AH1016">
        <v>1</v>
      </c>
      <c r="AI1016">
        <v>1</v>
      </c>
      <c r="AJ1016">
        <v>10</v>
      </c>
      <c r="AK1016">
        <v>10</v>
      </c>
      <c r="AL1016" t="s">
        <v>17235</v>
      </c>
      <c r="AM1016" t="s">
        <v>17236</v>
      </c>
      <c r="AN1016" t="s">
        <v>17237</v>
      </c>
      <c r="AO1016" t="s">
        <v>17238</v>
      </c>
      <c r="AP1016" t="s">
        <v>17239</v>
      </c>
      <c r="AQ1016" t="s">
        <v>74</v>
      </c>
      <c r="AR1016" t="s">
        <v>17240</v>
      </c>
      <c r="AS1016" t="s">
        <v>17241</v>
      </c>
      <c r="AT1016" t="s">
        <v>74</v>
      </c>
      <c r="AU1016">
        <v>2023</v>
      </c>
      <c r="AV1016">
        <v>10</v>
      </c>
      <c r="AW1016" t="s">
        <v>74</v>
      </c>
      <c r="AX1016" t="s">
        <v>74</v>
      </c>
      <c r="AY1016" t="s">
        <v>74</v>
      </c>
      <c r="AZ1016" t="s">
        <v>74</v>
      </c>
      <c r="BA1016" t="s">
        <v>74</v>
      </c>
      <c r="BB1016">
        <v>413</v>
      </c>
      <c r="BC1016">
        <v>440</v>
      </c>
      <c r="BD1016" t="s">
        <v>74</v>
      </c>
      <c r="BE1016" t="s">
        <v>17242</v>
      </c>
      <c r="BF1016" t="str">
        <f>HYPERLINK("http://dx.doi.org/10.1146/annurev-orgpsych-120920-045553","http://dx.doi.org/10.1146/annurev-orgpsych-120920-045553")</f>
        <v>http://dx.doi.org/10.1146/annurev-orgpsych-120920-045553</v>
      </c>
      <c r="BG1016" t="s">
        <v>74</v>
      </c>
      <c r="BH1016" t="s">
        <v>74</v>
      </c>
      <c r="BI1016">
        <v>28</v>
      </c>
      <c r="BJ1016" t="s">
        <v>202</v>
      </c>
      <c r="BK1016" t="s">
        <v>94</v>
      </c>
      <c r="BL1016" t="s">
        <v>203</v>
      </c>
      <c r="BM1016" t="s">
        <v>17243</v>
      </c>
      <c r="BN1016" t="s">
        <v>74</v>
      </c>
      <c r="BO1016" t="s">
        <v>408</v>
      </c>
      <c r="BP1016" t="s">
        <v>74</v>
      </c>
      <c r="BQ1016" t="s">
        <v>74</v>
      </c>
      <c r="BR1016" t="s">
        <v>97</v>
      </c>
      <c r="BS1016" t="s">
        <v>17244</v>
      </c>
      <c r="BT1016" t="str">
        <f>HYPERLINK("https%3A%2F%2Fwww.webofscience.com%2Fwos%2Fwoscc%2Ffull-record%2FWOS:000915426900017","View Full Record in Web of Science")</f>
        <v>View Full Record in Web of Science</v>
      </c>
    </row>
    <row r="1017" spans="1:72" x14ac:dyDescent="0.25">
      <c r="A1017" t="s">
        <v>72</v>
      </c>
      <c r="B1017" t="s">
        <v>17245</v>
      </c>
      <c r="C1017" t="s">
        <v>74</v>
      </c>
      <c r="D1017" t="s">
        <v>74</v>
      </c>
      <c r="E1017" t="s">
        <v>74</v>
      </c>
      <c r="F1017" t="s">
        <v>17246</v>
      </c>
      <c r="G1017" t="s">
        <v>74</v>
      </c>
      <c r="H1017" t="s">
        <v>74</v>
      </c>
      <c r="I1017" t="s">
        <v>17247</v>
      </c>
      <c r="J1017" t="s">
        <v>3123</v>
      </c>
      <c r="K1017" t="s">
        <v>74</v>
      </c>
      <c r="L1017" t="s">
        <v>74</v>
      </c>
      <c r="M1017" t="s">
        <v>77</v>
      </c>
      <c r="N1017" t="s">
        <v>10095</v>
      </c>
      <c r="O1017" t="s">
        <v>74</v>
      </c>
      <c r="P1017" t="s">
        <v>74</v>
      </c>
      <c r="Q1017" t="s">
        <v>74</v>
      </c>
      <c r="R1017" t="s">
        <v>74</v>
      </c>
      <c r="S1017" t="s">
        <v>74</v>
      </c>
      <c r="T1017" t="s">
        <v>17248</v>
      </c>
      <c r="U1017" t="s">
        <v>17249</v>
      </c>
      <c r="V1017" t="s">
        <v>17250</v>
      </c>
      <c r="W1017" t="s">
        <v>17251</v>
      </c>
      <c r="X1017" t="s">
        <v>17252</v>
      </c>
      <c r="Y1017" t="s">
        <v>17253</v>
      </c>
      <c r="Z1017" t="s">
        <v>17254</v>
      </c>
      <c r="AA1017" t="s">
        <v>74</v>
      </c>
      <c r="AB1017" t="s">
        <v>74</v>
      </c>
      <c r="AC1017" t="s">
        <v>17255</v>
      </c>
      <c r="AD1017" t="s">
        <v>575</v>
      </c>
      <c r="AE1017" t="s">
        <v>17256</v>
      </c>
      <c r="AF1017" t="s">
        <v>74</v>
      </c>
      <c r="AG1017">
        <v>90</v>
      </c>
      <c r="AH1017">
        <v>1</v>
      </c>
      <c r="AI1017">
        <v>1</v>
      </c>
      <c r="AJ1017">
        <v>22</v>
      </c>
      <c r="AK1017">
        <v>22</v>
      </c>
      <c r="AL1017" t="s">
        <v>766</v>
      </c>
      <c r="AM1017" t="s">
        <v>330</v>
      </c>
      <c r="AN1017" t="s">
        <v>1452</v>
      </c>
      <c r="AO1017" t="s">
        <v>3132</v>
      </c>
      <c r="AP1017" t="s">
        <v>3133</v>
      </c>
      <c r="AQ1017" t="s">
        <v>74</v>
      </c>
      <c r="AR1017" t="s">
        <v>3134</v>
      </c>
      <c r="AS1017" t="s">
        <v>3135</v>
      </c>
      <c r="AT1017" t="s">
        <v>74</v>
      </c>
      <c r="AU1017" t="s">
        <v>74</v>
      </c>
      <c r="AV1017" t="s">
        <v>74</v>
      </c>
      <c r="AW1017" t="s">
        <v>74</v>
      </c>
      <c r="AX1017" t="s">
        <v>74</v>
      </c>
      <c r="AY1017" t="s">
        <v>74</v>
      </c>
      <c r="AZ1017" t="s">
        <v>74</v>
      </c>
      <c r="BA1017" t="s">
        <v>74</v>
      </c>
      <c r="BB1017" t="s">
        <v>74</v>
      </c>
      <c r="BC1017" t="s">
        <v>74</v>
      </c>
      <c r="BD1017" t="s">
        <v>74</v>
      </c>
      <c r="BE1017" t="s">
        <v>17257</v>
      </c>
      <c r="BF1017" t="str">
        <f>HYPERLINK("http://dx.doi.org/10.1007/s10490-022-09862-5","http://dx.doi.org/10.1007/s10490-022-09862-5")</f>
        <v>http://dx.doi.org/10.1007/s10490-022-09862-5</v>
      </c>
      <c r="BG1017" t="s">
        <v>74</v>
      </c>
      <c r="BH1017" t="s">
        <v>17258</v>
      </c>
      <c r="BI1017">
        <v>24</v>
      </c>
      <c r="BJ1017" t="s">
        <v>442</v>
      </c>
      <c r="BK1017" t="s">
        <v>94</v>
      </c>
      <c r="BL1017" t="s">
        <v>95</v>
      </c>
      <c r="BM1017" t="s">
        <v>17259</v>
      </c>
      <c r="BN1017" t="s">
        <v>74</v>
      </c>
      <c r="BO1017" t="s">
        <v>74</v>
      </c>
      <c r="BP1017" t="s">
        <v>74</v>
      </c>
      <c r="BQ1017" t="s">
        <v>74</v>
      </c>
      <c r="BR1017" t="s">
        <v>97</v>
      </c>
      <c r="BS1017" t="s">
        <v>17260</v>
      </c>
      <c r="BT1017" t="str">
        <f>HYPERLINK("https%3A%2F%2Fwww.webofscience.com%2Fwos%2Fwoscc%2Ffull-record%2FWOS:000899425300001","View Full Record in Web of Science")</f>
        <v>View Full Record in Web of Science</v>
      </c>
    </row>
    <row r="1018" spans="1:72" x14ac:dyDescent="0.25">
      <c r="A1018" t="s">
        <v>72</v>
      </c>
      <c r="B1018" t="s">
        <v>17261</v>
      </c>
      <c r="C1018" t="s">
        <v>74</v>
      </c>
      <c r="D1018" t="s">
        <v>74</v>
      </c>
      <c r="E1018" t="s">
        <v>74</v>
      </c>
      <c r="F1018" t="s">
        <v>17262</v>
      </c>
      <c r="G1018" t="s">
        <v>74</v>
      </c>
      <c r="H1018" t="s">
        <v>74</v>
      </c>
      <c r="I1018" t="s">
        <v>17263</v>
      </c>
      <c r="J1018" t="s">
        <v>3184</v>
      </c>
      <c r="K1018" t="s">
        <v>74</v>
      </c>
      <c r="L1018" t="s">
        <v>74</v>
      </c>
      <c r="M1018" t="s">
        <v>77</v>
      </c>
      <c r="N1018" t="s">
        <v>78</v>
      </c>
      <c r="O1018" t="s">
        <v>74</v>
      </c>
      <c r="P1018" t="s">
        <v>74</v>
      </c>
      <c r="Q1018" t="s">
        <v>74</v>
      </c>
      <c r="R1018" t="s">
        <v>74</v>
      </c>
      <c r="S1018" t="s">
        <v>74</v>
      </c>
      <c r="T1018" t="s">
        <v>17264</v>
      </c>
      <c r="U1018" t="s">
        <v>17265</v>
      </c>
      <c r="V1018" t="s">
        <v>17266</v>
      </c>
      <c r="W1018" t="s">
        <v>17267</v>
      </c>
      <c r="X1018" t="s">
        <v>17268</v>
      </c>
      <c r="Y1018" t="s">
        <v>17269</v>
      </c>
      <c r="Z1018" t="s">
        <v>17270</v>
      </c>
      <c r="AA1018" t="s">
        <v>74</v>
      </c>
      <c r="AB1018" t="s">
        <v>74</v>
      </c>
      <c r="AC1018" t="s">
        <v>74</v>
      </c>
      <c r="AD1018" t="s">
        <v>74</v>
      </c>
      <c r="AE1018" t="s">
        <v>74</v>
      </c>
      <c r="AF1018" t="s">
        <v>74</v>
      </c>
      <c r="AG1018">
        <v>107</v>
      </c>
      <c r="AH1018">
        <v>1</v>
      </c>
      <c r="AI1018">
        <v>1</v>
      </c>
      <c r="AJ1018">
        <v>23</v>
      </c>
      <c r="AK1018">
        <v>23</v>
      </c>
      <c r="AL1018" t="s">
        <v>3195</v>
      </c>
      <c r="AM1018" t="s">
        <v>3196</v>
      </c>
      <c r="AN1018" t="s">
        <v>3197</v>
      </c>
      <c r="AO1018" t="s">
        <v>3198</v>
      </c>
      <c r="AP1018" t="s">
        <v>74</v>
      </c>
      <c r="AQ1018" t="s">
        <v>74</v>
      </c>
      <c r="AR1018" t="s">
        <v>3199</v>
      </c>
      <c r="AS1018" t="s">
        <v>3200</v>
      </c>
      <c r="AT1018" t="s">
        <v>17271</v>
      </c>
      <c r="AU1018">
        <v>2022</v>
      </c>
      <c r="AV1018">
        <v>13</v>
      </c>
      <c r="AW1018" t="s">
        <v>74</v>
      </c>
      <c r="AX1018" t="s">
        <v>74</v>
      </c>
      <c r="AY1018" t="s">
        <v>74</v>
      </c>
      <c r="AZ1018" t="s">
        <v>74</v>
      </c>
      <c r="BA1018" t="s">
        <v>74</v>
      </c>
      <c r="BB1018" t="s">
        <v>74</v>
      </c>
      <c r="BC1018" t="s">
        <v>74</v>
      </c>
      <c r="BD1018">
        <v>1014195</v>
      </c>
      <c r="BE1018" t="s">
        <v>17272</v>
      </c>
      <c r="BF1018" t="str">
        <f>HYPERLINK("http://dx.doi.org/10.3389/fpsyg.2022.1014195","http://dx.doi.org/10.3389/fpsyg.2022.1014195")</f>
        <v>http://dx.doi.org/10.3389/fpsyg.2022.1014195</v>
      </c>
      <c r="BG1018" t="s">
        <v>74</v>
      </c>
      <c r="BH1018" t="s">
        <v>74</v>
      </c>
      <c r="BI1018">
        <v>15</v>
      </c>
      <c r="BJ1018" t="s">
        <v>3203</v>
      </c>
      <c r="BK1018" t="s">
        <v>94</v>
      </c>
      <c r="BL1018" t="s">
        <v>460</v>
      </c>
      <c r="BM1018" t="s">
        <v>17273</v>
      </c>
      <c r="BN1018">
        <v>36524195</v>
      </c>
      <c r="BO1018" t="s">
        <v>3205</v>
      </c>
      <c r="BP1018" t="s">
        <v>74</v>
      </c>
      <c r="BQ1018" t="s">
        <v>74</v>
      </c>
      <c r="BR1018" t="s">
        <v>97</v>
      </c>
      <c r="BS1018" t="s">
        <v>17274</v>
      </c>
      <c r="BT1018" t="str">
        <f>HYPERLINK("https%3A%2F%2Fwww.webofscience.com%2Fwos%2Fwoscc%2Ffull-record%2FWOS:000897837800001","View Full Record in Web of Science")</f>
        <v>View Full Record in Web of Science</v>
      </c>
    </row>
    <row r="1019" spans="1:72" x14ac:dyDescent="0.25">
      <c r="A1019" t="s">
        <v>72</v>
      </c>
      <c r="B1019" t="s">
        <v>17275</v>
      </c>
      <c r="C1019" t="s">
        <v>74</v>
      </c>
      <c r="D1019" t="s">
        <v>74</v>
      </c>
      <c r="E1019" t="s">
        <v>74</v>
      </c>
      <c r="F1019" t="s">
        <v>17276</v>
      </c>
      <c r="G1019" t="s">
        <v>74</v>
      </c>
      <c r="H1019" t="s">
        <v>74</v>
      </c>
      <c r="I1019" t="s">
        <v>17277</v>
      </c>
      <c r="J1019" t="s">
        <v>3184</v>
      </c>
      <c r="K1019" t="s">
        <v>74</v>
      </c>
      <c r="L1019" t="s">
        <v>74</v>
      </c>
      <c r="M1019" t="s">
        <v>77</v>
      </c>
      <c r="N1019" t="s">
        <v>78</v>
      </c>
      <c r="O1019" t="s">
        <v>74</v>
      </c>
      <c r="P1019" t="s">
        <v>74</v>
      </c>
      <c r="Q1019" t="s">
        <v>74</v>
      </c>
      <c r="R1019" t="s">
        <v>74</v>
      </c>
      <c r="S1019" t="s">
        <v>74</v>
      </c>
      <c r="T1019" t="s">
        <v>17278</v>
      </c>
      <c r="U1019" t="s">
        <v>17279</v>
      </c>
      <c r="V1019" t="s">
        <v>17280</v>
      </c>
      <c r="W1019" t="s">
        <v>17281</v>
      </c>
      <c r="X1019" t="s">
        <v>17282</v>
      </c>
      <c r="Y1019" t="s">
        <v>17283</v>
      </c>
      <c r="Z1019" t="s">
        <v>3568</v>
      </c>
      <c r="AA1019" t="s">
        <v>17284</v>
      </c>
      <c r="AB1019" t="s">
        <v>17285</v>
      </c>
      <c r="AC1019" t="s">
        <v>74</v>
      </c>
      <c r="AD1019" t="s">
        <v>74</v>
      </c>
      <c r="AE1019" t="s">
        <v>74</v>
      </c>
      <c r="AF1019" t="s">
        <v>74</v>
      </c>
      <c r="AG1019">
        <v>61</v>
      </c>
      <c r="AH1019">
        <v>1</v>
      </c>
      <c r="AI1019">
        <v>1</v>
      </c>
      <c r="AJ1019">
        <v>17</v>
      </c>
      <c r="AK1019">
        <v>17</v>
      </c>
      <c r="AL1019" t="s">
        <v>3195</v>
      </c>
      <c r="AM1019" t="s">
        <v>3196</v>
      </c>
      <c r="AN1019" t="s">
        <v>3197</v>
      </c>
      <c r="AO1019" t="s">
        <v>3198</v>
      </c>
      <c r="AP1019" t="s">
        <v>74</v>
      </c>
      <c r="AQ1019" t="s">
        <v>74</v>
      </c>
      <c r="AR1019" t="s">
        <v>3199</v>
      </c>
      <c r="AS1019" t="s">
        <v>3200</v>
      </c>
      <c r="AT1019" t="s">
        <v>17286</v>
      </c>
      <c r="AU1019">
        <v>2022</v>
      </c>
      <c r="AV1019">
        <v>13</v>
      </c>
      <c r="AW1019" t="s">
        <v>74</v>
      </c>
      <c r="AX1019" t="s">
        <v>74</v>
      </c>
      <c r="AY1019" t="s">
        <v>74</v>
      </c>
      <c r="AZ1019" t="s">
        <v>74</v>
      </c>
      <c r="BA1019" t="s">
        <v>74</v>
      </c>
      <c r="BB1019" t="s">
        <v>74</v>
      </c>
      <c r="BC1019" t="s">
        <v>74</v>
      </c>
      <c r="BD1019">
        <v>1017202</v>
      </c>
      <c r="BE1019" t="s">
        <v>17287</v>
      </c>
      <c r="BF1019" t="str">
        <f>HYPERLINK("http://dx.doi.org/10.3389/fpsyg.2022.1017202","http://dx.doi.org/10.3389/fpsyg.2022.1017202")</f>
        <v>http://dx.doi.org/10.3389/fpsyg.2022.1017202</v>
      </c>
      <c r="BG1019" t="s">
        <v>74</v>
      </c>
      <c r="BH1019" t="s">
        <v>74</v>
      </c>
      <c r="BI1019">
        <v>12</v>
      </c>
      <c r="BJ1019" t="s">
        <v>3203</v>
      </c>
      <c r="BK1019" t="s">
        <v>94</v>
      </c>
      <c r="BL1019" t="s">
        <v>460</v>
      </c>
      <c r="BM1019" t="s">
        <v>17288</v>
      </c>
      <c r="BN1019">
        <v>36507035</v>
      </c>
      <c r="BO1019" t="s">
        <v>3205</v>
      </c>
      <c r="BP1019" t="s">
        <v>74</v>
      </c>
      <c r="BQ1019" t="s">
        <v>74</v>
      </c>
      <c r="BR1019" t="s">
        <v>97</v>
      </c>
      <c r="BS1019" t="s">
        <v>17289</v>
      </c>
      <c r="BT1019" t="str">
        <f>HYPERLINK("https%3A%2F%2Fwww.webofscience.com%2Fwos%2Fwoscc%2Ffull-record%2FWOS:000893745100001","View Full Record in Web of Science")</f>
        <v>View Full Record in Web of Science</v>
      </c>
    </row>
    <row r="1020" spans="1:72" x14ac:dyDescent="0.25">
      <c r="A1020" t="s">
        <v>72</v>
      </c>
      <c r="B1020" t="s">
        <v>17290</v>
      </c>
      <c r="C1020" t="s">
        <v>74</v>
      </c>
      <c r="D1020" t="s">
        <v>74</v>
      </c>
      <c r="E1020" t="s">
        <v>74</v>
      </c>
      <c r="F1020" t="s">
        <v>17291</v>
      </c>
      <c r="G1020" t="s">
        <v>74</v>
      </c>
      <c r="H1020" t="s">
        <v>74</v>
      </c>
      <c r="I1020" t="s">
        <v>17292</v>
      </c>
      <c r="J1020" t="s">
        <v>9332</v>
      </c>
      <c r="K1020" t="s">
        <v>74</v>
      </c>
      <c r="L1020" t="s">
        <v>74</v>
      </c>
      <c r="M1020" t="s">
        <v>77</v>
      </c>
      <c r="N1020" t="s">
        <v>10095</v>
      </c>
      <c r="O1020" t="s">
        <v>74</v>
      </c>
      <c r="P1020" t="s">
        <v>74</v>
      </c>
      <c r="Q1020" t="s">
        <v>74</v>
      </c>
      <c r="R1020" t="s">
        <v>74</v>
      </c>
      <c r="S1020" t="s">
        <v>74</v>
      </c>
      <c r="T1020" t="s">
        <v>17293</v>
      </c>
      <c r="U1020" t="s">
        <v>17294</v>
      </c>
      <c r="V1020" t="s">
        <v>17295</v>
      </c>
      <c r="W1020" t="s">
        <v>17296</v>
      </c>
      <c r="X1020" t="s">
        <v>17297</v>
      </c>
      <c r="Y1020" t="s">
        <v>17298</v>
      </c>
      <c r="Z1020" t="s">
        <v>17299</v>
      </c>
      <c r="AA1020" t="s">
        <v>74</v>
      </c>
      <c r="AB1020" t="s">
        <v>17300</v>
      </c>
      <c r="AC1020" t="s">
        <v>74</v>
      </c>
      <c r="AD1020" t="s">
        <v>74</v>
      </c>
      <c r="AE1020" t="s">
        <v>74</v>
      </c>
      <c r="AF1020" t="s">
        <v>74</v>
      </c>
      <c r="AG1020">
        <v>127</v>
      </c>
      <c r="AH1020">
        <v>1</v>
      </c>
      <c r="AI1020">
        <v>1</v>
      </c>
      <c r="AJ1020">
        <v>25</v>
      </c>
      <c r="AK1020">
        <v>25</v>
      </c>
      <c r="AL1020" t="s">
        <v>766</v>
      </c>
      <c r="AM1020" t="s">
        <v>330</v>
      </c>
      <c r="AN1020" t="s">
        <v>1452</v>
      </c>
      <c r="AO1020" t="s">
        <v>9344</v>
      </c>
      <c r="AP1020" t="s">
        <v>9345</v>
      </c>
      <c r="AQ1020" t="s">
        <v>74</v>
      </c>
      <c r="AR1020" t="s">
        <v>9346</v>
      </c>
      <c r="AS1020" t="s">
        <v>9347</v>
      </c>
      <c r="AT1020" t="s">
        <v>74</v>
      </c>
      <c r="AU1020" t="s">
        <v>74</v>
      </c>
      <c r="AV1020" t="s">
        <v>74</v>
      </c>
      <c r="AW1020" t="s">
        <v>74</v>
      </c>
      <c r="AX1020" t="s">
        <v>74</v>
      </c>
      <c r="AY1020" t="s">
        <v>74</v>
      </c>
      <c r="AZ1020" t="s">
        <v>74</v>
      </c>
      <c r="BA1020" t="s">
        <v>74</v>
      </c>
      <c r="BB1020" t="s">
        <v>74</v>
      </c>
      <c r="BC1020" t="s">
        <v>74</v>
      </c>
      <c r="BD1020" t="s">
        <v>74</v>
      </c>
      <c r="BE1020" t="s">
        <v>17301</v>
      </c>
      <c r="BF1020" t="str">
        <f>HYPERLINK("http://dx.doi.org/10.1007/s12144-022-03949-4","http://dx.doi.org/10.1007/s12144-022-03949-4")</f>
        <v>http://dx.doi.org/10.1007/s12144-022-03949-4</v>
      </c>
      <c r="BG1020" t="s">
        <v>74</v>
      </c>
      <c r="BH1020" t="s">
        <v>17302</v>
      </c>
      <c r="BI1020">
        <v>14</v>
      </c>
      <c r="BJ1020" t="s">
        <v>3203</v>
      </c>
      <c r="BK1020" t="s">
        <v>94</v>
      </c>
      <c r="BL1020" t="s">
        <v>460</v>
      </c>
      <c r="BM1020" t="s">
        <v>17303</v>
      </c>
      <c r="BN1020">
        <v>36406853</v>
      </c>
      <c r="BO1020" t="s">
        <v>10358</v>
      </c>
      <c r="BP1020" t="s">
        <v>74</v>
      </c>
      <c r="BQ1020" t="s">
        <v>74</v>
      </c>
      <c r="BR1020" t="s">
        <v>97</v>
      </c>
      <c r="BS1020" t="s">
        <v>17304</v>
      </c>
      <c r="BT1020" t="str">
        <f>HYPERLINK("https%3A%2F%2Fwww.webofscience.com%2Fwos%2Fwoscc%2Ffull-record%2FWOS:000880566100014","View Full Record in Web of Science")</f>
        <v>View Full Record in Web of Science</v>
      </c>
    </row>
    <row r="1021" spans="1:72" x14ac:dyDescent="0.25">
      <c r="A1021" t="s">
        <v>72</v>
      </c>
      <c r="B1021" t="s">
        <v>17305</v>
      </c>
      <c r="C1021" t="s">
        <v>74</v>
      </c>
      <c r="D1021" t="s">
        <v>74</v>
      </c>
      <c r="E1021" t="s">
        <v>74</v>
      </c>
      <c r="F1021" t="s">
        <v>17306</v>
      </c>
      <c r="G1021" t="s">
        <v>74</v>
      </c>
      <c r="H1021" t="s">
        <v>74</v>
      </c>
      <c r="I1021" t="s">
        <v>17307</v>
      </c>
      <c r="J1021" t="s">
        <v>4081</v>
      </c>
      <c r="K1021" t="s">
        <v>74</v>
      </c>
      <c r="L1021" t="s">
        <v>74</v>
      </c>
      <c r="M1021" t="s">
        <v>77</v>
      </c>
      <c r="N1021" t="s">
        <v>78</v>
      </c>
      <c r="O1021" t="s">
        <v>74</v>
      </c>
      <c r="P1021" t="s">
        <v>74</v>
      </c>
      <c r="Q1021" t="s">
        <v>74</v>
      </c>
      <c r="R1021" t="s">
        <v>74</v>
      </c>
      <c r="S1021" t="s">
        <v>74</v>
      </c>
      <c r="T1021" t="s">
        <v>17308</v>
      </c>
      <c r="U1021" t="s">
        <v>17309</v>
      </c>
      <c r="V1021" t="s">
        <v>17310</v>
      </c>
      <c r="W1021" t="s">
        <v>17311</v>
      </c>
      <c r="X1021" t="s">
        <v>17312</v>
      </c>
      <c r="Y1021" t="s">
        <v>17313</v>
      </c>
      <c r="Z1021" t="s">
        <v>17314</v>
      </c>
      <c r="AA1021" t="s">
        <v>17315</v>
      </c>
      <c r="AB1021" t="s">
        <v>17316</v>
      </c>
      <c r="AC1021" t="s">
        <v>74</v>
      </c>
      <c r="AD1021" t="s">
        <v>74</v>
      </c>
      <c r="AE1021" t="s">
        <v>74</v>
      </c>
      <c r="AF1021" t="s">
        <v>74</v>
      </c>
      <c r="AG1021">
        <v>65</v>
      </c>
      <c r="AH1021">
        <v>1</v>
      </c>
      <c r="AI1021">
        <v>1</v>
      </c>
      <c r="AJ1021">
        <v>14</v>
      </c>
      <c r="AK1021">
        <v>15</v>
      </c>
      <c r="AL1021" t="s">
        <v>218</v>
      </c>
      <c r="AM1021" t="s">
        <v>219</v>
      </c>
      <c r="AN1021" t="s">
        <v>220</v>
      </c>
      <c r="AO1021" t="s">
        <v>4093</v>
      </c>
      <c r="AP1021" t="s">
        <v>4094</v>
      </c>
      <c r="AQ1021" t="s">
        <v>74</v>
      </c>
      <c r="AR1021" t="s">
        <v>4095</v>
      </c>
      <c r="AS1021" t="s">
        <v>4096</v>
      </c>
      <c r="AT1021" t="s">
        <v>256</v>
      </c>
      <c r="AU1021">
        <v>2022</v>
      </c>
      <c r="AV1021">
        <v>30</v>
      </c>
      <c r="AW1021">
        <v>7</v>
      </c>
      <c r="AX1021" t="s">
        <v>74</v>
      </c>
      <c r="AY1021" t="s">
        <v>74</v>
      </c>
      <c r="AZ1021" t="s">
        <v>74</v>
      </c>
      <c r="BA1021" t="s">
        <v>74</v>
      </c>
      <c r="BB1021" t="s">
        <v>74</v>
      </c>
      <c r="BC1021" t="s">
        <v>74</v>
      </c>
      <c r="BD1021" t="s">
        <v>74</v>
      </c>
      <c r="BE1021" t="s">
        <v>17317</v>
      </c>
      <c r="BF1021" t="str">
        <f>HYPERLINK("http://dx.doi.org/10.1111/jonm.13849","http://dx.doi.org/10.1111/jonm.13849")</f>
        <v>http://dx.doi.org/10.1111/jonm.13849</v>
      </c>
      <c r="BG1021" t="s">
        <v>74</v>
      </c>
      <c r="BH1021" t="s">
        <v>17318</v>
      </c>
      <c r="BI1021">
        <v>11</v>
      </c>
      <c r="BJ1021" t="s">
        <v>4098</v>
      </c>
      <c r="BK1021" t="s">
        <v>147</v>
      </c>
      <c r="BL1021" t="s">
        <v>4099</v>
      </c>
      <c r="BM1021" t="s">
        <v>17319</v>
      </c>
      <c r="BN1021">
        <v>36200751</v>
      </c>
      <c r="BO1021" t="s">
        <v>74</v>
      </c>
      <c r="BP1021" t="s">
        <v>74</v>
      </c>
      <c r="BQ1021" t="s">
        <v>74</v>
      </c>
      <c r="BR1021" t="s">
        <v>97</v>
      </c>
      <c r="BS1021" t="s">
        <v>17320</v>
      </c>
      <c r="BT1021" t="str">
        <f>HYPERLINK("https%3A%2F%2Fwww.webofscience.com%2Fwos%2Fwoscc%2Ffull-record%2FWOS:000871424500001","View Full Record in Web of Science")</f>
        <v>View Full Record in Web of Science</v>
      </c>
    </row>
    <row r="1022" spans="1:72" x14ac:dyDescent="0.25">
      <c r="A1022" t="s">
        <v>72</v>
      </c>
      <c r="B1022" t="s">
        <v>17321</v>
      </c>
      <c r="C1022" t="s">
        <v>74</v>
      </c>
      <c r="D1022" t="s">
        <v>74</v>
      </c>
      <c r="E1022" t="s">
        <v>74</v>
      </c>
      <c r="F1022" t="s">
        <v>17322</v>
      </c>
      <c r="G1022" t="s">
        <v>74</v>
      </c>
      <c r="H1022" t="s">
        <v>74</v>
      </c>
      <c r="I1022" t="s">
        <v>17323</v>
      </c>
      <c r="J1022" t="s">
        <v>657</v>
      </c>
      <c r="K1022" t="s">
        <v>74</v>
      </c>
      <c r="L1022" t="s">
        <v>74</v>
      </c>
      <c r="M1022" t="s">
        <v>77</v>
      </c>
      <c r="N1022" t="s">
        <v>10095</v>
      </c>
      <c r="O1022" t="s">
        <v>74</v>
      </c>
      <c r="P1022" t="s">
        <v>74</v>
      </c>
      <c r="Q1022" t="s">
        <v>74</v>
      </c>
      <c r="R1022" t="s">
        <v>74</v>
      </c>
      <c r="S1022" t="s">
        <v>74</v>
      </c>
      <c r="T1022" t="s">
        <v>17324</v>
      </c>
      <c r="U1022" t="s">
        <v>17325</v>
      </c>
      <c r="V1022" t="s">
        <v>17326</v>
      </c>
      <c r="W1022" t="s">
        <v>17327</v>
      </c>
      <c r="X1022" t="s">
        <v>17328</v>
      </c>
      <c r="Y1022" t="s">
        <v>17329</v>
      </c>
      <c r="Z1022" t="s">
        <v>17330</v>
      </c>
      <c r="AA1022" t="s">
        <v>74</v>
      </c>
      <c r="AB1022" t="s">
        <v>74</v>
      </c>
      <c r="AC1022" t="s">
        <v>74</v>
      </c>
      <c r="AD1022" t="s">
        <v>74</v>
      </c>
      <c r="AE1022" t="s">
        <v>74</v>
      </c>
      <c r="AF1022" t="s">
        <v>74</v>
      </c>
      <c r="AG1022">
        <v>137</v>
      </c>
      <c r="AH1022">
        <v>1</v>
      </c>
      <c r="AI1022">
        <v>1</v>
      </c>
      <c r="AJ1022">
        <v>24</v>
      </c>
      <c r="AK1022">
        <v>31</v>
      </c>
      <c r="AL1022" t="s">
        <v>665</v>
      </c>
      <c r="AM1022" t="s">
        <v>666</v>
      </c>
      <c r="AN1022" t="s">
        <v>667</v>
      </c>
      <c r="AO1022" t="s">
        <v>668</v>
      </c>
      <c r="AP1022" t="s">
        <v>669</v>
      </c>
      <c r="AQ1022" t="s">
        <v>74</v>
      </c>
      <c r="AR1022" t="s">
        <v>670</v>
      </c>
      <c r="AS1022" t="s">
        <v>671</v>
      </c>
      <c r="AT1022" t="s">
        <v>74</v>
      </c>
      <c r="AU1022" t="s">
        <v>74</v>
      </c>
      <c r="AV1022" t="s">
        <v>74</v>
      </c>
      <c r="AW1022" t="s">
        <v>74</v>
      </c>
      <c r="AX1022" t="s">
        <v>74</v>
      </c>
      <c r="AY1022" t="s">
        <v>74</v>
      </c>
      <c r="AZ1022" t="s">
        <v>74</v>
      </c>
      <c r="BA1022" t="s">
        <v>74</v>
      </c>
      <c r="BB1022" t="s">
        <v>74</v>
      </c>
      <c r="BC1022" t="s">
        <v>74</v>
      </c>
      <c r="BD1022" t="s">
        <v>74</v>
      </c>
      <c r="BE1022" t="s">
        <v>17331</v>
      </c>
      <c r="BF1022" t="str">
        <f>HYPERLINK("http://dx.doi.org/10.1108/IJM-05-2022-0201","http://dx.doi.org/10.1108/IJM-05-2022-0201")</f>
        <v>http://dx.doi.org/10.1108/IJM-05-2022-0201</v>
      </c>
      <c r="BG1022" t="s">
        <v>74</v>
      </c>
      <c r="BH1022" t="s">
        <v>17332</v>
      </c>
      <c r="BI1022">
        <v>24</v>
      </c>
      <c r="BJ1022" t="s">
        <v>673</v>
      </c>
      <c r="BK1022" t="s">
        <v>94</v>
      </c>
      <c r="BL1022" t="s">
        <v>95</v>
      </c>
      <c r="BM1022" t="s">
        <v>17333</v>
      </c>
      <c r="BN1022" t="s">
        <v>74</v>
      </c>
      <c r="BO1022" t="s">
        <v>74</v>
      </c>
      <c r="BP1022" t="s">
        <v>74</v>
      </c>
      <c r="BQ1022" t="s">
        <v>74</v>
      </c>
      <c r="BR1022" t="s">
        <v>97</v>
      </c>
      <c r="BS1022" t="s">
        <v>17334</v>
      </c>
      <c r="BT1022" t="str">
        <f>HYPERLINK("https%3A%2F%2Fwww.webofscience.com%2Fwos%2Fwoscc%2Ffull-record%2FWOS:000859838000001","View Full Record in Web of Science")</f>
        <v>View Full Record in Web of Science</v>
      </c>
    </row>
    <row r="1023" spans="1:72" x14ac:dyDescent="0.25">
      <c r="A1023" t="s">
        <v>72</v>
      </c>
      <c r="B1023" t="s">
        <v>17335</v>
      </c>
      <c r="C1023" t="s">
        <v>74</v>
      </c>
      <c r="D1023" t="s">
        <v>74</v>
      </c>
      <c r="E1023" t="s">
        <v>74</v>
      </c>
      <c r="F1023" t="s">
        <v>17336</v>
      </c>
      <c r="G1023" t="s">
        <v>74</v>
      </c>
      <c r="H1023" t="s">
        <v>74</v>
      </c>
      <c r="I1023" t="s">
        <v>17337</v>
      </c>
      <c r="J1023" t="s">
        <v>1090</v>
      </c>
      <c r="K1023" t="s">
        <v>74</v>
      </c>
      <c r="L1023" t="s">
        <v>74</v>
      </c>
      <c r="M1023" t="s">
        <v>77</v>
      </c>
      <c r="N1023" t="s">
        <v>10095</v>
      </c>
      <c r="O1023" t="s">
        <v>74</v>
      </c>
      <c r="P1023" t="s">
        <v>74</v>
      </c>
      <c r="Q1023" t="s">
        <v>74</v>
      </c>
      <c r="R1023" t="s">
        <v>74</v>
      </c>
      <c r="S1023" t="s">
        <v>74</v>
      </c>
      <c r="T1023" t="s">
        <v>74</v>
      </c>
      <c r="U1023" t="s">
        <v>17338</v>
      </c>
      <c r="V1023" t="s">
        <v>17339</v>
      </c>
      <c r="W1023" t="s">
        <v>17340</v>
      </c>
      <c r="X1023" t="s">
        <v>17341</v>
      </c>
      <c r="Y1023" t="s">
        <v>17342</v>
      </c>
      <c r="Z1023" t="s">
        <v>17343</v>
      </c>
      <c r="AA1023" t="s">
        <v>74</v>
      </c>
      <c r="AB1023" t="s">
        <v>74</v>
      </c>
      <c r="AC1023" t="s">
        <v>17344</v>
      </c>
      <c r="AD1023" t="s">
        <v>17345</v>
      </c>
      <c r="AE1023" t="s">
        <v>17346</v>
      </c>
      <c r="AF1023" t="s">
        <v>74</v>
      </c>
      <c r="AG1023">
        <v>70</v>
      </c>
      <c r="AH1023">
        <v>1</v>
      </c>
      <c r="AI1023">
        <v>1</v>
      </c>
      <c r="AJ1023">
        <v>13</v>
      </c>
      <c r="AK1023">
        <v>14</v>
      </c>
      <c r="AL1023" t="s">
        <v>1099</v>
      </c>
      <c r="AM1023" t="s">
        <v>305</v>
      </c>
      <c r="AN1023" t="s">
        <v>1100</v>
      </c>
      <c r="AO1023" t="s">
        <v>1101</v>
      </c>
      <c r="AP1023" t="s">
        <v>1102</v>
      </c>
      <c r="AQ1023" t="s">
        <v>74</v>
      </c>
      <c r="AR1023" t="s">
        <v>1103</v>
      </c>
      <c r="AS1023" t="s">
        <v>1104</v>
      </c>
      <c r="AT1023" t="s">
        <v>74</v>
      </c>
      <c r="AU1023" t="s">
        <v>74</v>
      </c>
      <c r="AV1023" t="s">
        <v>74</v>
      </c>
      <c r="AW1023" t="s">
        <v>74</v>
      </c>
      <c r="AX1023" t="s">
        <v>74</v>
      </c>
      <c r="AY1023" t="s">
        <v>74</v>
      </c>
      <c r="AZ1023" t="s">
        <v>74</v>
      </c>
      <c r="BA1023" t="s">
        <v>74</v>
      </c>
      <c r="BB1023" t="s">
        <v>74</v>
      </c>
      <c r="BC1023" t="s">
        <v>74</v>
      </c>
      <c r="BD1023" t="s">
        <v>74</v>
      </c>
      <c r="BE1023" t="s">
        <v>17347</v>
      </c>
      <c r="BF1023" t="str">
        <f>HYPERLINK("http://dx.doi.org/10.1080/10400419.2022.2124357","http://dx.doi.org/10.1080/10400419.2022.2124357")</f>
        <v>http://dx.doi.org/10.1080/10400419.2022.2124357</v>
      </c>
      <c r="BG1023" t="s">
        <v>74</v>
      </c>
      <c r="BH1023" t="s">
        <v>17332</v>
      </c>
      <c r="BI1023">
        <v>15</v>
      </c>
      <c r="BJ1023" t="s">
        <v>1107</v>
      </c>
      <c r="BK1023" t="s">
        <v>94</v>
      </c>
      <c r="BL1023" t="s">
        <v>460</v>
      </c>
      <c r="BM1023" t="s">
        <v>17348</v>
      </c>
      <c r="BN1023" t="s">
        <v>74</v>
      </c>
      <c r="BO1023" t="s">
        <v>74</v>
      </c>
      <c r="BP1023" t="s">
        <v>74</v>
      </c>
      <c r="BQ1023" t="s">
        <v>74</v>
      </c>
      <c r="BR1023" t="s">
        <v>97</v>
      </c>
      <c r="BS1023" t="s">
        <v>17349</v>
      </c>
      <c r="BT1023" t="str">
        <f>HYPERLINK("https%3A%2F%2Fwww.webofscience.com%2Fwos%2Fwoscc%2Ffull-record%2FWOS:000861310900001","View Full Record in Web of Science")</f>
        <v>View Full Record in Web of Science</v>
      </c>
    </row>
    <row r="1024" spans="1:72" x14ac:dyDescent="0.25">
      <c r="A1024" t="s">
        <v>72</v>
      </c>
      <c r="B1024" t="s">
        <v>17350</v>
      </c>
      <c r="C1024" t="s">
        <v>74</v>
      </c>
      <c r="D1024" t="s">
        <v>74</v>
      </c>
      <c r="E1024" t="s">
        <v>74</v>
      </c>
      <c r="F1024" t="s">
        <v>17351</v>
      </c>
      <c r="G1024" t="s">
        <v>74</v>
      </c>
      <c r="H1024" t="s">
        <v>74</v>
      </c>
      <c r="I1024" t="s">
        <v>17352</v>
      </c>
      <c r="J1024" t="s">
        <v>5262</v>
      </c>
      <c r="K1024" t="s">
        <v>74</v>
      </c>
      <c r="L1024" t="s">
        <v>74</v>
      </c>
      <c r="M1024" t="s">
        <v>77</v>
      </c>
      <c r="N1024" t="s">
        <v>78</v>
      </c>
      <c r="O1024" t="s">
        <v>74</v>
      </c>
      <c r="P1024" t="s">
        <v>74</v>
      </c>
      <c r="Q1024" t="s">
        <v>74</v>
      </c>
      <c r="R1024" t="s">
        <v>74</v>
      </c>
      <c r="S1024" t="s">
        <v>74</v>
      </c>
      <c r="T1024" t="s">
        <v>17353</v>
      </c>
      <c r="U1024" t="s">
        <v>17354</v>
      </c>
      <c r="V1024" t="s">
        <v>17355</v>
      </c>
      <c r="W1024" t="s">
        <v>17356</v>
      </c>
      <c r="X1024" t="s">
        <v>17357</v>
      </c>
      <c r="Y1024" t="s">
        <v>17358</v>
      </c>
      <c r="Z1024" t="s">
        <v>17359</v>
      </c>
      <c r="AA1024" t="s">
        <v>74</v>
      </c>
      <c r="AB1024" t="s">
        <v>17360</v>
      </c>
      <c r="AC1024" t="s">
        <v>74</v>
      </c>
      <c r="AD1024" t="s">
        <v>74</v>
      </c>
      <c r="AE1024" t="s">
        <v>74</v>
      </c>
      <c r="AF1024" t="s">
        <v>74</v>
      </c>
      <c r="AG1024">
        <v>118</v>
      </c>
      <c r="AH1024">
        <v>1</v>
      </c>
      <c r="AI1024">
        <v>1</v>
      </c>
      <c r="AJ1024">
        <v>9</v>
      </c>
      <c r="AK1024">
        <v>14</v>
      </c>
      <c r="AL1024" t="s">
        <v>665</v>
      </c>
      <c r="AM1024" t="s">
        <v>666</v>
      </c>
      <c r="AN1024" t="s">
        <v>667</v>
      </c>
      <c r="AO1024" t="s">
        <v>5274</v>
      </c>
      <c r="AP1024" t="s">
        <v>5275</v>
      </c>
      <c r="AQ1024" t="s">
        <v>74</v>
      </c>
      <c r="AR1024" t="s">
        <v>5276</v>
      </c>
      <c r="AS1024" t="s">
        <v>5277</v>
      </c>
      <c r="AT1024" t="s">
        <v>4237</v>
      </c>
      <c r="AU1024">
        <v>2022</v>
      </c>
      <c r="AV1024">
        <v>35</v>
      </c>
      <c r="AW1024">
        <v>6</v>
      </c>
      <c r="AX1024" t="s">
        <v>74</v>
      </c>
      <c r="AY1024" t="s">
        <v>74</v>
      </c>
      <c r="AZ1024" t="s">
        <v>74</v>
      </c>
      <c r="BA1024" t="s">
        <v>74</v>
      </c>
      <c r="BB1024">
        <v>936</v>
      </c>
      <c r="BC1024">
        <v>960</v>
      </c>
      <c r="BD1024" t="s">
        <v>74</v>
      </c>
      <c r="BE1024" t="s">
        <v>17361</v>
      </c>
      <c r="BF1024" t="str">
        <f>HYPERLINK("http://dx.doi.org/10.1108/JOCM-02-2022-0034","http://dx.doi.org/10.1108/JOCM-02-2022-0034")</f>
        <v>http://dx.doi.org/10.1108/JOCM-02-2022-0034</v>
      </c>
      <c r="BG1024" t="s">
        <v>74</v>
      </c>
      <c r="BH1024" t="s">
        <v>17332</v>
      </c>
      <c r="BI1024">
        <v>25</v>
      </c>
      <c r="BJ1024" t="s">
        <v>442</v>
      </c>
      <c r="BK1024" t="s">
        <v>94</v>
      </c>
      <c r="BL1024" t="s">
        <v>95</v>
      </c>
      <c r="BM1024" t="s">
        <v>17362</v>
      </c>
      <c r="BN1024" t="s">
        <v>74</v>
      </c>
      <c r="BO1024" t="s">
        <v>74</v>
      </c>
      <c r="BP1024" t="s">
        <v>74</v>
      </c>
      <c r="BQ1024" t="s">
        <v>74</v>
      </c>
      <c r="BR1024" t="s">
        <v>97</v>
      </c>
      <c r="BS1024" t="s">
        <v>17363</v>
      </c>
      <c r="BT1024" t="str">
        <f>HYPERLINK("https%3A%2F%2Fwww.webofscience.com%2Fwos%2Fwoscc%2Ffull-record%2FWOS:000858056100001","View Full Record in Web of Science")</f>
        <v>View Full Record in Web of Science</v>
      </c>
    </row>
    <row r="1025" spans="1:72" x14ac:dyDescent="0.25">
      <c r="A1025" t="s">
        <v>72</v>
      </c>
      <c r="B1025" t="s">
        <v>17364</v>
      </c>
      <c r="C1025" t="s">
        <v>74</v>
      </c>
      <c r="D1025" t="s">
        <v>74</v>
      </c>
      <c r="E1025" t="s">
        <v>74</v>
      </c>
      <c r="F1025" t="s">
        <v>17365</v>
      </c>
      <c r="G1025" t="s">
        <v>74</v>
      </c>
      <c r="H1025" t="s">
        <v>74</v>
      </c>
      <c r="I1025" t="s">
        <v>17366</v>
      </c>
      <c r="J1025" t="s">
        <v>1600</v>
      </c>
      <c r="K1025" t="s">
        <v>74</v>
      </c>
      <c r="L1025" t="s">
        <v>74</v>
      </c>
      <c r="M1025" t="s">
        <v>77</v>
      </c>
      <c r="N1025" t="s">
        <v>10095</v>
      </c>
      <c r="O1025" t="s">
        <v>74</v>
      </c>
      <c r="P1025" t="s">
        <v>74</v>
      </c>
      <c r="Q1025" t="s">
        <v>74</v>
      </c>
      <c r="R1025" t="s">
        <v>74</v>
      </c>
      <c r="S1025" t="s">
        <v>74</v>
      </c>
      <c r="T1025" t="s">
        <v>17367</v>
      </c>
      <c r="U1025" t="s">
        <v>17368</v>
      </c>
      <c r="V1025" t="s">
        <v>17369</v>
      </c>
      <c r="W1025" t="s">
        <v>17370</v>
      </c>
      <c r="X1025" t="s">
        <v>17371</v>
      </c>
      <c r="Y1025" t="s">
        <v>17372</v>
      </c>
      <c r="Z1025" t="s">
        <v>17373</v>
      </c>
      <c r="AA1025" t="s">
        <v>74</v>
      </c>
      <c r="AB1025" t="s">
        <v>17374</v>
      </c>
      <c r="AC1025" t="s">
        <v>74</v>
      </c>
      <c r="AD1025" t="s">
        <v>74</v>
      </c>
      <c r="AE1025" t="s">
        <v>74</v>
      </c>
      <c r="AF1025" t="s">
        <v>74</v>
      </c>
      <c r="AG1025">
        <v>87</v>
      </c>
      <c r="AH1025">
        <v>1</v>
      </c>
      <c r="AI1025">
        <v>1</v>
      </c>
      <c r="AJ1025">
        <v>24</v>
      </c>
      <c r="AK1025">
        <v>31</v>
      </c>
      <c r="AL1025" t="s">
        <v>1099</v>
      </c>
      <c r="AM1025" t="s">
        <v>305</v>
      </c>
      <c r="AN1025" t="s">
        <v>1100</v>
      </c>
      <c r="AO1025" t="s">
        <v>1610</v>
      </c>
      <c r="AP1025" t="s">
        <v>1611</v>
      </c>
      <c r="AQ1025" t="s">
        <v>74</v>
      </c>
      <c r="AR1025" t="s">
        <v>1612</v>
      </c>
      <c r="AS1025" t="s">
        <v>1613</v>
      </c>
      <c r="AT1025" t="s">
        <v>74</v>
      </c>
      <c r="AU1025" t="s">
        <v>74</v>
      </c>
      <c r="AV1025" t="s">
        <v>74</v>
      </c>
      <c r="AW1025" t="s">
        <v>74</v>
      </c>
      <c r="AX1025" t="s">
        <v>74</v>
      </c>
      <c r="AY1025" t="s">
        <v>74</v>
      </c>
      <c r="AZ1025" t="s">
        <v>74</v>
      </c>
      <c r="BA1025" t="s">
        <v>74</v>
      </c>
      <c r="BB1025" t="s">
        <v>74</v>
      </c>
      <c r="BC1025" t="s">
        <v>74</v>
      </c>
      <c r="BD1025" t="s">
        <v>74</v>
      </c>
      <c r="BE1025" t="s">
        <v>17375</v>
      </c>
      <c r="BF1025" t="str">
        <f>HYPERLINK("http://dx.doi.org/10.1080/09585192.2022.2126946","http://dx.doi.org/10.1080/09585192.2022.2126946")</f>
        <v>http://dx.doi.org/10.1080/09585192.2022.2126946</v>
      </c>
      <c r="BG1025" t="s">
        <v>74</v>
      </c>
      <c r="BH1025" t="s">
        <v>17332</v>
      </c>
      <c r="BI1025">
        <v>27</v>
      </c>
      <c r="BJ1025" t="s">
        <v>442</v>
      </c>
      <c r="BK1025" t="s">
        <v>94</v>
      </c>
      <c r="BL1025" t="s">
        <v>95</v>
      </c>
      <c r="BM1025" t="s">
        <v>17376</v>
      </c>
      <c r="BN1025" t="s">
        <v>74</v>
      </c>
      <c r="BO1025" t="s">
        <v>74</v>
      </c>
      <c r="BP1025" t="s">
        <v>74</v>
      </c>
      <c r="BQ1025" t="s">
        <v>74</v>
      </c>
      <c r="BR1025" t="s">
        <v>97</v>
      </c>
      <c r="BS1025" t="s">
        <v>17377</v>
      </c>
      <c r="BT1025" t="str">
        <f>HYPERLINK("https%3A%2F%2Fwww.webofscience.com%2Fwos%2Fwoscc%2Ffull-record%2FWOS:000860052000001","View Full Record in Web of Science")</f>
        <v>View Full Record in Web of Science</v>
      </c>
    </row>
    <row r="1026" spans="1:72" x14ac:dyDescent="0.25">
      <c r="A1026" t="s">
        <v>72</v>
      </c>
      <c r="B1026" t="s">
        <v>17378</v>
      </c>
      <c r="C1026" t="s">
        <v>74</v>
      </c>
      <c r="D1026" t="s">
        <v>74</v>
      </c>
      <c r="E1026" t="s">
        <v>74</v>
      </c>
      <c r="F1026" t="s">
        <v>17379</v>
      </c>
      <c r="G1026" t="s">
        <v>74</v>
      </c>
      <c r="H1026" t="s">
        <v>74</v>
      </c>
      <c r="I1026" t="s">
        <v>17380</v>
      </c>
      <c r="J1026" t="s">
        <v>4134</v>
      </c>
      <c r="K1026" t="s">
        <v>74</v>
      </c>
      <c r="L1026" t="s">
        <v>74</v>
      </c>
      <c r="M1026" t="s">
        <v>77</v>
      </c>
      <c r="N1026" t="s">
        <v>78</v>
      </c>
      <c r="O1026" t="s">
        <v>74</v>
      </c>
      <c r="P1026" t="s">
        <v>74</v>
      </c>
      <c r="Q1026" t="s">
        <v>74</v>
      </c>
      <c r="R1026" t="s">
        <v>74</v>
      </c>
      <c r="S1026" t="s">
        <v>74</v>
      </c>
      <c r="T1026" t="s">
        <v>17381</v>
      </c>
      <c r="U1026" t="s">
        <v>17382</v>
      </c>
      <c r="V1026" t="s">
        <v>17383</v>
      </c>
      <c r="W1026" t="s">
        <v>17384</v>
      </c>
      <c r="X1026" t="s">
        <v>17385</v>
      </c>
      <c r="Y1026" t="s">
        <v>17386</v>
      </c>
      <c r="Z1026" t="s">
        <v>17387</v>
      </c>
      <c r="AA1026" t="s">
        <v>17388</v>
      </c>
      <c r="AB1026" t="s">
        <v>17389</v>
      </c>
      <c r="AC1026" t="s">
        <v>17390</v>
      </c>
      <c r="AD1026" t="s">
        <v>17390</v>
      </c>
      <c r="AE1026" t="s">
        <v>17391</v>
      </c>
      <c r="AF1026" t="s">
        <v>74</v>
      </c>
      <c r="AG1026">
        <v>74</v>
      </c>
      <c r="AH1026">
        <v>1</v>
      </c>
      <c r="AI1026">
        <v>1</v>
      </c>
      <c r="AJ1026">
        <v>27</v>
      </c>
      <c r="AK1026">
        <v>30</v>
      </c>
      <c r="AL1026" t="s">
        <v>665</v>
      </c>
      <c r="AM1026" t="s">
        <v>666</v>
      </c>
      <c r="AN1026" t="s">
        <v>667</v>
      </c>
      <c r="AO1026" t="s">
        <v>4144</v>
      </c>
      <c r="AP1026" t="s">
        <v>4145</v>
      </c>
      <c r="AQ1026" t="s">
        <v>74</v>
      </c>
      <c r="AR1026" t="s">
        <v>4146</v>
      </c>
      <c r="AS1026" t="s">
        <v>4147</v>
      </c>
      <c r="AT1026" t="s">
        <v>17392</v>
      </c>
      <c r="AU1026">
        <v>2022</v>
      </c>
      <c r="AV1026">
        <v>25</v>
      </c>
      <c r="AW1026">
        <v>6</v>
      </c>
      <c r="AX1026" t="s">
        <v>74</v>
      </c>
      <c r="AY1026" t="s">
        <v>74</v>
      </c>
      <c r="AZ1026" t="s">
        <v>74</v>
      </c>
      <c r="BA1026" t="s">
        <v>74</v>
      </c>
      <c r="BB1026">
        <v>1057</v>
      </c>
      <c r="BC1026">
        <v>1075</v>
      </c>
      <c r="BD1026" t="s">
        <v>74</v>
      </c>
      <c r="BE1026" t="s">
        <v>17393</v>
      </c>
      <c r="BF1026" t="str">
        <f>HYPERLINK("http://dx.doi.org/10.1108/EJIM-05-2022-0234","http://dx.doi.org/10.1108/EJIM-05-2022-0234")</f>
        <v>http://dx.doi.org/10.1108/EJIM-05-2022-0234</v>
      </c>
      <c r="BG1026" t="s">
        <v>74</v>
      </c>
      <c r="BH1026" t="s">
        <v>74</v>
      </c>
      <c r="BI1026">
        <v>19</v>
      </c>
      <c r="BJ1026" t="s">
        <v>93</v>
      </c>
      <c r="BK1026" t="s">
        <v>94</v>
      </c>
      <c r="BL1026" t="s">
        <v>95</v>
      </c>
      <c r="BM1026" t="s">
        <v>17394</v>
      </c>
      <c r="BN1026" t="s">
        <v>74</v>
      </c>
      <c r="BO1026" t="s">
        <v>408</v>
      </c>
      <c r="BP1026" t="s">
        <v>74</v>
      </c>
      <c r="BQ1026" t="s">
        <v>74</v>
      </c>
      <c r="BR1026" t="s">
        <v>97</v>
      </c>
      <c r="BS1026" t="s">
        <v>17395</v>
      </c>
      <c r="BT1026" t="str">
        <f>HYPERLINK("https%3A%2F%2Fwww.webofscience.com%2Fwos%2Fwoscc%2Ffull-record%2FWOS:000861989800001","View Full Record in Web of Science")</f>
        <v>View Full Record in Web of Science</v>
      </c>
    </row>
    <row r="1027" spans="1:72" x14ac:dyDescent="0.25">
      <c r="A1027" t="s">
        <v>72</v>
      </c>
      <c r="B1027" t="s">
        <v>17396</v>
      </c>
      <c r="C1027" t="s">
        <v>74</v>
      </c>
      <c r="D1027" t="s">
        <v>74</v>
      </c>
      <c r="E1027" t="s">
        <v>74</v>
      </c>
      <c r="F1027" t="s">
        <v>17397</v>
      </c>
      <c r="G1027" t="s">
        <v>74</v>
      </c>
      <c r="H1027" t="s">
        <v>74</v>
      </c>
      <c r="I1027" t="s">
        <v>17398</v>
      </c>
      <c r="J1027" t="s">
        <v>14167</v>
      </c>
      <c r="K1027" t="s">
        <v>74</v>
      </c>
      <c r="L1027" t="s">
        <v>74</v>
      </c>
      <c r="M1027" t="s">
        <v>77</v>
      </c>
      <c r="N1027" t="s">
        <v>10095</v>
      </c>
      <c r="O1027" t="s">
        <v>74</v>
      </c>
      <c r="P1027" t="s">
        <v>74</v>
      </c>
      <c r="Q1027" t="s">
        <v>74</v>
      </c>
      <c r="R1027" t="s">
        <v>74</v>
      </c>
      <c r="S1027" t="s">
        <v>74</v>
      </c>
      <c r="T1027" t="s">
        <v>17399</v>
      </c>
      <c r="U1027" t="s">
        <v>17400</v>
      </c>
      <c r="V1027" t="s">
        <v>17401</v>
      </c>
      <c r="W1027" t="s">
        <v>17402</v>
      </c>
      <c r="X1027" t="s">
        <v>13371</v>
      </c>
      <c r="Y1027" t="s">
        <v>17403</v>
      </c>
      <c r="Z1027" t="s">
        <v>17404</v>
      </c>
      <c r="AA1027" t="s">
        <v>74</v>
      </c>
      <c r="AB1027" t="s">
        <v>74</v>
      </c>
      <c r="AC1027" t="s">
        <v>17405</v>
      </c>
      <c r="AD1027" t="s">
        <v>17405</v>
      </c>
      <c r="AE1027" t="s">
        <v>17406</v>
      </c>
      <c r="AF1027" t="s">
        <v>74</v>
      </c>
      <c r="AG1027">
        <v>99</v>
      </c>
      <c r="AH1027">
        <v>1</v>
      </c>
      <c r="AI1027">
        <v>1</v>
      </c>
      <c r="AJ1027">
        <v>13</v>
      </c>
      <c r="AK1027">
        <v>18</v>
      </c>
      <c r="AL1027" t="s">
        <v>304</v>
      </c>
      <c r="AM1027" t="s">
        <v>305</v>
      </c>
      <c r="AN1027" t="s">
        <v>306</v>
      </c>
      <c r="AO1027" t="s">
        <v>14176</v>
      </c>
      <c r="AP1027" t="s">
        <v>14177</v>
      </c>
      <c r="AQ1027" t="s">
        <v>74</v>
      </c>
      <c r="AR1027" t="s">
        <v>14178</v>
      </c>
      <c r="AS1027" t="s">
        <v>14179</v>
      </c>
      <c r="AT1027" t="s">
        <v>74</v>
      </c>
      <c r="AU1027" t="s">
        <v>74</v>
      </c>
      <c r="AV1027" t="s">
        <v>74</v>
      </c>
      <c r="AW1027" t="s">
        <v>74</v>
      </c>
      <c r="AX1027" t="s">
        <v>74</v>
      </c>
      <c r="AY1027" t="s">
        <v>74</v>
      </c>
      <c r="AZ1027" t="s">
        <v>74</v>
      </c>
      <c r="BA1027" t="s">
        <v>74</v>
      </c>
      <c r="BB1027" t="s">
        <v>74</v>
      </c>
      <c r="BC1027" t="s">
        <v>74</v>
      </c>
      <c r="BD1027" t="s">
        <v>74</v>
      </c>
      <c r="BE1027" t="s">
        <v>17407</v>
      </c>
      <c r="BF1027" t="str">
        <f>HYPERLINK("http://dx.doi.org/10.1080/14778238.2022.2113346","http://dx.doi.org/10.1080/14778238.2022.2113346")</f>
        <v>http://dx.doi.org/10.1080/14778238.2022.2113346</v>
      </c>
      <c r="BG1027" t="s">
        <v>74</v>
      </c>
      <c r="BH1027" t="s">
        <v>17408</v>
      </c>
      <c r="BI1027">
        <v>15</v>
      </c>
      <c r="BJ1027" t="s">
        <v>1754</v>
      </c>
      <c r="BK1027" t="s">
        <v>94</v>
      </c>
      <c r="BL1027" t="s">
        <v>1755</v>
      </c>
      <c r="BM1027" t="s">
        <v>17409</v>
      </c>
      <c r="BN1027" t="s">
        <v>74</v>
      </c>
      <c r="BO1027" t="s">
        <v>74</v>
      </c>
      <c r="BP1027" t="s">
        <v>74</v>
      </c>
      <c r="BQ1027" t="s">
        <v>74</v>
      </c>
      <c r="BR1027" t="s">
        <v>97</v>
      </c>
      <c r="BS1027" t="s">
        <v>17410</v>
      </c>
      <c r="BT1027" t="str">
        <f>HYPERLINK("https%3A%2F%2Fwww.webofscience.com%2Fwos%2Fwoscc%2Ffull-record%2FWOS:000844082800001","View Full Record in Web of Science")</f>
        <v>View Full Record in Web of Science</v>
      </c>
    </row>
    <row r="1028" spans="1:72" x14ac:dyDescent="0.25">
      <c r="A1028" t="s">
        <v>72</v>
      </c>
      <c r="B1028" t="s">
        <v>17411</v>
      </c>
      <c r="C1028" t="s">
        <v>74</v>
      </c>
      <c r="D1028" t="s">
        <v>74</v>
      </c>
      <c r="E1028" t="s">
        <v>74</v>
      </c>
      <c r="F1028" t="s">
        <v>17412</v>
      </c>
      <c r="G1028" t="s">
        <v>74</v>
      </c>
      <c r="H1028" t="s">
        <v>74</v>
      </c>
      <c r="I1028" t="s">
        <v>17413</v>
      </c>
      <c r="J1028" t="s">
        <v>4134</v>
      </c>
      <c r="K1028" t="s">
        <v>74</v>
      </c>
      <c r="L1028" t="s">
        <v>74</v>
      </c>
      <c r="M1028" t="s">
        <v>77</v>
      </c>
      <c r="N1028" t="s">
        <v>10095</v>
      </c>
      <c r="O1028" t="s">
        <v>74</v>
      </c>
      <c r="P1028" t="s">
        <v>74</v>
      </c>
      <c r="Q1028" t="s">
        <v>74</v>
      </c>
      <c r="R1028" t="s">
        <v>74</v>
      </c>
      <c r="S1028" t="s">
        <v>74</v>
      </c>
      <c r="T1028" t="s">
        <v>17414</v>
      </c>
      <c r="U1028" t="s">
        <v>17415</v>
      </c>
      <c r="V1028" t="s">
        <v>17416</v>
      </c>
      <c r="W1028" t="s">
        <v>17417</v>
      </c>
      <c r="X1028" t="s">
        <v>17418</v>
      </c>
      <c r="Y1028" t="s">
        <v>17419</v>
      </c>
      <c r="Z1028" t="s">
        <v>17420</v>
      </c>
      <c r="AA1028" t="s">
        <v>17421</v>
      </c>
      <c r="AB1028" t="s">
        <v>17422</v>
      </c>
      <c r="AC1028" t="s">
        <v>17423</v>
      </c>
      <c r="AD1028" t="s">
        <v>7706</v>
      </c>
      <c r="AE1028" t="s">
        <v>17424</v>
      </c>
      <c r="AF1028" t="s">
        <v>74</v>
      </c>
      <c r="AG1028">
        <v>94</v>
      </c>
      <c r="AH1028">
        <v>1</v>
      </c>
      <c r="AI1028">
        <v>1</v>
      </c>
      <c r="AJ1028">
        <v>41</v>
      </c>
      <c r="AK1028">
        <v>67</v>
      </c>
      <c r="AL1028" t="s">
        <v>665</v>
      </c>
      <c r="AM1028" t="s">
        <v>666</v>
      </c>
      <c r="AN1028" t="s">
        <v>667</v>
      </c>
      <c r="AO1028" t="s">
        <v>4144</v>
      </c>
      <c r="AP1028" t="s">
        <v>4145</v>
      </c>
      <c r="AQ1028" t="s">
        <v>74</v>
      </c>
      <c r="AR1028" t="s">
        <v>4146</v>
      </c>
      <c r="AS1028" t="s">
        <v>4147</v>
      </c>
      <c r="AT1028" t="s">
        <v>74</v>
      </c>
      <c r="AU1028" t="s">
        <v>74</v>
      </c>
      <c r="AV1028" t="s">
        <v>74</v>
      </c>
      <c r="AW1028" t="s">
        <v>74</v>
      </c>
      <c r="AX1028" t="s">
        <v>74</v>
      </c>
      <c r="AY1028" t="s">
        <v>74</v>
      </c>
      <c r="AZ1028" t="s">
        <v>74</v>
      </c>
      <c r="BA1028" t="s">
        <v>74</v>
      </c>
      <c r="BB1028" t="s">
        <v>74</v>
      </c>
      <c r="BC1028" t="s">
        <v>74</v>
      </c>
      <c r="BD1028" t="s">
        <v>74</v>
      </c>
      <c r="BE1028" t="s">
        <v>17425</v>
      </c>
      <c r="BF1028" t="str">
        <f>HYPERLINK("http://dx.doi.org/10.1108/EJIM-03-2022-0123","http://dx.doi.org/10.1108/EJIM-03-2022-0123")</f>
        <v>http://dx.doi.org/10.1108/EJIM-03-2022-0123</v>
      </c>
      <c r="BG1028" t="s">
        <v>74</v>
      </c>
      <c r="BH1028" t="s">
        <v>17408</v>
      </c>
      <c r="BI1028">
        <v>19</v>
      </c>
      <c r="BJ1028" t="s">
        <v>93</v>
      </c>
      <c r="BK1028" t="s">
        <v>94</v>
      </c>
      <c r="BL1028" t="s">
        <v>95</v>
      </c>
      <c r="BM1028" t="s">
        <v>17426</v>
      </c>
      <c r="BN1028" t="s">
        <v>74</v>
      </c>
      <c r="BO1028" t="s">
        <v>74</v>
      </c>
      <c r="BP1028" t="s">
        <v>74</v>
      </c>
      <c r="BQ1028" t="s">
        <v>74</v>
      </c>
      <c r="BR1028" t="s">
        <v>97</v>
      </c>
      <c r="BS1028" t="s">
        <v>17427</v>
      </c>
      <c r="BT1028" t="str">
        <f>HYPERLINK("https%3A%2F%2Fwww.webofscience.com%2Fwos%2Fwoscc%2Ffull-record%2FWOS:000838745100001","View Full Record in Web of Science")</f>
        <v>View Full Record in Web of Science</v>
      </c>
    </row>
    <row r="1029" spans="1:72" x14ac:dyDescent="0.25">
      <c r="A1029" t="s">
        <v>72</v>
      </c>
      <c r="B1029" t="s">
        <v>17428</v>
      </c>
      <c r="C1029" t="s">
        <v>74</v>
      </c>
      <c r="D1029" t="s">
        <v>74</v>
      </c>
      <c r="E1029" t="s">
        <v>74</v>
      </c>
      <c r="F1029" t="s">
        <v>17429</v>
      </c>
      <c r="G1029" t="s">
        <v>74</v>
      </c>
      <c r="H1029" t="s">
        <v>74</v>
      </c>
      <c r="I1029" t="s">
        <v>17430</v>
      </c>
      <c r="J1029" t="s">
        <v>17431</v>
      </c>
      <c r="K1029" t="s">
        <v>74</v>
      </c>
      <c r="L1029" t="s">
        <v>74</v>
      </c>
      <c r="M1029" t="s">
        <v>77</v>
      </c>
      <c r="N1029" t="s">
        <v>78</v>
      </c>
      <c r="O1029" t="s">
        <v>74</v>
      </c>
      <c r="P1029" t="s">
        <v>74</v>
      </c>
      <c r="Q1029" t="s">
        <v>74</v>
      </c>
      <c r="R1029" t="s">
        <v>74</v>
      </c>
      <c r="S1029" t="s">
        <v>74</v>
      </c>
      <c r="T1029" t="s">
        <v>17432</v>
      </c>
      <c r="U1029" t="s">
        <v>17433</v>
      </c>
      <c r="V1029" t="s">
        <v>17434</v>
      </c>
      <c r="W1029" t="s">
        <v>17435</v>
      </c>
      <c r="X1029" t="s">
        <v>17436</v>
      </c>
      <c r="Y1029" t="s">
        <v>17437</v>
      </c>
      <c r="Z1029" t="s">
        <v>17438</v>
      </c>
      <c r="AA1029" t="s">
        <v>17439</v>
      </c>
      <c r="AB1029" t="s">
        <v>17440</v>
      </c>
      <c r="AC1029" t="s">
        <v>17441</v>
      </c>
      <c r="AD1029" t="s">
        <v>17442</v>
      </c>
      <c r="AE1029" t="s">
        <v>17443</v>
      </c>
      <c r="AF1029" t="s">
        <v>74</v>
      </c>
      <c r="AG1029">
        <v>101</v>
      </c>
      <c r="AH1029">
        <v>1</v>
      </c>
      <c r="AI1029">
        <v>1</v>
      </c>
      <c r="AJ1029">
        <v>16</v>
      </c>
      <c r="AK1029">
        <v>22</v>
      </c>
      <c r="AL1029" t="s">
        <v>602</v>
      </c>
      <c r="AM1029" t="s">
        <v>160</v>
      </c>
      <c r="AN1029" t="s">
        <v>603</v>
      </c>
      <c r="AO1029" t="s">
        <v>17444</v>
      </c>
      <c r="AP1029" t="s">
        <v>17445</v>
      </c>
      <c r="AQ1029" t="s">
        <v>74</v>
      </c>
      <c r="AR1029" t="s">
        <v>17446</v>
      </c>
      <c r="AS1029" t="s">
        <v>17447</v>
      </c>
      <c r="AT1029" t="s">
        <v>584</v>
      </c>
      <c r="AU1029">
        <v>2022</v>
      </c>
      <c r="AV1029">
        <v>69</v>
      </c>
      <c r="AW1029" t="s">
        <v>74</v>
      </c>
      <c r="AX1029" t="s">
        <v>74</v>
      </c>
      <c r="AY1029" t="s">
        <v>74</v>
      </c>
      <c r="AZ1029" t="s">
        <v>74</v>
      </c>
      <c r="BA1029" t="s">
        <v>74</v>
      </c>
      <c r="BB1029" t="s">
        <v>74</v>
      </c>
      <c r="BC1029" t="s">
        <v>74</v>
      </c>
      <c r="BD1029">
        <v>103092</v>
      </c>
      <c r="BE1029" t="s">
        <v>17448</v>
      </c>
      <c r="BF1029" t="str">
        <f>HYPERLINK("http://dx.doi.org/10.1016/j.jretconser.2022.103092","http://dx.doi.org/10.1016/j.jretconser.2022.103092")</f>
        <v>http://dx.doi.org/10.1016/j.jretconser.2022.103092</v>
      </c>
      <c r="BG1029" t="s">
        <v>74</v>
      </c>
      <c r="BH1029" t="s">
        <v>17408</v>
      </c>
      <c r="BI1029">
        <v>11</v>
      </c>
      <c r="BJ1029" t="s">
        <v>337</v>
      </c>
      <c r="BK1029" t="s">
        <v>94</v>
      </c>
      <c r="BL1029" t="s">
        <v>95</v>
      </c>
      <c r="BM1029" t="s">
        <v>17449</v>
      </c>
      <c r="BN1029" t="s">
        <v>74</v>
      </c>
      <c r="BO1029" t="s">
        <v>74</v>
      </c>
      <c r="BP1029" t="s">
        <v>74</v>
      </c>
      <c r="BQ1029" t="s">
        <v>74</v>
      </c>
      <c r="BR1029" t="s">
        <v>97</v>
      </c>
      <c r="BS1029" t="s">
        <v>17450</v>
      </c>
      <c r="BT1029" t="str">
        <f>HYPERLINK("https%3A%2F%2Fwww.webofscience.com%2Fwos%2Fwoscc%2Ffull-record%2FWOS:000864092100001","View Full Record in Web of Science")</f>
        <v>View Full Record in Web of Science</v>
      </c>
    </row>
    <row r="1030" spans="1:72" x14ac:dyDescent="0.25">
      <c r="A1030" t="s">
        <v>72</v>
      </c>
      <c r="B1030" t="s">
        <v>17451</v>
      </c>
      <c r="C1030" t="s">
        <v>74</v>
      </c>
      <c r="D1030" t="s">
        <v>74</v>
      </c>
      <c r="E1030" t="s">
        <v>74</v>
      </c>
      <c r="F1030" t="s">
        <v>17452</v>
      </c>
      <c r="G1030" t="s">
        <v>74</v>
      </c>
      <c r="H1030" t="s">
        <v>74</v>
      </c>
      <c r="I1030" t="s">
        <v>17453</v>
      </c>
      <c r="J1030" t="s">
        <v>2463</v>
      </c>
      <c r="K1030" t="s">
        <v>74</v>
      </c>
      <c r="L1030" t="s">
        <v>74</v>
      </c>
      <c r="M1030" t="s">
        <v>77</v>
      </c>
      <c r="N1030" t="s">
        <v>78</v>
      </c>
      <c r="O1030" t="s">
        <v>74</v>
      </c>
      <c r="P1030" t="s">
        <v>74</v>
      </c>
      <c r="Q1030" t="s">
        <v>74</v>
      </c>
      <c r="R1030" t="s">
        <v>74</v>
      </c>
      <c r="S1030" t="s">
        <v>74</v>
      </c>
      <c r="T1030" t="s">
        <v>17454</v>
      </c>
      <c r="U1030" t="s">
        <v>17455</v>
      </c>
      <c r="V1030" t="s">
        <v>17456</v>
      </c>
      <c r="W1030" t="s">
        <v>17457</v>
      </c>
      <c r="X1030" t="s">
        <v>17458</v>
      </c>
      <c r="Y1030" t="s">
        <v>17459</v>
      </c>
      <c r="Z1030" t="s">
        <v>17460</v>
      </c>
      <c r="AA1030" t="s">
        <v>74</v>
      </c>
      <c r="AB1030" t="s">
        <v>17461</v>
      </c>
      <c r="AC1030" t="s">
        <v>17462</v>
      </c>
      <c r="AD1030" t="s">
        <v>17463</v>
      </c>
      <c r="AE1030" t="s">
        <v>17464</v>
      </c>
      <c r="AF1030" t="s">
        <v>74</v>
      </c>
      <c r="AG1030">
        <v>52</v>
      </c>
      <c r="AH1030">
        <v>1</v>
      </c>
      <c r="AI1030">
        <v>1</v>
      </c>
      <c r="AJ1030">
        <v>6</v>
      </c>
      <c r="AK1030">
        <v>13</v>
      </c>
      <c r="AL1030" t="s">
        <v>2473</v>
      </c>
      <c r="AM1030" t="s">
        <v>2102</v>
      </c>
      <c r="AN1030" t="s">
        <v>2474</v>
      </c>
      <c r="AO1030" t="s">
        <v>74</v>
      </c>
      <c r="AP1030" t="s">
        <v>2475</v>
      </c>
      <c r="AQ1030" t="s">
        <v>74</v>
      </c>
      <c r="AR1030" t="s">
        <v>2476</v>
      </c>
      <c r="AS1030" t="s">
        <v>2477</v>
      </c>
      <c r="AT1030" t="s">
        <v>392</v>
      </c>
      <c r="AU1030">
        <v>2022</v>
      </c>
      <c r="AV1030">
        <v>14</v>
      </c>
      <c r="AW1030">
        <v>15</v>
      </c>
      <c r="AX1030" t="s">
        <v>74</v>
      </c>
      <c r="AY1030" t="s">
        <v>74</v>
      </c>
      <c r="AZ1030" t="s">
        <v>74</v>
      </c>
      <c r="BA1030" t="s">
        <v>74</v>
      </c>
      <c r="BB1030" t="s">
        <v>74</v>
      </c>
      <c r="BC1030" t="s">
        <v>74</v>
      </c>
      <c r="BD1030">
        <v>8989</v>
      </c>
      <c r="BE1030" t="s">
        <v>17465</v>
      </c>
      <c r="BF1030" t="str">
        <f>HYPERLINK("http://dx.doi.org/10.3390/su14158989","http://dx.doi.org/10.3390/su14158989")</f>
        <v>http://dx.doi.org/10.3390/su14158989</v>
      </c>
      <c r="BG1030" t="s">
        <v>74</v>
      </c>
      <c r="BH1030" t="s">
        <v>74</v>
      </c>
      <c r="BI1030">
        <v>14</v>
      </c>
      <c r="BJ1030" t="s">
        <v>2479</v>
      </c>
      <c r="BK1030" t="s">
        <v>147</v>
      </c>
      <c r="BL1030" t="s">
        <v>2480</v>
      </c>
      <c r="BM1030" t="s">
        <v>17466</v>
      </c>
      <c r="BN1030" t="s">
        <v>74</v>
      </c>
      <c r="BO1030" t="s">
        <v>2482</v>
      </c>
      <c r="BP1030" t="s">
        <v>74</v>
      </c>
      <c r="BQ1030" t="s">
        <v>74</v>
      </c>
      <c r="BR1030" t="s">
        <v>97</v>
      </c>
      <c r="BS1030" t="s">
        <v>17467</v>
      </c>
      <c r="BT1030" t="str">
        <f>HYPERLINK("https%3A%2F%2Fwww.webofscience.com%2Fwos%2Fwoscc%2Ffull-record%2FWOS:000840142200001","View Full Record in Web of Science")</f>
        <v>View Full Record in Web of Science</v>
      </c>
    </row>
    <row r="1031" spans="1:72" x14ac:dyDescent="0.25">
      <c r="A1031" t="s">
        <v>72</v>
      </c>
      <c r="B1031" t="s">
        <v>17468</v>
      </c>
      <c r="C1031" t="s">
        <v>74</v>
      </c>
      <c r="D1031" t="s">
        <v>74</v>
      </c>
      <c r="E1031" t="s">
        <v>74</v>
      </c>
      <c r="F1031" t="s">
        <v>17469</v>
      </c>
      <c r="G1031" t="s">
        <v>74</v>
      </c>
      <c r="H1031" t="s">
        <v>74</v>
      </c>
      <c r="I1031" t="s">
        <v>17470</v>
      </c>
      <c r="J1031" t="s">
        <v>3184</v>
      </c>
      <c r="K1031" t="s">
        <v>74</v>
      </c>
      <c r="L1031" t="s">
        <v>74</v>
      </c>
      <c r="M1031" t="s">
        <v>77</v>
      </c>
      <c r="N1031" t="s">
        <v>78</v>
      </c>
      <c r="O1031" t="s">
        <v>74</v>
      </c>
      <c r="P1031" t="s">
        <v>74</v>
      </c>
      <c r="Q1031" t="s">
        <v>74</v>
      </c>
      <c r="R1031" t="s">
        <v>74</v>
      </c>
      <c r="S1031" t="s">
        <v>74</v>
      </c>
      <c r="T1031" t="s">
        <v>17471</v>
      </c>
      <c r="U1031" t="s">
        <v>17472</v>
      </c>
      <c r="V1031" t="s">
        <v>17473</v>
      </c>
      <c r="W1031" t="s">
        <v>17474</v>
      </c>
      <c r="X1031" t="s">
        <v>17475</v>
      </c>
      <c r="Y1031" t="s">
        <v>17476</v>
      </c>
      <c r="Z1031" t="s">
        <v>17477</v>
      </c>
      <c r="AA1031" t="s">
        <v>74</v>
      </c>
      <c r="AB1031" t="s">
        <v>74</v>
      </c>
      <c r="AC1031" t="s">
        <v>17478</v>
      </c>
      <c r="AD1031" t="s">
        <v>8685</v>
      </c>
      <c r="AE1031" t="s">
        <v>17479</v>
      </c>
      <c r="AF1031" t="s">
        <v>74</v>
      </c>
      <c r="AG1031">
        <v>40</v>
      </c>
      <c r="AH1031">
        <v>1</v>
      </c>
      <c r="AI1031">
        <v>1</v>
      </c>
      <c r="AJ1031">
        <v>8</v>
      </c>
      <c r="AK1031">
        <v>24</v>
      </c>
      <c r="AL1031" t="s">
        <v>3195</v>
      </c>
      <c r="AM1031" t="s">
        <v>3196</v>
      </c>
      <c r="AN1031" t="s">
        <v>3197</v>
      </c>
      <c r="AO1031" t="s">
        <v>3198</v>
      </c>
      <c r="AP1031" t="s">
        <v>74</v>
      </c>
      <c r="AQ1031" t="s">
        <v>74</v>
      </c>
      <c r="AR1031" t="s">
        <v>3199</v>
      </c>
      <c r="AS1031" t="s">
        <v>3200</v>
      </c>
      <c r="AT1031" t="s">
        <v>713</v>
      </c>
      <c r="AU1031">
        <v>2022</v>
      </c>
      <c r="AV1031">
        <v>13</v>
      </c>
      <c r="AW1031" t="s">
        <v>74</v>
      </c>
      <c r="AX1031" t="s">
        <v>74</v>
      </c>
      <c r="AY1031" t="s">
        <v>74</v>
      </c>
      <c r="AZ1031" t="s">
        <v>74</v>
      </c>
      <c r="BA1031" t="s">
        <v>74</v>
      </c>
      <c r="BB1031" t="s">
        <v>74</v>
      </c>
      <c r="BC1031" t="s">
        <v>74</v>
      </c>
      <c r="BD1031">
        <v>948578</v>
      </c>
      <c r="BE1031" t="s">
        <v>17480</v>
      </c>
      <c r="BF1031" t="str">
        <f>HYPERLINK("http://dx.doi.org/10.3389/fpsyg.2022.948578","http://dx.doi.org/10.3389/fpsyg.2022.948578")</f>
        <v>http://dx.doi.org/10.3389/fpsyg.2022.948578</v>
      </c>
      <c r="BG1031" t="s">
        <v>74</v>
      </c>
      <c r="BH1031" t="s">
        <v>74</v>
      </c>
      <c r="BI1031">
        <v>10</v>
      </c>
      <c r="BJ1031" t="s">
        <v>3203</v>
      </c>
      <c r="BK1031" t="s">
        <v>94</v>
      </c>
      <c r="BL1031" t="s">
        <v>460</v>
      </c>
      <c r="BM1031" t="s">
        <v>17481</v>
      </c>
      <c r="BN1031">
        <v>35936285</v>
      </c>
      <c r="BO1031" t="s">
        <v>4398</v>
      </c>
      <c r="BP1031" t="s">
        <v>74</v>
      </c>
      <c r="BQ1031" t="s">
        <v>74</v>
      </c>
      <c r="BR1031" t="s">
        <v>97</v>
      </c>
      <c r="BS1031" t="s">
        <v>17482</v>
      </c>
      <c r="BT1031" t="str">
        <f>HYPERLINK("https%3A%2F%2Fwww.webofscience.com%2Fwos%2Fwoscc%2Ffull-record%2FWOS:000837118200001","View Full Record in Web of Science")</f>
        <v>View Full Record in Web of Science</v>
      </c>
    </row>
    <row r="1032" spans="1:72" x14ac:dyDescent="0.25">
      <c r="A1032" t="s">
        <v>72</v>
      </c>
      <c r="B1032" t="s">
        <v>17483</v>
      </c>
      <c r="C1032" t="s">
        <v>74</v>
      </c>
      <c r="D1032" t="s">
        <v>74</v>
      </c>
      <c r="E1032" t="s">
        <v>74</v>
      </c>
      <c r="F1032" t="s">
        <v>17484</v>
      </c>
      <c r="G1032" t="s">
        <v>74</v>
      </c>
      <c r="H1032" t="s">
        <v>74</v>
      </c>
      <c r="I1032" t="s">
        <v>17485</v>
      </c>
      <c r="J1032" t="s">
        <v>17486</v>
      </c>
      <c r="K1032" t="s">
        <v>74</v>
      </c>
      <c r="L1032" t="s">
        <v>74</v>
      </c>
      <c r="M1032" t="s">
        <v>77</v>
      </c>
      <c r="N1032" t="s">
        <v>10095</v>
      </c>
      <c r="O1032" t="s">
        <v>74</v>
      </c>
      <c r="P1032" t="s">
        <v>74</v>
      </c>
      <c r="Q1032" t="s">
        <v>74</v>
      </c>
      <c r="R1032" t="s">
        <v>74</v>
      </c>
      <c r="S1032" t="s">
        <v>74</v>
      </c>
      <c r="T1032" t="s">
        <v>17487</v>
      </c>
      <c r="U1032" t="s">
        <v>17488</v>
      </c>
      <c r="V1032" t="s">
        <v>17489</v>
      </c>
      <c r="W1032" t="s">
        <v>17490</v>
      </c>
      <c r="X1032" t="s">
        <v>17491</v>
      </c>
      <c r="Y1032" t="s">
        <v>17492</v>
      </c>
      <c r="Z1032" t="s">
        <v>17493</v>
      </c>
      <c r="AA1032" t="s">
        <v>74</v>
      </c>
      <c r="AB1032" t="s">
        <v>17494</v>
      </c>
      <c r="AC1032" t="s">
        <v>17495</v>
      </c>
      <c r="AD1032" t="s">
        <v>575</v>
      </c>
      <c r="AE1032" t="s">
        <v>17496</v>
      </c>
      <c r="AF1032" t="s">
        <v>74</v>
      </c>
      <c r="AG1032">
        <v>114</v>
      </c>
      <c r="AH1032">
        <v>1</v>
      </c>
      <c r="AI1032">
        <v>1</v>
      </c>
      <c r="AJ1032">
        <v>8</v>
      </c>
      <c r="AK1032">
        <v>18</v>
      </c>
      <c r="AL1032" t="s">
        <v>665</v>
      </c>
      <c r="AM1032" t="s">
        <v>666</v>
      </c>
      <c r="AN1032" t="s">
        <v>667</v>
      </c>
      <c r="AO1032" t="s">
        <v>17497</v>
      </c>
      <c r="AP1032" t="s">
        <v>17498</v>
      </c>
      <c r="AQ1032" t="s">
        <v>74</v>
      </c>
      <c r="AR1032" t="s">
        <v>17499</v>
      </c>
      <c r="AS1032" t="s">
        <v>17500</v>
      </c>
      <c r="AT1032" t="s">
        <v>74</v>
      </c>
      <c r="AU1032" t="s">
        <v>74</v>
      </c>
      <c r="AV1032" t="s">
        <v>74</v>
      </c>
      <c r="AW1032" t="s">
        <v>74</v>
      </c>
      <c r="AX1032" t="s">
        <v>74</v>
      </c>
      <c r="AY1032" t="s">
        <v>74</v>
      </c>
      <c r="AZ1032" t="s">
        <v>74</v>
      </c>
      <c r="BA1032" t="s">
        <v>74</v>
      </c>
      <c r="BB1032" t="s">
        <v>74</v>
      </c>
      <c r="BC1032" t="s">
        <v>74</v>
      </c>
      <c r="BD1032" t="s">
        <v>74</v>
      </c>
      <c r="BE1032" t="s">
        <v>17501</v>
      </c>
      <c r="BF1032" t="str">
        <f>HYPERLINK("http://dx.doi.org/10.1108/IJOEM-04-2021-0487","http://dx.doi.org/10.1108/IJOEM-04-2021-0487")</f>
        <v>http://dx.doi.org/10.1108/IJOEM-04-2021-0487</v>
      </c>
      <c r="BG1032" t="s">
        <v>74</v>
      </c>
      <c r="BH1032" t="s">
        <v>11958</v>
      </c>
      <c r="BI1032">
        <v>23</v>
      </c>
      <c r="BJ1032" t="s">
        <v>1199</v>
      </c>
      <c r="BK1032" t="s">
        <v>94</v>
      </c>
      <c r="BL1032" t="s">
        <v>95</v>
      </c>
      <c r="BM1032" t="s">
        <v>17502</v>
      </c>
      <c r="BN1032" t="s">
        <v>74</v>
      </c>
      <c r="BO1032" t="s">
        <v>74</v>
      </c>
      <c r="BP1032" t="s">
        <v>74</v>
      </c>
      <c r="BQ1032" t="s">
        <v>74</v>
      </c>
      <c r="BR1032" t="s">
        <v>97</v>
      </c>
      <c r="BS1032" t="s">
        <v>17503</v>
      </c>
      <c r="BT1032" t="str">
        <f>HYPERLINK("https%3A%2F%2Fwww.webofscience.com%2Fwos%2Fwoscc%2Ffull-record%2FWOS:000825632400001","View Full Record in Web of Science")</f>
        <v>View Full Record in Web of Science</v>
      </c>
    </row>
    <row r="1033" spans="1:72" x14ac:dyDescent="0.25">
      <c r="A1033" t="s">
        <v>72</v>
      </c>
      <c r="B1033" t="s">
        <v>17504</v>
      </c>
      <c r="C1033" t="s">
        <v>74</v>
      </c>
      <c r="D1033" t="s">
        <v>74</v>
      </c>
      <c r="E1033" t="s">
        <v>74</v>
      </c>
      <c r="F1033" t="s">
        <v>17505</v>
      </c>
      <c r="G1033" t="s">
        <v>74</v>
      </c>
      <c r="H1033" t="s">
        <v>74</v>
      </c>
      <c r="I1033" t="s">
        <v>17506</v>
      </c>
      <c r="J1033" t="s">
        <v>616</v>
      </c>
      <c r="K1033" t="s">
        <v>74</v>
      </c>
      <c r="L1033" t="s">
        <v>74</v>
      </c>
      <c r="M1033" t="s">
        <v>77</v>
      </c>
      <c r="N1033" t="s">
        <v>78</v>
      </c>
      <c r="O1033" t="s">
        <v>74</v>
      </c>
      <c r="P1033" t="s">
        <v>74</v>
      </c>
      <c r="Q1033" t="s">
        <v>74</v>
      </c>
      <c r="R1033" t="s">
        <v>74</v>
      </c>
      <c r="S1033" t="s">
        <v>74</v>
      </c>
      <c r="T1033" t="s">
        <v>17507</v>
      </c>
      <c r="U1033" t="s">
        <v>17508</v>
      </c>
      <c r="V1033" t="s">
        <v>17509</v>
      </c>
      <c r="W1033" t="s">
        <v>17510</v>
      </c>
      <c r="X1033" t="s">
        <v>17511</v>
      </c>
      <c r="Y1033" t="s">
        <v>17512</v>
      </c>
      <c r="Z1033" t="s">
        <v>17513</v>
      </c>
      <c r="AA1033" t="s">
        <v>74</v>
      </c>
      <c r="AB1033" t="s">
        <v>74</v>
      </c>
      <c r="AC1033" t="s">
        <v>74</v>
      </c>
      <c r="AD1033" t="s">
        <v>74</v>
      </c>
      <c r="AE1033" t="s">
        <v>74</v>
      </c>
      <c r="AF1033" t="s">
        <v>74</v>
      </c>
      <c r="AG1033">
        <v>73</v>
      </c>
      <c r="AH1033">
        <v>1</v>
      </c>
      <c r="AI1033">
        <v>1</v>
      </c>
      <c r="AJ1033">
        <v>14</v>
      </c>
      <c r="AK1033">
        <v>19</v>
      </c>
      <c r="AL1033" t="s">
        <v>602</v>
      </c>
      <c r="AM1033" t="s">
        <v>160</v>
      </c>
      <c r="AN1033" t="s">
        <v>603</v>
      </c>
      <c r="AO1033" t="s">
        <v>625</v>
      </c>
      <c r="AP1033" t="s">
        <v>626</v>
      </c>
      <c r="AQ1033" t="s">
        <v>74</v>
      </c>
      <c r="AR1033" t="s">
        <v>627</v>
      </c>
      <c r="AS1033" t="s">
        <v>628</v>
      </c>
      <c r="AT1033" t="s">
        <v>496</v>
      </c>
      <c r="AU1033">
        <v>2022</v>
      </c>
      <c r="AV1033">
        <v>106</v>
      </c>
      <c r="AW1033" t="s">
        <v>74</v>
      </c>
      <c r="AX1033" t="s">
        <v>74</v>
      </c>
      <c r="AY1033" t="s">
        <v>74</v>
      </c>
      <c r="AZ1033" t="s">
        <v>74</v>
      </c>
      <c r="BA1033" t="s">
        <v>74</v>
      </c>
      <c r="BB1033" t="s">
        <v>74</v>
      </c>
      <c r="BC1033" t="s">
        <v>74</v>
      </c>
      <c r="BD1033">
        <v>103288</v>
      </c>
      <c r="BE1033" t="s">
        <v>17514</v>
      </c>
      <c r="BF1033" t="str">
        <f>HYPERLINK("http://dx.doi.org/10.1016/j.ijhm.2022.103288","http://dx.doi.org/10.1016/j.ijhm.2022.103288")</f>
        <v>http://dx.doi.org/10.1016/j.ijhm.2022.103288</v>
      </c>
      <c r="BG1033" t="s">
        <v>74</v>
      </c>
      <c r="BH1033" t="s">
        <v>11958</v>
      </c>
      <c r="BI1033">
        <v>10</v>
      </c>
      <c r="BJ1033" t="s">
        <v>630</v>
      </c>
      <c r="BK1033" t="s">
        <v>94</v>
      </c>
      <c r="BL1033" t="s">
        <v>631</v>
      </c>
      <c r="BM1033" t="s">
        <v>17515</v>
      </c>
      <c r="BN1033" t="s">
        <v>74</v>
      </c>
      <c r="BO1033" t="s">
        <v>74</v>
      </c>
      <c r="BP1033" t="s">
        <v>74</v>
      </c>
      <c r="BQ1033" t="s">
        <v>74</v>
      </c>
      <c r="BR1033" t="s">
        <v>97</v>
      </c>
      <c r="BS1033" t="s">
        <v>17516</v>
      </c>
      <c r="BT1033" t="str">
        <f>HYPERLINK("https%3A%2F%2Fwww.webofscience.com%2Fwos%2Fwoscc%2Ffull-record%2FWOS:000861175100015","View Full Record in Web of Science")</f>
        <v>View Full Record in Web of Science</v>
      </c>
    </row>
    <row r="1034" spans="1:72" x14ac:dyDescent="0.25">
      <c r="A1034" t="s">
        <v>72</v>
      </c>
      <c r="B1034" t="s">
        <v>17517</v>
      </c>
      <c r="C1034" t="s">
        <v>74</v>
      </c>
      <c r="D1034" t="s">
        <v>74</v>
      </c>
      <c r="E1034" t="s">
        <v>74</v>
      </c>
      <c r="F1034" t="s">
        <v>17518</v>
      </c>
      <c r="G1034" t="s">
        <v>74</v>
      </c>
      <c r="H1034" t="s">
        <v>74</v>
      </c>
      <c r="I1034" t="s">
        <v>17519</v>
      </c>
      <c r="J1034" t="s">
        <v>2463</v>
      </c>
      <c r="K1034" t="s">
        <v>74</v>
      </c>
      <c r="L1034" t="s">
        <v>74</v>
      </c>
      <c r="M1034" t="s">
        <v>77</v>
      </c>
      <c r="N1034" t="s">
        <v>78</v>
      </c>
      <c r="O1034" t="s">
        <v>74</v>
      </c>
      <c r="P1034" t="s">
        <v>74</v>
      </c>
      <c r="Q1034" t="s">
        <v>74</v>
      </c>
      <c r="R1034" t="s">
        <v>74</v>
      </c>
      <c r="S1034" t="s">
        <v>74</v>
      </c>
      <c r="T1034" t="s">
        <v>17520</v>
      </c>
      <c r="U1034" t="s">
        <v>17521</v>
      </c>
      <c r="V1034" t="s">
        <v>17522</v>
      </c>
      <c r="W1034" t="s">
        <v>17523</v>
      </c>
      <c r="X1034" t="s">
        <v>17524</v>
      </c>
      <c r="Y1034" t="s">
        <v>17525</v>
      </c>
      <c r="Z1034" t="s">
        <v>17526</v>
      </c>
      <c r="AA1034" t="s">
        <v>17527</v>
      </c>
      <c r="AB1034" t="s">
        <v>17528</v>
      </c>
      <c r="AC1034" t="s">
        <v>17529</v>
      </c>
      <c r="AD1034" t="s">
        <v>17530</v>
      </c>
      <c r="AE1034" t="s">
        <v>17531</v>
      </c>
      <c r="AF1034" t="s">
        <v>74</v>
      </c>
      <c r="AG1034">
        <v>68</v>
      </c>
      <c r="AH1034">
        <v>1</v>
      </c>
      <c r="AI1034">
        <v>1</v>
      </c>
      <c r="AJ1034">
        <v>10</v>
      </c>
      <c r="AK1034">
        <v>17</v>
      </c>
      <c r="AL1034" t="s">
        <v>2473</v>
      </c>
      <c r="AM1034" t="s">
        <v>2102</v>
      </c>
      <c r="AN1034" t="s">
        <v>2474</v>
      </c>
      <c r="AO1034" t="s">
        <v>74</v>
      </c>
      <c r="AP1034" t="s">
        <v>2475</v>
      </c>
      <c r="AQ1034" t="s">
        <v>74</v>
      </c>
      <c r="AR1034" t="s">
        <v>2476</v>
      </c>
      <c r="AS1034" t="s">
        <v>2477</v>
      </c>
      <c r="AT1034" t="s">
        <v>792</v>
      </c>
      <c r="AU1034">
        <v>2022</v>
      </c>
      <c r="AV1034">
        <v>14</v>
      </c>
      <c r="AW1034">
        <v>14</v>
      </c>
      <c r="AX1034" t="s">
        <v>74</v>
      </c>
      <c r="AY1034" t="s">
        <v>74</v>
      </c>
      <c r="AZ1034" t="s">
        <v>74</v>
      </c>
      <c r="BA1034" t="s">
        <v>74</v>
      </c>
      <c r="BB1034" t="s">
        <v>74</v>
      </c>
      <c r="BC1034" t="s">
        <v>74</v>
      </c>
      <c r="BD1034">
        <v>8648</v>
      </c>
      <c r="BE1034" t="s">
        <v>17532</v>
      </c>
      <c r="BF1034" t="str">
        <f>HYPERLINK("http://dx.doi.org/10.3390/su14148648","http://dx.doi.org/10.3390/su14148648")</f>
        <v>http://dx.doi.org/10.3390/su14148648</v>
      </c>
      <c r="BG1034" t="s">
        <v>74</v>
      </c>
      <c r="BH1034" t="s">
        <v>74</v>
      </c>
      <c r="BI1034">
        <v>13</v>
      </c>
      <c r="BJ1034" t="s">
        <v>2479</v>
      </c>
      <c r="BK1034" t="s">
        <v>147</v>
      </c>
      <c r="BL1034" t="s">
        <v>2480</v>
      </c>
      <c r="BM1034" t="s">
        <v>17533</v>
      </c>
      <c r="BN1034" t="s">
        <v>74</v>
      </c>
      <c r="BO1034" t="s">
        <v>2482</v>
      </c>
      <c r="BP1034" t="s">
        <v>74</v>
      </c>
      <c r="BQ1034" t="s">
        <v>74</v>
      </c>
      <c r="BR1034" t="s">
        <v>97</v>
      </c>
      <c r="BS1034" t="s">
        <v>17534</v>
      </c>
      <c r="BT1034" t="str">
        <f>HYPERLINK("https%3A%2F%2Fwww.webofscience.com%2Fwos%2Fwoscc%2Ffull-record%2FWOS:000832356200001","View Full Record in Web of Science")</f>
        <v>View Full Record in Web of Science</v>
      </c>
    </row>
    <row r="1035" spans="1:72" x14ac:dyDescent="0.25">
      <c r="A1035" t="s">
        <v>72</v>
      </c>
      <c r="B1035" t="s">
        <v>17535</v>
      </c>
      <c r="C1035" t="s">
        <v>74</v>
      </c>
      <c r="D1035" t="s">
        <v>74</v>
      </c>
      <c r="E1035" t="s">
        <v>74</v>
      </c>
      <c r="F1035" t="s">
        <v>17536</v>
      </c>
      <c r="G1035" t="s">
        <v>74</v>
      </c>
      <c r="H1035" t="s">
        <v>74</v>
      </c>
      <c r="I1035" t="s">
        <v>17537</v>
      </c>
      <c r="J1035" t="s">
        <v>17538</v>
      </c>
      <c r="K1035" t="s">
        <v>74</v>
      </c>
      <c r="L1035" t="s">
        <v>74</v>
      </c>
      <c r="M1035" t="s">
        <v>77</v>
      </c>
      <c r="N1035" t="s">
        <v>78</v>
      </c>
      <c r="O1035" t="s">
        <v>74</v>
      </c>
      <c r="P1035" t="s">
        <v>74</v>
      </c>
      <c r="Q1035" t="s">
        <v>74</v>
      </c>
      <c r="R1035" t="s">
        <v>74</v>
      </c>
      <c r="S1035" t="s">
        <v>74</v>
      </c>
      <c r="T1035" t="s">
        <v>17539</v>
      </c>
      <c r="U1035" t="s">
        <v>17540</v>
      </c>
      <c r="V1035" t="s">
        <v>17541</v>
      </c>
      <c r="W1035" t="s">
        <v>17542</v>
      </c>
      <c r="X1035" t="s">
        <v>17543</v>
      </c>
      <c r="Y1035" t="s">
        <v>17544</v>
      </c>
      <c r="Z1035" t="s">
        <v>17545</v>
      </c>
      <c r="AA1035" t="s">
        <v>74</v>
      </c>
      <c r="AB1035" t="s">
        <v>17546</v>
      </c>
      <c r="AC1035" t="s">
        <v>17547</v>
      </c>
      <c r="AD1035" t="s">
        <v>17548</v>
      </c>
      <c r="AE1035" t="s">
        <v>17549</v>
      </c>
      <c r="AF1035" t="s">
        <v>74</v>
      </c>
      <c r="AG1035">
        <v>108</v>
      </c>
      <c r="AH1035">
        <v>1</v>
      </c>
      <c r="AI1035">
        <v>1</v>
      </c>
      <c r="AJ1035">
        <v>23</v>
      </c>
      <c r="AK1035">
        <v>51</v>
      </c>
      <c r="AL1035" t="s">
        <v>15357</v>
      </c>
      <c r="AM1035" t="s">
        <v>15358</v>
      </c>
      <c r="AN1035" t="s">
        <v>15359</v>
      </c>
      <c r="AO1035" t="s">
        <v>17550</v>
      </c>
      <c r="AP1035" t="s">
        <v>17551</v>
      </c>
      <c r="AQ1035" t="s">
        <v>74</v>
      </c>
      <c r="AR1035" t="s">
        <v>17552</v>
      </c>
      <c r="AS1035" t="s">
        <v>17553</v>
      </c>
      <c r="AT1035" t="s">
        <v>1178</v>
      </c>
      <c r="AU1035">
        <v>2022</v>
      </c>
      <c r="AV1035">
        <v>38</v>
      </c>
      <c r="AW1035">
        <v>4</v>
      </c>
      <c r="AX1035" t="s">
        <v>74</v>
      </c>
      <c r="AY1035" t="s">
        <v>74</v>
      </c>
      <c r="AZ1035" t="s">
        <v>74</v>
      </c>
      <c r="BA1035" t="s">
        <v>74</v>
      </c>
      <c r="BB1035" t="s">
        <v>74</v>
      </c>
      <c r="BC1035" t="s">
        <v>74</v>
      </c>
      <c r="BD1035">
        <v>4022031</v>
      </c>
      <c r="BE1035" t="s">
        <v>17554</v>
      </c>
      <c r="BF1035" t="str">
        <f>HYPERLINK("http://dx.doi.org/10.1061/(ASCE)ME.1943-5479.0001066","http://dx.doi.org/10.1061/(ASCE)ME.1943-5479.0001066")</f>
        <v>http://dx.doi.org/10.1061/(ASCE)ME.1943-5479.0001066</v>
      </c>
      <c r="BG1035" t="s">
        <v>74</v>
      </c>
      <c r="BH1035" t="s">
        <v>74</v>
      </c>
      <c r="BI1035">
        <v>13</v>
      </c>
      <c r="BJ1035" t="s">
        <v>17555</v>
      </c>
      <c r="BK1035" t="s">
        <v>147</v>
      </c>
      <c r="BL1035" t="s">
        <v>14557</v>
      </c>
      <c r="BM1035" t="s">
        <v>17556</v>
      </c>
      <c r="BN1035" t="s">
        <v>74</v>
      </c>
      <c r="BO1035" t="s">
        <v>74</v>
      </c>
      <c r="BP1035" t="s">
        <v>74</v>
      </c>
      <c r="BQ1035" t="s">
        <v>74</v>
      </c>
      <c r="BR1035" t="s">
        <v>97</v>
      </c>
      <c r="BS1035" t="s">
        <v>17557</v>
      </c>
      <c r="BT1035" t="str">
        <f>HYPERLINK("https%3A%2F%2Fwww.webofscience.com%2Fwos%2Fwoscc%2Ffull-record%2FWOS:000796074900008","View Full Record in Web of Science")</f>
        <v>View Full Record in Web of Science</v>
      </c>
    </row>
    <row r="1036" spans="1:72" x14ac:dyDescent="0.25">
      <c r="A1036" t="s">
        <v>72</v>
      </c>
      <c r="B1036" t="s">
        <v>17558</v>
      </c>
      <c r="C1036" t="s">
        <v>74</v>
      </c>
      <c r="D1036" t="s">
        <v>74</v>
      </c>
      <c r="E1036" t="s">
        <v>74</v>
      </c>
      <c r="F1036" t="s">
        <v>17559</v>
      </c>
      <c r="G1036" t="s">
        <v>74</v>
      </c>
      <c r="H1036" t="s">
        <v>74</v>
      </c>
      <c r="I1036" t="s">
        <v>17560</v>
      </c>
      <c r="J1036" t="s">
        <v>3184</v>
      </c>
      <c r="K1036" t="s">
        <v>74</v>
      </c>
      <c r="L1036" t="s">
        <v>74</v>
      </c>
      <c r="M1036" t="s">
        <v>77</v>
      </c>
      <c r="N1036" t="s">
        <v>78</v>
      </c>
      <c r="O1036" t="s">
        <v>74</v>
      </c>
      <c r="P1036" t="s">
        <v>74</v>
      </c>
      <c r="Q1036" t="s">
        <v>74</v>
      </c>
      <c r="R1036" t="s">
        <v>74</v>
      </c>
      <c r="S1036" t="s">
        <v>74</v>
      </c>
      <c r="T1036" t="s">
        <v>17561</v>
      </c>
      <c r="U1036" t="s">
        <v>17562</v>
      </c>
      <c r="V1036" t="s">
        <v>17563</v>
      </c>
      <c r="W1036" t="s">
        <v>17564</v>
      </c>
      <c r="X1036" t="s">
        <v>17565</v>
      </c>
      <c r="Y1036" t="s">
        <v>17566</v>
      </c>
      <c r="Z1036" t="s">
        <v>17567</v>
      </c>
      <c r="AA1036" t="s">
        <v>74</v>
      </c>
      <c r="AB1036" t="s">
        <v>17568</v>
      </c>
      <c r="AC1036" t="s">
        <v>17569</v>
      </c>
      <c r="AD1036" t="s">
        <v>7706</v>
      </c>
      <c r="AE1036" t="s">
        <v>17570</v>
      </c>
      <c r="AF1036" t="s">
        <v>74</v>
      </c>
      <c r="AG1036">
        <v>86</v>
      </c>
      <c r="AH1036">
        <v>1</v>
      </c>
      <c r="AI1036">
        <v>1</v>
      </c>
      <c r="AJ1036">
        <v>20</v>
      </c>
      <c r="AK1036">
        <v>23</v>
      </c>
      <c r="AL1036" t="s">
        <v>3195</v>
      </c>
      <c r="AM1036" t="s">
        <v>3196</v>
      </c>
      <c r="AN1036" t="s">
        <v>3197</v>
      </c>
      <c r="AO1036" t="s">
        <v>3198</v>
      </c>
      <c r="AP1036" t="s">
        <v>74</v>
      </c>
      <c r="AQ1036" t="s">
        <v>74</v>
      </c>
      <c r="AR1036" t="s">
        <v>3199</v>
      </c>
      <c r="AS1036" t="s">
        <v>3200</v>
      </c>
      <c r="AT1036" t="s">
        <v>16106</v>
      </c>
      <c r="AU1036">
        <v>2022</v>
      </c>
      <c r="AV1036">
        <v>13</v>
      </c>
      <c r="AW1036" t="s">
        <v>74</v>
      </c>
      <c r="AX1036" t="s">
        <v>74</v>
      </c>
      <c r="AY1036" t="s">
        <v>74</v>
      </c>
      <c r="AZ1036" t="s">
        <v>74</v>
      </c>
      <c r="BA1036" t="s">
        <v>74</v>
      </c>
      <c r="BB1036" t="s">
        <v>74</v>
      </c>
      <c r="BC1036" t="s">
        <v>74</v>
      </c>
      <c r="BD1036">
        <v>856407</v>
      </c>
      <c r="BE1036" t="s">
        <v>17571</v>
      </c>
      <c r="BF1036" t="str">
        <f>HYPERLINK("http://dx.doi.org/10.3389/fpsyg.2022.856407","http://dx.doi.org/10.3389/fpsyg.2022.856407")</f>
        <v>http://dx.doi.org/10.3389/fpsyg.2022.856407</v>
      </c>
      <c r="BG1036" t="s">
        <v>74</v>
      </c>
      <c r="BH1036" t="s">
        <v>74</v>
      </c>
      <c r="BI1036">
        <v>13</v>
      </c>
      <c r="BJ1036" t="s">
        <v>3203</v>
      </c>
      <c r="BK1036" t="s">
        <v>94</v>
      </c>
      <c r="BL1036" t="s">
        <v>460</v>
      </c>
      <c r="BM1036" t="s">
        <v>17572</v>
      </c>
      <c r="BN1036">
        <v>35800933</v>
      </c>
      <c r="BO1036" t="s">
        <v>3205</v>
      </c>
      <c r="BP1036" t="s">
        <v>74</v>
      </c>
      <c r="BQ1036" t="s">
        <v>74</v>
      </c>
      <c r="BR1036" t="s">
        <v>97</v>
      </c>
      <c r="BS1036" t="s">
        <v>17573</v>
      </c>
      <c r="BT1036" t="str">
        <f>HYPERLINK("https%3A%2F%2Fwww.webofscience.com%2Fwos%2Fwoscc%2Ffull-record%2FWOS:000884597500001","View Full Record in Web of Science")</f>
        <v>View Full Record in Web of Science</v>
      </c>
    </row>
    <row r="1037" spans="1:72" x14ac:dyDescent="0.25">
      <c r="A1037" t="s">
        <v>72</v>
      </c>
      <c r="B1037" t="s">
        <v>17574</v>
      </c>
      <c r="C1037" t="s">
        <v>74</v>
      </c>
      <c r="D1037" t="s">
        <v>74</v>
      </c>
      <c r="E1037" t="s">
        <v>74</v>
      </c>
      <c r="F1037" t="s">
        <v>17575</v>
      </c>
      <c r="G1037" t="s">
        <v>74</v>
      </c>
      <c r="H1037" t="s">
        <v>74</v>
      </c>
      <c r="I1037" t="s">
        <v>17576</v>
      </c>
      <c r="J1037" t="s">
        <v>3184</v>
      </c>
      <c r="K1037" t="s">
        <v>74</v>
      </c>
      <c r="L1037" t="s">
        <v>74</v>
      </c>
      <c r="M1037" t="s">
        <v>77</v>
      </c>
      <c r="N1037" t="s">
        <v>78</v>
      </c>
      <c r="O1037" t="s">
        <v>74</v>
      </c>
      <c r="P1037" t="s">
        <v>74</v>
      </c>
      <c r="Q1037" t="s">
        <v>74</v>
      </c>
      <c r="R1037" t="s">
        <v>74</v>
      </c>
      <c r="S1037" t="s">
        <v>74</v>
      </c>
      <c r="T1037" t="s">
        <v>17577</v>
      </c>
      <c r="U1037" t="s">
        <v>17578</v>
      </c>
      <c r="V1037" t="s">
        <v>17579</v>
      </c>
      <c r="W1037" t="s">
        <v>17580</v>
      </c>
      <c r="X1037" t="s">
        <v>17581</v>
      </c>
      <c r="Y1037" t="s">
        <v>17582</v>
      </c>
      <c r="Z1037" t="s">
        <v>17583</v>
      </c>
      <c r="AA1037" t="s">
        <v>74</v>
      </c>
      <c r="AB1037" t="s">
        <v>74</v>
      </c>
      <c r="AC1037" t="s">
        <v>17584</v>
      </c>
      <c r="AD1037" t="s">
        <v>17585</v>
      </c>
      <c r="AE1037" t="s">
        <v>17586</v>
      </c>
      <c r="AF1037" t="s">
        <v>74</v>
      </c>
      <c r="AG1037">
        <v>66</v>
      </c>
      <c r="AH1037">
        <v>1</v>
      </c>
      <c r="AI1037">
        <v>1</v>
      </c>
      <c r="AJ1037">
        <v>14</v>
      </c>
      <c r="AK1037">
        <v>36</v>
      </c>
      <c r="AL1037" t="s">
        <v>3195</v>
      </c>
      <c r="AM1037" t="s">
        <v>3196</v>
      </c>
      <c r="AN1037" t="s">
        <v>3197</v>
      </c>
      <c r="AO1037" t="s">
        <v>3198</v>
      </c>
      <c r="AP1037" t="s">
        <v>74</v>
      </c>
      <c r="AQ1037" t="s">
        <v>74</v>
      </c>
      <c r="AR1037" t="s">
        <v>3199</v>
      </c>
      <c r="AS1037" t="s">
        <v>3200</v>
      </c>
      <c r="AT1037" t="s">
        <v>17587</v>
      </c>
      <c r="AU1037">
        <v>2022</v>
      </c>
      <c r="AV1037">
        <v>13</v>
      </c>
      <c r="AW1037" t="s">
        <v>74</v>
      </c>
      <c r="AX1037" t="s">
        <v>74</v>
      </c>
      <c r="AY1037" t="s">
        <v>74</v>
      </c>
      <c r="AZ1037" t="s">
        <v>74</v>
      </c>
      <c r="BA1037" t="s">
        <v>74</v>
      </c>
      <c r="BB1037" t="s">
        <v>74</v>
      </c>
      <c r="BC1037" t="s">
        <v>74</v>
      </c>
      <c r="BD1037">
        <v>867862</v>
      </c>
      <c r="BE1037" t="s">
        <v>17588</v>
      </c>
      <c r="BF1037" t="str">
        <f>HYPERLINK("http://dx.doi.org/10.3389/fpsyg.2022.867862","http://dx.doi.org/10.3389/fpsyg.2022.867862")</f>
        <v>http://dx.doi.org/10.3389/fpsyg.2022.867862</v>
      </c>
      <c r="BG1037" t="s">
        <v>74</v>
      </c>
      <c r="BH1037" t="s">
        <v>74</v>
      </c>
      <c r="BI1037">
        <v>11</v>
      </c>
      <c r="BJ1037" t="s">
        <v>3203</v>
      </c>
      <c r="BK1037" t="s">
        <v>94</v>
      </c>
      <c r="BL1037" t="s">
        <v>460</v>
      </c>
      <c r="BM1037" t="s">
        <v>17589</v>
      </c>
      <c r="BN1037">
        <v>35783725</v>
      </c>
      <c r="BO1037" t="s">
        <v>4398</v>
      </c>
      <c r="BP1037" t="s">
        <v>74</v>
      </c>
      <c r="BQ1037" t="s">
        <v>74</v>
      </c>
      <c r="BR1037" t="s">
        <v>97</v>
      </c>
      <c r="BS1037" t="s">
        <v>17590</v>
      </c>
      <c r="BT1037" t="str">
        <f>HYPERLINK("https%3A%2F%2Fwww.webofscience.com%2Fwos%2Fwoscc%2Ffull-record%2FWOS:000819232300001","View Full Record in Web of Science")</f>
        <v>View Full Record in Web of Science</v>
      </c>
    </row>
    <row r="1038" spans="1:72" x14ac:dyDescent="0.25">
      <c r="A1038" t="s">
        <v>72</v>
      </c>
      <c r="B1038" t="s">
        <v>17591</v>
      </c>
      <c r="C1038" t="s">
        <v>74</v>
      </c>
      <c r="D1038" t="s">
        <v>74</v>
      </c>
      <c r="E1038" t="s">
        <v>74</v>
      </c>
      <c r="F1038" t="s">
        <v>17592</v>
      </c>
      <c r="G1038" t="s">
        <v>74</v>
      </c>
      <c r="H1038" t="s">
        <v>74</v>
      </c>
      <c r="I1038" t="s">
        <v>17593</v>
      </c>
      <c r="J1038" t="s">
        <v>1798</v>
      </c>
      <c r="K1038" t="s">
        <v>74</v>
      </c>
      <c r="L1038" t="s">
        <v>74</v>
      </c>
      <c r="M1038" t="s">
        <v>77</v>
      </c>
      <c r="N1038" t="s">
        <v>78</v>
      </c>
      <c r="O1038" t="s">
        <v>74</v>
      </c>
      <c r="P1038" t="s">
        <v>74</v>
      </c>
      <c r="Q1038" t="s">
        <v>74</v>
      </c>
      <c r="R1038" t="s">
        <v>74</v>
      </c>
      <c r="S1038" t="s">
        <v>74</v>
      </c>
      <c r="T1038" t="s">
        <v>17594</v>
      </c>
      <c r="U1038" t="s">
        <v>17595</v>
      </c>
      <c r="V1038" t="s">
        <v>17596</v>
      </c>
      <c r="W1038" t="s">
        <v>17597</v>
      </c>
      <c r="X1038" t="s">
        <v>17598</v>
      </c>
      <c r="Y1038" t="s">
        <v>17599</v>
      </c>
      <c r="Z1038" t="s">
        <v>17600</v>
      </c>
      <c r="AA1038" t="s">
        <v>74</v>
      </c>
      <c r="AB1038" t="s">
        <v>17601</v>
      </c>
      <c r="AC1038" t="s">
        <v>17602</v>
      </c>
      <c r="AD1038" t="s">
        <v>17603</v>
      </c>
      <c r="AE1038" t="s">
        <v>17604</v>
      </c>
      <c r="AF1038" t="s">
        <v>74</v>
      </c>
      <c r="AG1038">
        <v>73</v>
      </c>
      <c r="AH1038">
        <v>1</v>
      </c>
      <c r="AI1038">
        <v>1</v>
      </c>
      <c r="AJ1038">
        <v>61</v>
      </c>
      <c r="AK1038">
        <v>99</v>
      </c>
      <c r="AL1038" t="s">
        <v>1806</v>
      </c>
      <c r="AM1038" t="s">
        <v>1046</v>
      </c>
      <c r="AN1038" t="s">
        <v>1807</v>
      </c>
      <c r="AO1038" t="s">
        <v>1808</v>
      </c>
      <c r="AP1038" t="s">
        <v>1809</v>
      </c>
      <c r="AQ1038" t="s">
        <v>74</v>
      </c>
      <c r="AR1038" t="s">
        <v>1810</v>
      </c>
      <c r="AS1038" t="s">
        <v>1811</v>
      </c>
      <c r="AT1038" t="s">
        <v>584</v>
      </c>
      <c r="AU1038">
        <v>2022</v>
      </c>
      <c r="AV1038">
        <v>61</v>
      </c>
      <c r="AW1038">
        <v>6</v>
      </c>
      <c r="AX1038" t="s">
        <v>74</v>
      </c>
      <c r="AY1038" t="s">
        <v>74</v>
      </c>
      <c r="AZ1038" t="s">
        <v>74</v>
      </c>
      <c r="BA1038" t="s">
        <v>74</v>
      </c>
      <c r="BB1038">
        <v>723</v>
      </c>
      <c r="BC1038">
        <v>735</v>
      </c>
      <c r="BD1038" t="s">
        <v>74</v>
      </c>
      <c r="BE1038" t="s">
        <v>17605</v>
      </c>
      <c r="BF1038" t="str">
        <f>HYPERLINK("http://dx.doi.org/10.1002/hrm.22128","http://dx.doi.org/10.1002/hrm.22128")</f>
        <v>http://dx.doi.org/10.1002/hrm.22128</v>
      </c>
      <c r="BG1038" t="s">
        <v>74</v>
      </c>
      <c r="BH1038" t="s">
        <v>11976</v>
      </c>
      <c r="BI1038">
        <v>13</v>
      </c>
      <c r="BJ1038" t="s">
        <v>202</v>
      </c>
      <c r="BK1038" t="s">
        <v>94</v>
      </c>
      <c r="BL1038" t="s">
        <v>203</v>
      </c>
      <c r="BM1038" t="s">
        <v>11991</v>
      </c>
      <c r="BN1038" t="s">
        <v>74</v>
      </c>
      <c r="BO1038" t="s">
        <v>2436</v>
      </c>
      <c r="BP1038" t="s">
        <v>74</v>
      </c>
      <c r="BQ1038" t="s">
        <v>74</v>
      </c>
      <c r="BR1038" t="s">
        <v>97</v>
      </c>
      <c r="BS1038" t="s">
        <v>17606</v>
      </c>
      <c r="BT1038" t="str">
        <f>HYPERLINK("https%3A%2F%2Fwww.webofscience.com%2Fwos%2Fwoscc%2Ffull-record%2FWOS:000808346100001","View Full Record in Web of Science")</f>
        <v>View Full Record in Web of Science</v>
      </c>
    </row>
    <row r="1039" spans="1:72" x14ac:dyDescent="0.25">
      <c r="A1039" t="s">
        <v>72</v>
      </c>
      <c r="B1039" t="s">
        <v>17607</v>
      </c>
      <c r="C1039" t="s">
        <v>74</v>
      </c>
      <c r="D1039" t="s">
        <v>74</v>
      </c>
      <c r="E1039" t="s">
        <v>74</v>
      </c>
      <c r="F1039" t="s">
        <v>17608</v>
      </c>
      <c r="G1039" t="s">
        <v>74</v>
      </c>
      <c r="H1039" t="s">
        <v>74</v>
      </c>
      <c r="I1039" t="s">
        <v>17609</v>
      </c>
      <c r="J1039" t="s">
        <v>4134</v>
      </c>
      <c r="K1039" t="s">
        <v>74</v>
      </c>
      <c r="L1039" t="s">
        <v>74</v>
      </c>
      <c r="M1039" t="s">
        <v>77</v>
      </c>
      <c r="N1039" t="s">
        <v>10095</v>
      </c>
      <c r="O1039" t="s">
        <v>74</v>
      </c>
      <c r="P1039" t="s">
        <v>74</v>
      </c>
      <c r="Q1039" t="s">
        <v>74</v>
      </c>
      <c r="R1039" t="s">
        <v>74</v>
      </c>
      <c r="S1039" t="s">
        <v>74</v>
      </c>
      <c r="T1039" t="s">
        <v>17610</v>
      </c>
      <c r="U1039" t="s">
        <v>17611</v>
      </c>
      <c r="V1039" t="s">
        <v>17612</v>
      </c>
      <c r="W1039" t="s">
        <v>17613</v>
      </c>
      <c r="X1039" t="s">
        <v>17614</v>
      </c>
      <c r="Y1039" t="s">
        <v>17615</v>
      </c>
      <c r="Z1039" t="s">
        <v>17616</v>
      </c>
      <c r="AA1039" t="s">
        <v>74</v>
      </c>
      <c r="AB1039" t="s">
        <v>17617</v>
      </c>
      <c r="AC1039" t="s">
        <v>74</v>
      </c>
      <c r="AD1039" t="s">
        <v>74</v>
      </c>
      <c r="AE1039" t="s">
        <v>74</v>
      </c>
      <c r="AF1039" t="s">
        <v>74</v>
      </c>
      <c r="AG1039">
        <v>96</v>
      </c>
      <c r="AH1039">
        <v>1</v>
      </c>
      <c r="AI1039">
        <v>1</v>
      </c>
      <c r="AJ1039">
        <v>10</v>
      </c>
      <c r="AK1039">
        <v>21</v>
      </c>
      <c r="AL1039" t="s">
        <v>665</v>
      </c>
      <c r="AM1039" t="s">
        <v>666</v>
      </c>
      <c r="AN1039" t="s">
        <v>667</v>
      </c>
      <c r="AO1039" t="s">
        <v>4144</v>
      </c>
      <c r="AP1039" t="s">
        <v>4145</v>
      </c>
      <c r="AQ1039" t="s">
        <v>74</v>
      </c>
      <c r="AR1039" t="s">
        <v>4146</v>
      </c>
      <c r="AS1039" t="s">
        <v>4147</v>
      </c>
      <c r="AT1039" t="s">
        <v>74</v>
      </c>
      <c r="AU1039" t="s">
        <v>74</v>
      </c>
      <c r="AV1039" t="s">
        <v>74</v>
      </c>
      <c r="AW1039" t="s">
        <v>74</v>
      </c>
      <c r="AX1039" t="s">
        <v>74</v>
      </c>
      <c r="AY1039" t="s">
        <v>74</v>
      </c>
      <c r="AZ1039" t="s">
        <v>74</v>
      </c>
      <c r="BA1039" t="s">
        <v>74</v>
      </c>
      <c r="BB1039" t="s">
        <v>74</v>
      </c>
      <c r="BC1039" t="s">
        <v>74</v>
      </c>
      <c r="BD1039" t="s">
        <v>74</v>
      </c>
      <c r="BE1039" t="s">
        <v>17618</v>
      </c>
      <c r="BF1039" t="str">
        <f>HYPERLINK("http://dx.doi.org/10.1108/EJIM-12-2021-0597","http://dx.doi.org/10.1108/EJIM-12-2021-0597")</f>
        <v>http://dx.doi.org/10.1108/EJIM-12-2021-0597</v>
      </c>
      <c r="BG1039" t="s">
        <v>74</v>
      </c>
      <c r="BH1039" t="s">
        <v>11976</v>
      </c>
      <c r="BI1039">
        <v>16</v>
      </c>
      <c r="BJ1039" t="s">
        <v>93</v>
      </c>
      <c r="BK1039" t="s">
        <v>94</v>
      </c>
      <c r="BL1039" t="s">
        <v>95</v>
      </c>
      <c r="BM1039" t="s">
        <v>17619</v>
      </c>
      <c r="BN1039" t="s">
        <v>74</v>
      </c>
      <c r="BO1039" t="s">
        <v>74</v>
      </c>
      <c r="BP1039" t="s">
        <v>74</v>
      </c>
      <c r="BQ1039" t="s">
        <v>74</v>
      </c>
      <c r="BR1039" t="s">
        <v>97</v>
      </c>
      <c r="BS1039" t="s">
        <v>17620</v>
      </c>
      <c r="BT1039" t="str">
        <f>HYPERLINK("https%3A%2F%2Fwww.webofscience.com%2Fwos%2Fwoscc%2Ffull-record%2FWOS:000803854600001","View Full Record in Web of Science")</f>
        <v>View Full Record in Web of Science</v>
      </c>
    </row>
    <row r="1040" spans="1:72" x14ac:dyDescent="0.25">
      <c r="A1040" t="s">
        <v>72</v>
      </c>
      <c r="B1040" t="s">
        <v>17621</v>
      </c>
      <c r="C1040" t="s">
        <v>74</v>
      </c>
      <c r="D1040" t="s">
        <v>74</v>
      </c>
      <c r="E1040" t="s">
        <v>74</v>
      </c>
      <c r="F1040" t="s">
        <v>17622</v>
      </c>
      <c r="G1040" t="s">
        <v>74</v>
      </c>
      <c r="H1040" t="s">
        <v>74</v>
      </c>
      <c r="I1040" t="s">
        <v>17623</v>
      </c>
      <c r="J1040" t="s">
        <v>5961</v>
      </c>
      <c r="K1040" t="s">
        <v>74</v>
      </c>
      <c r="L1040" t="s">
        <v>74</v>
      </c>
      <c r="M1040" t="s">
        <v>77</v>
      </c>
      <c r="N1040" t="s">
        <v>78</v>
      </c>
      <c r="O1040" t="s">
        <v>74</v>
      </c>
      <c r="P1040" t="s">
        <v>74</v>
      </c>
      <c r="Q1040" t="s">
        <v>74</v>
      </c>
      <c r="R1040" t="s">
        <v>74</v>
      </c>
      <c r="S1040" t="s">
        <v>74</v>
      </c>
      <c r="T1040" t="s">
        <v>17624</v>
      </c>
      <c r="U1040" t="s">
        <v>17625</v>
      </c>
      <c r="V1040" t="s">
        <v>17626</v>
      </c>
      <c r="W1040" t="s">
        <v>17627</v>
      </c>
      <c r="X1040" t="s">
        <v>74</v>
      </c>
      <c r="Y1040" t="s">
        <v>17628</v>
      </c>
      <c r="Z1040" t="s">
        <v>17629</v>
      </c>
      <c r="AA1040" t="s">
        <v>17630</v>
      </c>
      <c r="AB1040" t="s">
        <v>17631</v>
      </c>
      <c r="AC1040" t="s">
        <v>74</v>
      </c>
      <c r="AD1040" t="s">
        <v>74</v>
      </c>
      <c r="AE1040" t="s">
        <v>74</v>
      </c>
      <c r="AF1040" t="s">
        <v>74</v>
      </c>
      <c r="AG1040">
        <v>134</v>
      </c>
      <c r="AH1040">
        <v>1</v>
      </c>
      <c r="AI1040">
        <v>1</v>
      </c>
      <c r="AJ1040">
        <v>16</v>
      </c>
      <c r="AK1040">
        <v>32</v>
      </c>
      <c r="AL1040" t="s">
        <v>665</v>
      </c>
      <c r="AM1040" t="s">
        <v>666</v>
      </c>
      <c r="AN1040" t="s">
        <v>667</v>
      </c>
      <c r="AO1040" t="s">
        <v>5974</v>
      </c>
      <c r="AP1040" t="s">
        <v>5975</v>
      </c>
      <c r="AQ1040" t="s">
        <v>74</v>
      </c>
      <c r="AR1040" t="s">
        <v>5976</v>
      </c>
      <c r="AS1040" t="s">
        <v>5977</v>
      </c>
      <c r="AT1040" t="s">
        <v>17632</v>
      </c>
      <c r="AU1040">
        <v>2022</v>
      </c>
      <c r="AV1040">
        <v>15</v>
      </c>
      <c r="AW1040">
        <v>5</v>
      </c>
      <c r="AX1040" t="s">
        <v>74</v>
      </c>
      <c r="AY1040" t="s">
        <v>74</v>
      </c>
      <c r="AZ1040" t="s">
        <v>74</v>
      </c>
      <c r="BA1040" t="s">
        <v>74</v>
      </c>
      <c r="BB1040">
        <v>842</v>
      </c>
      <c r="BC1040">
        <v>864</v>
      </c>
      <c r="BD1040" t="s">
        <v>74</v>
      </c>
      <c r="BE1040" t="s">
        <v>17633</v>
      </c>
      <c r="BF1040" t="str">
        <f>HYPERLINK("http://dx.doi.org/10.1108/IJMPB-03-2021-0066","http://dx.doi.org/10.1108/IJMPB-03-2021-0066")</f>
        <v>http://dx.doi.org/10.1108/IJMPB-03-2021-0066</v>
      </c>
      <c r="BG1040" t="s">
        <v>74</v>
      </c>
      <c r="BH1040" t="s">
        <v>11976</v>
      </c>
      <c r="BI1040">
        <v>23</v>
      </c>
      <c r="BJ1040" t="s">
        <v>93</v>
      </c>
      <c r="BK1040" t="s">
        <v>94</v>
      </c>
      <c r="BL1040" t="s">
        <v>95</v>
      </c>
      <c r="BM1040" t="s">
        <v>17634</v>
      </c>
      <c r="BN1040" t="s">
        <v>74</v>
      </c>
      <c r="BO1040" t="s">
        <v>74</v>
      </c>
      <c r="BP1040" t="s">
        <v>74</v>
      </c>
      <c r="BQ1040" t="s">
        <v>74</v>
      </c>
      <c r="BR1040" t="s">
        <v>97</v>
      </c>
      <c r="BS1040" t="s">
        <v>17635</v>
      </c>
      <c r="BT1040" t="str">
        <f>HYPERLINK("https%3A%2F%2Fwww.webofscience.com%2Fwos%2Fwoscc%2Ffull-record%2FWOS:000803061600001","View Full Record in Web of Science")</f>
        <v>View Full Record in Web of Science</v>
      </c>
    </row>
    <row r="1041" spans="1:72" x14ac:dyDescent="0.25">
      <c r="A1041" t="s">
        <v>72</v>
      </c>
      <c r="B1041" t="s">
        <v>17636</v>
      </c>
      <c r="C1041" t="s">
        <v>74</v>
      </c>
      <c r="D1041" t="s">
        <v>74</v>
      </c>
      <c r="E1041" t="s">
        <v>74</v>
      </c>
      <c r="F1041" t="s">
        <v>17637</v>
      </c>
      <c r="G1041" t="s">
        <v>74</v>
      </c>
      <c r="H1041" t="s">
        <v>74</v>
      </c>
      <c r="I1041" t="s">
        <v>17638</v>
      </c>
      <c r="J1041" t="s">
        <v>17639</v>
      </c>
      <c r="K1041" t="s">
        <v>74</v>
      </c>
      <c r="L1041" t="s">
        <v>74</v>
      </c>
      <c r="M1041" t="s">
        <v>77</v>
      </c>
      <c r="N1041" t="s">
        <v>78</v>
      </c>
      <c r="O1041" t="s">
        <v>74</v>
      </c>
      <c r="P1041" t="s">
        <v>74</v>
      </c>
      <c r="Q1041" t="s">
        <v>74</v>
      </c>
      <c r="R1041" t="s">
        <v>74</v>
      </c>
      <c r="S1041" t="s">
        <v>74</v>
      </c>
      <c r="T1041" t="s">
        <v>17640</v>
      </c>
      <c r="U1041" t="s">
        <v>17641</v>
      </c>
      <c r="V1041" t="s">
        <v>17642</v>
      </c>
      <c r="W1041" t="s">
        <v>17643</v>
      </c>
      <c r="X1041" t="s">
        <v>17644</v>
      </c>
      <c r="Y1041" t="s">
        <v>17645</v>
      </c>
      <c r="Z1041" t="s">
        <v>17646</v>
      </c>
      <c r="AA1041" t="s">
        <v>74</v>
      </c>
      <c r="AB1041" t="s">
        <v>17647</v>
      </c>
      <c r="AC1041" t="s">
        <v>17648</v>
      </c>
      <c r="AD1041" t="s">
        <v>17649</v>
      </c>
      <c r="AE1041" t="s">
        <v>17650</v>
      </c>
      <c r="AF1041" t="s">
        <v>74</v>
      </c>
      <c r="AG1041">
        <v>92</v>
      </c>
      <c r="AH1041">
        <v>1</v>
      </c>
      <c r="AI1041">
        <v>1</v>
      </c>
      <c r="AJ1041">
        <v>4</v>
      </c>
      <c r="AK1041">
        <v>17</v>
      </c>
      <c r="AL1041" t="s">
        <v>766</v>
      </c>
      <c r="AM1041" t="s">
        <v>330</v>
      </c>
      <c r="AN1041" t="s">
        <v>1452</v>
      </c>
      <c r="AO1041" t="s">
        <v>74</v>
      </c>
      <c r="AP1041" t="s">
        <v>17651</v>
      </c>
      <c r="AQ1041" t="s">
        <v>74</v>
      </c>
      <c r="AR1041" t="s">
        <v>17652</v>
      </c>
      <c r="AS1041" t="s">
        <v>17653</v>
      </c>
      <c r="AT1041" t="s">
        <v>8633</v>
      </c>
      <c r="AU1041">
        <v>2022</v>
      </c>
      <c r="AV1041">
        <v>8</v>
      </c>
      <c r="AW1041">
        <v>1</v>
      </c>
      <c r="AX1041" t="s">
        <v>74</v>
      </c>
      <c r="AY1041" t="s">
        <v>74</v>
      </c>
      <c r="AZ1041" t="s">
        <v>74</v>
      </c>
      <c r="BA1041" t="s">
        <v>74</v>
      </c>
      <c r="BB1041" t="s">
        <v>74</v>
      </c>
      <c r="BC1041" t="s">
        <v>74</v>
      </c>
      <c r="BD1041">
        <v>53</v>
      </c>
      <c r="BE1041" t="s">
        <v>17654</v>
      </c>
      <c r="BF1041" t="str">
        <f>HYPERLINK("http://dx.doi.org/10.1186/s40854-022-00357-2","http://dx.doi.org/10.1186/s40854-022-00357-2")</f>
        <v>http://dx.doi.org/10.1186/s40854-022-00357-2</v>
      </c>
      <c r="BG1041" t="s">
        <v>74</v>
      </c>
      <c r="BH1041" t="s">
        <v>74</v>
      </c>
      <c r="BI1041">
        <v>30</v>
      </c>
      <c r="BJ1041" t="s">
        <v>17655</v>
      </c>
      <c r="BK1041" t="s">
        <v>94</v>
      </c>
      <c r="BL1041" t="s">
        <v>10060</v>
      </c>
      <c r="BM1041" t="s">
        <v>17656</v>
      </c>
      <c r="BN1041" t="s">
        <v>74</v>
      </c>
      <c r="BO1041" t="s">
        <v>2482</v>
      </c>
      <c r="BP1041" t="s">
        <v>74</v>
      </c>
      <c r="BQ1041" t="s">
        <v>74</v>
      </c>
      <c r="BR1041" t="s">
        <v>97</v>
      </c>
      <c r="BS1041" t="s">
        <v>17657</v>
      </c>
      <c r="BT1041" t="str">
        <f>HYPERLINK("https%3A%2F%2Fwww.webofscience.com%2Fwos%2Fwoscc%2Ffull-record%2FWOS:000803919300002","View Full Record in Web of Science")</f>
        <v>View Full Record in Web of Science</v>
      </c>
    </row>
    <row r="1042" spans="1:72" x14ac:dyDescent="0.25">
      <c r="A1042" t="s">
        <v>72</v>
      </c>
      <c r="B1042" t="s">
        <v>17658</v>
      </c>
      <c r="C1042" t="s">
        <v>74</v>
      </c>
      <c r="D1042" t="s">
        <v>74</v>
      </c>
      <c r="E1042" t="s">
        <v>74</v>
      </c>
      <c r="F1042" t="s">
        <v>17659</v>
      </c>
      <c r="G1042" t="s">
        <v>74</v>
      </c>
      <c r="H1042" t="s">
        <v>74</v>
      </c>
      <c r="I1042" t="s">
        <v>17660</v>
      </c>
      <c r="J1042" t="s">
        <v>3184</v>
      </c>
      <c r="K1042" t="s">
        <v>74</v>
      </c>
      <c r="L1042" t="s">
        <v>74</v>
      </c>
      <c r="M1042" t="s">
        <v>77</v>
      </c>
      <c r="N1042" t="s">
        <v>78</v>
      </c>
      <c r="O1042" t="s">
        <v>74</v>
      </c>
      <c r="P1042" t="s">
        <v>74</v>
      </c>
      <c r="Q1042" t="s">
        <v>74</v>
      </c>
      <c r="R1042" t="s">
        <v>74</v>
      </c>
      <c r="S1042" t="s">
        <v>74</v>
      </c>
      <c r="T1042" t="s">
        <v>17661</v>
      </c>
      <c r="U1042" t="s">
        <v>17662</v>
      </c>
      <c r="V1042" t="s">
        <v>17663</v>
      </c>
      <c r="W1042" t="s">
        <v>17664</v>
      </c>
      <c r="X1042" t="s">
        <v>17665</v>
      </c>
      <c r="Y1042" t="s">
        <v>17666</v>
      </c>
      <c r="Z1042" t="s">
        <v>17667</v>
      </c>
      <c r="AA1042" t="s">
        <v>17668</v>
      </c>
      <c r="AB1042" t="s">
        <v>74</v>
      </c>
      <c r="AC1042" t="s">
        <v>17669</v>
      </c>
      <c r="AD1042" t="s">
        <v>17670</v>
      </c>
      <c r="AE1042" t="s">
        <v>17671</v>
      </c>
      <c r="AF1042" t="s">
        <v>74</v>
      </c>
      <c r="AG1042">
        <v>59</v>
      </c>
      <c r="AH1042">
        <v>1</v>
      </c>
      <c r="AI1042">
        <v>1</v>
      </c>
      <c r="AJ1042">
        <v>13</v>
      </c>
      <c r="AK1042">
        <v>35</v>
      </c>
      <c r="AL1042" t="s">
        <v>3195</v>
      </c>
      <c r="AM1042" t="s">
        <v>3196</v>
      </c>
      <c r="AN1042" t="s">
        <v>3197</v>
      </c>
      <c r="AO1042" t="s">
        <v>3198</v>
      </c>
      <c r="AP1042" t="s">
        <v>74</v>
      </c>
      <c r="AQ1042" t="s">
        <v>74</v>
      </c>
      <c r="AR1042" t="s">
        <v>3199</v>
      </c>
      <c r="AS1042" t="s">
        <v>3200</v>
      </c>
      <c r="AT1042" t="s">
        <v>10939</v>
      </c>
      <c r="AU1042">
        <v>2022</v>
      </c>
      <c r="AV1042">
        <v>13</v>
      </c>
      <c r="AW1042" t="s">
        <v>74</v>
      </c>
      <c r="AX1042" t="s">
        <v>74</v>
      </c>
      <c r="AY1042" t="s">
        <v>74</v>
      </c>
      <c r="AZ1042" t="s">
        <v>74</v>
      </c>
      <c r="BA1042" t="s">
        <v>74</v>
      </c>
      <c r="BB1042" t="s">
        <v>74</v>
      </c>
      <c r="BC1042" t="s">
        <v>74</v>
      </c>
      <c r="BD1042">
        <v>866464</v>
      </c>
      <c r="BE1042" t="s">
        <v>17672</v>
      </c>
      <c r="BF1042" t="str">
        <f>HYPERLINK("http://dx.doi.org/10.3389/fpsyg.2022.866464","http://dx.doi.org/10.3389/fpsyg.2022.866464")</f>
        <v>http://dx.doi.org/10.3389/fpsyg.2022.866464</v>
      </c>
      <c r="BG1042" t="s">
        <v>74</v>
      </c>
      <c r="BH1042" t="s">
        <v>74</v>
      </c>
      <c r="BI1042">
        <v>10</v>
      </c>
      <c r="BJ1042" t="s">
        <v>3203</v>
      </c>
      <c r="BK1042" t="s">
        <v>94</v>
      </c>
      <c r="BL1042" t="s">
        <v>460</v>
      </c>
      <c r="BM1042" t="s">
        <v>17673</v>
      </c>
      <c r="BN1042">
        <v>35686075</v>
      </c>
      <c r="BO1042" t="s">
        <v>3205</v>
      </c>
      <c r="BP1042" t="s">
        <v>74</v>
      </c>
      <c r="BQ1042" t="s">
        <v>74</v>
      </c>
      <c r="BR1042" t="s">
        <v>97</v>
      </c>
      <c r="BS1042" t="s">
        <v>17674</v>
      </c>
      <c r="BT1042" t="str">
        <f>HYPERLINK("https%3A%2F%2Fwww.webofscience.com%2Fwos%2Fwoscc%2Ffull-record%2FWOS:000807453400001","View Full Record in Web of Science")</f>
        <v>View Full Record in Web of Science</v>
      </c>
    </row>
    <row r="1043" spans="1:72" x14ac:dyDescent="0.25">
      <c r="A1043" t="s">
        <v>72</v>
      </c>
      <c r="B1043" t="s">
        <v>17675</v>
      </c>
      <c r="C1043" t="s">
        <v>74</v>
      </c>
      <c r="D1043" t="s">
        <v>74</v>
      </c>
      <c r="E1043" t="s">
        <v>74</v>
      </c>
      <c r="F1043" t="s">
        <v>17676</v>
      </c>
      <c r="G1043" t="s">
        <v>74</v>
      </c>
      <c r="H1043" t="s">
        <v>74</v>
      </c>
      <c r="I1043" t="s">
        <v>17677</v>
      </c>
      <c r="J1043" t="s">
        <v>3184</v>
      </c>
      <c r="K1043" t="s">
        <v>74</v>
      </c>
      <c r="L1043" t="s">
        <v>74</v>
      </c>
      <c r="M1043" t="s">
        <v>77</v>
      </c>
      <c r="N1043" t="s">
        <v>78</v>
      </c>
      <c r="O1043" t="s">
        <v>74</v>
      </c>
      <c r="P1043" t="s">
        <v>74</v>
      </c>
      <c r="Q1043" t="s">
        <v>74</v>
      </c>
      <c r="R1043" t="s">
        <v>74</v>
      </c>
      <c r="S1043" t="s">
        <v>74</v>
      </c>
      <c r="T1043" t="s">
        <v>17678</v>
      </c>
      <c r="U1043" t="s">
        <v>17679</v>
      </c>
      <c r="V1043" t="s">
        <v>17680</v>
      </c>
      <c r="W1043" t="s">
        <v>17681</v>
      </c>
      <c r="X1043" t="s">
        <v>5010</v>
      </c>
      <c r="Y1043" t="s">
        <v>17682</v>
      </c>
      <c r="Z1043" t="s">
        <v>17683</v>
      </c>
      <c r="AA1043" t="s">
        <v>8001</v>
      </c>
      <c r="AB1043" t="s">
        <v>17684</v>
      </c>
      <c r="AC1043" t="s">
        <v>74</v>
      </c>
      <c r="AD1043" t="s">
        <v>74</v>
      </c>
      <c r="AE1043" t="s">
        <v>74</v>
      </c>
      <c r="AF1043" t="s">
        <v>74</v>
      </c>
      <c r="AG1043">
        <v>53</v>
      </c>
      <c r="AH1043">
        <v>1</v>
      </c>
      <c r="AI1043">
        <v>1</v>
      </c>
      <c r="AJ1043">
        <v>24</v>
      </c>
      <c r="AK1043">
        <v>68</v>
      </c>
      <c r="AL1043" t="s">
        <v>3195</v>
      </c>
      <c r="AM1043" t="s">
        <v>3196</v>
      </c>
      <c r="AN1043" t="s">
        <v>3197</v>
      </c>
      <c r="AO1043" t="s">
        <v>3198</v>
      </c>
      <c r="AP1043" t="s">
        <v>74</v>
      </c>
      <c r="AQ1043" t="s">
        <v>74</v>
      </c>
      <c r="AR1043" t="s">
        <v>3199</v>
      </c>
      <c r="AS1043" t="s">
        <v>3200</v>
      </c>
      <c r="AT1043" t="s">
        <v>12725</v>
      </c>
      <c r="AU1043">
        <v>2022</v>
      </c>
      <c r="AV1043">
        <v>13</v>
      </c>
      <c r="AW1043" t="s">
        <v>74</v>
      </c>
      <c r="AX1043" t="s">
        <v>74</v>
      </c>
      <c r="AY1043" t="s">
        <v>74</v>
      </c>
      <c r="AZ1043" t="s">
        <v>74</v>
      </c>
      <c r="BA1043" t="s">
        <v>74</v>
      </c>
      <c r="BB1043" t="s">
        <v>74</v>
      </c>
      <c r="BC1043" t="s">
        <v>74</v>
      </c>
      <c r="BD1043">
        <v>720654</v>
      </c>
      <c r="BE1043" t="s">
        <v>17685</v>
      </c>
      <c r="BF1043" t="str">
        <f>HYPERLINK("http://dx.doi.org/10.3389/fpsyg.2022.720654","http://dx.doi.org/10.3389/fpsyg.2022.720654")</f>
        <v>http://dx.doi.org/10.3389/fpsyg.2022.720654</v>
      </c>
      <c r="BG1043" t="s">
        <v>74</v>
      </c>
      <c r="BH1043" t="s">
        <v>74</v>
      </c>
      <c r="BI1043">
        <v>8</v>
      </c>
      <c r="BJ1043" t="s">
        <v>3203</v>
      </c>
      <c r="BK1043" t="s">
        <v>94</v>
      </c>
      <c r="BL1043" t="s">
        <v>460</v>
      </c>
      <c r="BM1043" t="s">
        <v>17686</v>
      </c>
      <c r="BN1043">
        <v>35602710</v>
      </c>
      <c r="BO1043" t="s">
        <v>4398</v>
      </c>
      <c r="BP1043" t="s">
        <v>74</v>
      </c>
      <c r="BQ1043" t="s">
        <v>74</v>
      </c>
      <c r="BR1043" t="s">
        <v>97</v>
      </c>
      <c r="BS1043" t="s">
        <v>17687</v>
      </c>
      <c r="BT1043" t="str">
        <f>HYPERLINK("https%3A%2F%2Fwww.webofscience.com%2Fwos%2Fwoscc%2Ffull-record%2FWOS:000798708300001","View Full Record in Web of Science")</f>
        <v>View Full Record in Web of Science</v>
      </c>
    </row>
    <row r="1044" spans="1:72" x14ac:dyDescent="0.25">
      <c r="A1044" t="s">
        <v>72</v>
      </c>
      <c r="B1044" t="s">
        <v>17688</v>
      </c>
      <c r="C1044" t="s">
        <v>74</v>
      </c>
      <c r="D1044" t="s">
        <v>74</v>
      </c>
      <c r="E1044" t="s">
        <v>74</v>
      </c>
      <c r="F1044" t="s">
        <v>17689</v>
      </c>
      <c r="G1044" t="s">
        <v>74</v>
      </c>
      <c r="H1044" t="s">
        <v>74</v>
      </c>
      <c r="I1044" t="s">
        <v>17690</v>
      </c>
      <c r="J1044" t="s">
        <v>3184</v>
      </c>
      <c r="K1044" t="s">
        <v>74</v>
      </c>
      <c r="L1044" t="s">
        <v>74</v>
      </c>
      <c r="M1044" t="s">
        <v>77</v>
      </c>
      <c r="N1044" t="s">
        <v>78</v>
      </c>
      <c r="O1044" t="s">
        <v>74</v>
      </c>
      <c r="P1044" t="s">
        <v>74</v>
      </c>
      <c r="Q1044" t="s">
        <v>74</v>
      </c>
      <c r="R1044" t="s">
        <v>74</v>
      </c>
      <c r="S1044" t="s">
        <v>74</v>
      </c>
      <c r="T1044" t="s">
        <v>17691</v>
      </c>
      <c r="U1044" t="s">
        <v>17692</v>
      </c>
      <c r="V1044" t="s">
        <v>17693</v>
      </c>
      <c r="W1044" t="s">
        <v>17694</v>
      </c>
      <c r="X1044" t="s">
        <v>17695</v>
      </c>
      <c r="Y1044" t="s">
        <v>17696</v>
      </c>
      <c r="Z1044" t="s">
        <v>17697</v>
      </c>
      <c r="AA1044" t="s">
        <v>74</v>
      </c>
      <c r="AB1044" t="s">
        <v>74</v>
      </c>
      <c r="AC1044" t="s">
        <v>74</v>
      </c>
      <c r="AD1044" t="s">
        <v>74</v>
      </c>
      <c r="AE1044" t="s">
        <v>74</v>
      </c>
      <c r="AF1044" t="s">
        <v>74</v>
      </c>
      <c r="AG1044">
        <v>114</v>
      </c>
      <c r="AH1044">
        <v>1</v>
      </c>
      <c r="AI1044">
        <v>1</v>
      </c>
      <c r="AJ1044">
        <v>17</v>
      </c>
      <c r="AK1044">
        <v>35</v>
      </c>
      <c r="AL1044" t="s">
        <v>3195</v>
      </c>
      <c r="AM1044" t="s">
        <v>3196</v>
      </c>
      <c r="AN1044" t="s">
        <v>3197</v>
      </c>
      <c r="AO1044" t="s">
        <v>3198</v>
      </c>
      <c r="AP1044" t="s">
        <v>74</v>
      </c>
      <c r="AQ1044" t="s">
        <v>74</v>
      </c>
      <c r="AR1044" t="s">
        <v>3199</v>
      </c>
      <c r="AS1044" t="s">
        <v>3200</v>
      </c>
      <c r="AT1044" t="s">
        <v>17698</v>
      </c>
      <c r="AU1044">
        <v>2022</v>
      </c>
      <c r="AV1044">
        <v>13</v>
      </c>
      <c r="AW1044" t="s">
        <v>74</v>
      </c>
      <c r="AX1044" t="s">
        <v>74</v>
      </c>
      <c r="AY1044" t="s">
        <v>74</v>
      </c>
      <c r="AZ1044" t="s">
        <v>74</v>
      </c>
      <c r="BA1044" t="s">
        <v>74</v>
      </c>
      <c r="BB1044" t="s">
        <v>74</v>
      </c>
      <c r="BC1044" t="s">
        <v>74</v>
      </c>
      <c r="BD1044">
        <v>699366</v>
      </c>
      <c r="BE1044" t="s">
        <v>17699</v>
      </c>
      <c r="BF1044" t="str">
        <f>HYPERLINK("http://dx.doi.org/10.3389/fpsyg.2022.699366","http://dx.doi.org/10.3389/fpsyg.2022.699366")</f>
        <v>http://dx.doi.org/10.3389/fpsyg.2022.699366</v>
      </c>
      <c r="BG1044" t="s">
        <v>74</v>
      </c>
      <c r="BH1044" t="s">
        <v>74</v>
      </c>
      <c r="BI1044">
        <v>15</v>
      </c>
      <c r="BJ1044" t="s">
        <v>3203</v>
      </c>
      <c r="BK1044" t="s">
        <v>94</v>
      </c>
      <c r="BL1044" t="s">
        <v>460</v>
      </c>
      <c r="BM1044" t="s">
        <v>17700</v>
      </c>
      <c r="BN1044">
        <v>35602696</v>
      </c>
      <c r="BO1044" t="s">
        <v>3205</v>
      </c>
      <c r="BP1044" t="s">
        <v>74</v>
      </c>
      <c r="BQ1044" t="s">
        <v>74</v>
      </c>
      <c r="BR1044" t="s">
        <v>97</v>
      </c>
      <c r="BS1044" t="s">
        <v>17701</v>
      </c>
      <c r="BT1044" t="str">
        <f>HYPERLINK("https%3A%2F%2Fwww.webofscience.com%2Fwos%2Fwoscc%2Ffull-record%2FWOS:000798266100001","View Full Record in Web of Science")</f>
        <v>View Full Record in Web of Science</v>
      </c>
    </row>
    <row r="1045" spans="1:72" x14ac:dyDescent="0.25">
      <c r="A1045" t="s">
        <v>72</v>
      </c>
      <c r="B1045" t="s">
        <v>17702</v>
      </c>
      <c r="C1045" t="s">
        <v>74</v>
      </c>
      <c r="D1045" t="s">
        <v>74</v>
      </c>
      <c r="E1045" t="s">
        <v>74</v>
      </c>
      <c r="F1045" t="s">
        <v>17703</v>
      </c>
      <c r="G1045" t="s">
        <v>74</v>
      </c>
      <c r="H1045" t="s">
        <v>74</v>
      </c>
      <c r="I1045" t="s">
        <v>17704</v>
      </c>
      <c r="J1045" t="s">
        <v>3184</v>
      </c>
      <c r="K1045" t="s">
        <v>74</v>
      </c>
      <c r="L1045" t="s">
        <v>74</v>
      </c>
      <c r="M1045" t="s">
        <v>77</v>
      </c>
      <c r="N1045" t="s">
        <v>78</v>
      </c>
      <c r="O1045" t="s">
        <v>74</v>
      </c>
      <c r="P1045" t="s">
        <v>74</v>
      </c>
      <c r="Q1045" t="s">
        <v>74</v>
      </c>
      <c r="R1045" t="s">
        <v>74</v>
      </c>
      <c r="S1045" t="s">
        <v>74</v>
      </c>
      <c r="T1045" t="s">
        <v>17705</v>
      </c>
      <c r="U1045" t="s">
        <v>17706</v>
      </c>
      <c r="V1045" t="s">
        <v>17707</v>
      </c>
      <c r="W1045" t="s">
        <v>17708</v>
      </c>
      <c r="X1045" t="s">
        <v>17709</v>
      </c>
      <c r="Y1045" t="s">
        <v>17710</v>
      </c>
      <c r="Z1045" t="s">
        <v>17711</v>
      </c>
      <c r="AA1045" t="s">
        <v>74</v>
      </c>
      <c r="AB1045" t="s">
        <v>74</v>
      </c>
      <c r="AC1045" t="s">
        <v>17712</v>
      </c>
      <c r="AD1045" t="s">
        <v>17713</v>
      </c>
      <c r="AE1045" t="s">
        <v>17714</v>
      </c>
      <c r="AF1045" t="s">
        <v>74</v>
      </c>
      <c r="AG1045">
        <v>72</v>
      </c>
      <c r="AH1045">
        <v>1</v>
      </c>
      <c r="AI1045">
        <v>1</v>
      </c>
      <c r="AJ1045">
        <v>12</v>
      </c>
      <c r="AK1045">
        <v>33</v>
      </c>
      <c r="AL1045" t="s">
        <v>3195</v>
      </c>
      <c r="AM1045" t="s">
        <v>3196</v>
      </c>
      <c r="AN1045" t="s">
        <v>3197</v>
      </c>
      <c r="AO1045" t="s">
        <v>3198</v>
      </c>
      <c r="AP1045" t="s">
        <v>74</v>
      </c>
      <c r="AQ1045" t="s">
        <v>74</v>
      </c>
      <c r="AR1045" t="s">
        <v>3199</v>
      </c>
      <c r="AS1045" t="s">
        <v>3200</v>
      </c>
      <c r="AT1045" t="s">
        <v>3779</v>
      </c>
      <c r="AU1045">
        <v>2022</v>
      </c>
      <c r="AV1045">
        <v>13</v>
      </c>
      <c r="AW1045" t="s">
        <v>74</v>
      </c>
      <c r="AX1045" t="s">
        <v>74</v>
      </c>
      <c r="AY1045" t="s">
        <v>74</v>
      </c>
      <c r="AZ1045" t="s">
        <v>74</v>
      </c>
      <c r="BA1045" t="s">
        <v>74</v>
      </c>
      <c r="BB1045" t="s">
        <v>74</v>
      </c>
      <c r="BC1045" t="s">
        <v>74</v>
      </c>
      <c r="BD1045">
        <v>865123</v>
      </c>
      <c r="BE1045" t="s">
        <v>17715</v>
      </c>
      <c r="BF1045" t="str">
        <f>HYPERLINK("http://dx.doi.org/10.3389/fpsyg.2022.865123","http://dx.doi.org/10.3389/fpsyg.2022.865123")</f>
        <v>http://dx.doi.org/10.3389/fpsyg.2022.865123</v>
      </c>
      <c r="BG1045" t="s">
        <v>74</v>
      </c>
      <c r="BH1045" t="s">
        <v>74</v>
      </c>
      <c r="BI1045">
        <v>13</v>
      </c>
      <c r="BJ1045" t="s">
        <v>3203</v>
      </c>
      <c r="BK1045" t="s">
        <v>94</v>
      </c>
      <c r="BL1045" t="s">
        <v>460</v>
      </c>
      <c r="BM1045" t="s">
        <v>17716</v>
      </c>
      <c r="BN1045">
        <v>35572343</v>
      </c>
      <c r="BO1045" t="s">
        <v>3205</v>
      </c>
      <c r="BP1045" t="s">
        <v>74</v>
      </c>
      <c r="BQ1045" t="s">
        <v>74</v>
      </c>
      <c r="BR1045" t="s">
        <v>97</v>
      </c>
      <c r="BS1045" t="s">
        <v>17717</v>
      </c>
      <c r="BT1045" t="str">
        <f>HYPERLINK("https%3A%2F%2Fwww.webofscience.com%2Fwos%2Fwoscc%2Ffull-record%2FWOS:000822688800001","View Full Record in Web of Science")</f>
        <v>View Full Record in Web of Science</v>
      </c>
    </row>
    <row r="1046" spans="1:72" x14ac:dyDescent="0.25">
      <c r="A1046" t="s">
        <v>72</v>
      </c>
      <c r="B1046" t="s">
        <v>17718</v>
      </c>
      <c r="C1046" t="s">
        <v>74</v>
      </c>
      <c r="D1046" t="s">
        <v>74</v>
      </c>
      <c r="E1046" t="s">
        <v>74</v>
      </c>
      <c r="F1046" t="s">
        <v>17719</v>
      </c>
      <c r="G1046" t="s">
        <v>74</v>
      </c>
      <c r="H1046" t="s">
        <v>74</v>
      </c>
      <c r="I1046" t="s">
        <v>17720</v>
      </c>
      <c r="J1046" t="s">
        <v>3184</v>
      </c>
      <c r="K1046" t="s">
        <v>74</v>
      </c>
      <c r="L1046" t="s">
        <v>74</v>
      </c>
      <c r="M1046" t="s">
        <v>77</v>
      </c>
      <c r="N1046" t="s">
        <v>78</v>
      </c>
      <c r="O1046" t="s">
        <v>74</v>
      </c>
      <c r="P1046" t="s">
        <v>74</v>
      </c>
      <c r="Q1046" t="s">
        <v>74</v>
      </c>
      <c r="R1046" t="s">
        <v>74</v>
      </c>
      <c r="S1046" t="s">
        <v>74</v>
      </c>
      <c r="T1046" t="s">
        <v>17721</v>
      </c>
      <c r="U1046" t="s">
        <v>17722</v>
      </c>
      <c r="V1046" t="s">
        <v>17723</v>
      </c>
      <c r="W1046" t="s">
        <v>74</v>
      </c>
      <c r="X1046" t="s">
        <v>74</v>
      </c>
      <c r="Y1046" t="s">
        <v>74</v>
      </c>
      <c r="Z1046" t="s">
        <v>17724</v>
      </c>
      <c r="AA1046" t="s">
        <v>74</v>
      </c>
      <c r="AB1046" t="s">
        <v>74</v>
      </c>
      <c r="AC1046" t="s">
        <v>74</v>
      </c>
      <c r="AD1046" t="s">
        <v>74</v>
      </c>
      <c r="AE1046" t="s">
        <v>74</v>
      </c>
      <c r="AF1046" t="s">
        <v>74</v>
      </c>
      <c r="AG1046">
        <v>91</v>
      </c>
      <c r="AH1046">
        <v>1</v>
      </c>
      <c r="AI1046">
        <v>1</v>
      </c>
      <c r="AJ1046">
        <v>7</v>
      </c>
      <c r="AK1046">
        <v>19</v>
      </c>
      <c r="AL1046" t="s">
        <v>3195</v>
      </c>
      <c r="AM1046" t="s">
        <v>3196</v>
      </c>
      <c r="AN1046" t="s">
        <v>3197</v>
      </c>
      <c r="AO1046" t="s">
        <v>3198</v>
      </c>
      <c r="AP1046" t="s">
        <v>74</v>
      </c>
      <c r="AQ1046" t="s">
        <v>74</v>
      </c>
      <c r="AR1046" t="s">
        <v>3199</v>
      </c>
      <c r="AS1046" t="s">
        <v>3200</v>
      </c>
      <c r="AT1046" t="s">
        <v>10638</v>
      </c>
      <c r="AU1046">
        <v>2022</v>
      </c>
      <c r="AV1046">
        <v>13</v>
      </c>
      <c r="AW1046" t="s">
        <v>74</v>
      </c>
      <c r="AX1046" t="s">
        <v>74</v>
      </c>
      <c r="AY1046" t="s">
        <v>74</v>
      </c>
      <c r="AZ1046" t="s">
        <v>74</v>
      </c>
      <c r="BA1046" t="s">
        <v>74</v>
      </c>
      <c r="BB1046" t="s">
        <v>74</v>
      </c>
      <c r="BC1046" t="s">
        <v>74</v>
      </c>
      <c r="BD1046">
        <v>775624</v>
      </c>
      <c r="BE1046" t="s">
        <v>17725</v>
      </c>
      <c r="BF1046" t="str">
        <f>HYPERLINK("http://dx.doi.org/10.3389/fpsyg.2022.775624","http://dx.doi.org/10.3389/fpsyg.2022.775624")</f>
        <v>http://dx.doi.org/10.3389/fpsyg.2022.775624</v>
      </c>
      <c r="BG1046" t="s">
        <v>74</v>
      </c>
      <c r="BH1046" t="s">
        <v>74</v>
      </c>
      <c r="BI1046">
        <v>12</v>
      </c>
      <c r="BJ1046" t="s">
        <v>3203</v>
      </c>
      <c r="BK1046" t="s">
        <v>94</v>
      </c>
      <c r="BL1046" t="s">
        <v>460</v>
      </c>
      <c r="BM1046" t="s">
        <v>17726</v>
      </c>
      <c r="BN1046">
        <v>35558704</v>
      </c>
      <c r="BO1046" t="s">
        <v>4398</v>
      </c>
      <c r="BP1046" t="s">
        <v>74</v>
      </c>
      <c r="BQ1046" t="s">
        <v>74</v>
      </c>
      <c r="BR1046" t="s">
        <v>97</v>
      </c>
      <c r="BS1046" t="s">
        <v>17727</v>
      </c>
      <c r="BT1046" t="str">
        <f>HYPERLINK("https%3A%2F%2Fwww.webofscience.com%2Fwos%2Fwoscc%2Ffull-record%2FWOS:000805958000001","View Full Record in Web of Science")</f>
        <v>View Full Record in Web of Science</v>
      </c>
    </row>
    <row r="1047" spans="1:72" x14ac:dyDescent="0.25">
      <c r="A1047" t="s">
        <v>72</v>
      </c>
      <c r="B1047" t="s">
        <v>17728</v>
      </c>
      <c r="C1047" t="s">
        <v>74</v>
      </c>
      <c r="D1047" t="s">
        <v>74</v>
      </c>
      <c r="E1047" t="s">
        <v>74</v>
      </c>
      <c r="F1047" t="s">
        <v>17729</v>
      </c>
      <c r="G1047" t="s">
        <v>74</v>
      </c>
      <c r="H1047" t="s">
        <v>74</v>
      </c>
      <c r="I1047" t="s">
        <v>17730</v>
      </c>
      <c r="J1047" t="s">
        <v>17731</v>
      </c>
      <c r="K1047" t="s">
        <v>74</v>
      </c>
      <c r="L1047" t="s">
        <v>74</v>
      </c>
      <c r="M1047" t="s">
        <v>77</v>
      </c>
      <c r="N1047" t="s">
        <v>10095</v>
      </c>
      <c r="O1047" t="s">
        <v>74</v>
      </c>
      <c r="P1047" t="s">
        <v>74</v>
      </c>
      <c r="Q1047" t="s">
        <v>74</v>
      </c>
      <c r="R1047" t="s">
        <v>74</v>
      </c>
      <c r="S1047" t="s">
        <v>74</v>
      </c>
      <c r="T1047" t="s">
        <v>17732</v>
      </c>
      <c r="U1047" t="s">
        <v>17733</v>
      </c>
      <c r="V1047" t="s">
        <v>17734</v>
      </c>
      <c r="W1047" t="s">
        <v>17735</v>
      </c>
      <c r="X1047" t="s">
        <v>17736</v>
      </c>
      <c r="Y1047" t="s">
        <v>17737</v>
      </c>
      <c r="Z1047" t="s">
        <v>17738</v>
      </c>
      <c r="AA1047" t="s">
        <v>17739</v>
      </c>
      <c r="AB1047" t="s">
        <v>17740</v>
      </c>
      <c r="AC1047" t="s">
        <v>17741</v>
      </c>
      <c r="AD1047" t="s">
        <v>17742</v>
      </c>
      <c r="AE1047" t="s">
        <v>17743</v>
      </c>
      <c r="AF1047" t="s">
        <v>74</v>
      </c>
      <c r="AG1047">
        <v>51</v>
      </c>
      <c r="AH1047">
        <v>1</v>
      </c>
      <c r="AI1047">
        <v>1</v>
      </c>
      <c r="AJ1047">
        <v>0</v>
      </c>
      <c r="AK1047">
        <v>3</v>
      </c>
      <c r="AL1047" t="s">
        <v>304</v>
      </c>
      <c r="AM1047" t="s">
        <v>305</v>
      </c>
      <c r="AN1047" t="s">
        <v>306</v>
      </c>
      <c r="AO1047" t="s">
        <v>17744</v>
      </c>
      <c r="AP1047" t="s">
        <v>17745</v>
      </c>
      <c r="AQ1047" t="s">
        <v>74</v>
      </c>
      <c r="AR1047" t="s">
        <v>17746</v>
      </c>
      <c r="AS1047" t="s">
        <v>17747</v>
      </c>
      <c r="AT1047" t="s">
        <v>74</v>
      </c>
      <c r="AU1047" t="s">
        <v>74</v>
      </c>
      <c r="AV1047" t="s">
        <v>74</v>
      </c>
      <c r="AW1047" t="s">
        <v>74</v>
      </c>
      <c r="AX1047" t="s">
        <v>74</v>
      </c>
      <c r="AY1047" t="s">
        <v>74</v>
      </c>
      <c r="AZ1047" t="s">
        <v>74</v>
      </c>
      <c r="BA1047" t="s">
        <v>74</v>
      </c>
      <c r="BB1047" t="s">
        <v>74</v>
      </c>
      <c r="BC1047" t="s">
        <v>74</v>
      </c>
      <c r="BD1047" t="s">
        <v>74</v>
      </c>
      <c r="BE1047" t="s">
        <v>17748</v>
      </c>
      <c r="BF1047" t="str">
        <f>HYPERLINK("http://dx.doi.org/10.1080/17455030.2022.2061082","http://dx.doi.org/10.1080/17455030.2022.2061082")</f>
        <v>http://dx.doi.org/10.1080/17455030.2022.2061082</v>
      </c>
      <c r="BG1047" t="s">
        <v>74</v>
      </c>
      <c r="BH1047" t="s">
        <v>11990</v>
      </c>
      <c r="BI1047">
        <v>18</v>
      </c>
      <c r="BJ1047" t="s">
        <v>11388</v>
      </c>
      <c r="BK1047" t="s">
        <v>283</v>
      </c>
      <c r="BL1047" t="s">
        <v>10384</v>
      </c>
      <c r="BM1047" t="s">
        <v>17749</v>
      </c>
      <c r="BN1047" t="s">
        <v>74</v>
      </c>
      <c r="BO1047" t="s">
        <v>74</v>
      </c>
      <c r="BP1047" t="s">
        <v>74</v>
      </c>
      <c r="BQ1047" t="s">
        <v>74</v>
      </c>
      <c r="BR1047" t="s">
        <v>97</v>
      </c>
      <c r="BS1047" t="s">
        <v>17750</v>
      </c>
      <c r="BT1047" t="str">
        <f>HYPERLINK("https%3A%2F%2Fwww.webofscience.com%2Fwos%2Fwoscc%2Ffull-record%2FWOS:000783403700001","View Full Record in Web of Science")</f>
        <v>View Full Record in Web of Science</v>
      </c>
    </row>
    <row r="1048" spans="1:72" x14ac:dyDescent="0.25">
      <c r="A1048" t="s">
        <v>72</v>
      </c>
      <c r="B1048" t="s">
        <v>17751</v>
      </c>
      <c r="C1048" t="s">
        <v>74</v>
      </c>
      <c r="D1048" t="s">
        <v>74</v>
      </c>
      <c r="E1048" t="s">
        <v>74</v>
      </c>
      <c r="F1048" t="s">
        <v>17752</v>
      </c>
      <c r="G1048" t="s">
        <v>74</v>
      </c>
      <c r="H1048" t="s">
        <v>74</v>
      </c>
      <c r="I1048" t="s">
        <v>17753</v>
      </c>
      <c r="J1048" t="s">
        <v>9332</v>
      </c>
      <c r="K1048" t="s">
        <v>74</v>
      </c>
      <c r="L1048" t="s">
        <v>74</v>
      </c>
      <c r="M1048" t="s">
        <v>77</v>
      </c>
      <c r="N1048" t="s">
        <v>10095</v>
      </c>
      <c r="O1048" t="s">
        <v>74</v>
      </c>
      <c r="P1048" t="s">
        <v>74</v>
      </c>
      <c r="Q1048" t="s">
        <v>74</v>
      </c>
      <c r="R1048" t="s">
        <v>74</v>
      </c>
      <c r="S1048" t="s">
        <v>74</v>
      </c>
      <c r="T1048" t="s">
        <v>17754</v>
      </c>
      <c r="U1048" t="s">
        <v>17755</v>
      </c>
      <c r="V1048" t="s">
        <v>17756</v>
      </c>
      <c r="W1048" t="s">
        <v>17757</v>
      </c>
      <c r="X1048" t="s">
        <v>13237</v>
      </c>
      <c r="Y1048" t="s">
        <v>17758</v>
      </c>
      <c r="Z1048" t="s">
        <v>17759</v>
      </c>
      <c r="AA1048" t="s">
        <v>74</v>
      </c>
      <c r="AB1048" t="s">
        <v>74</v>
      </c>
      <c r="AC1048" t="s">
        <v>17760</v>
      </c>
      <c r="AD1048" t="s">
        <v>17761</v>
      </c>
      <c r="AE1048" t="s">
        <v>17762</v>
      </c>
      <c r="AF1048" t="s">
        <v>74</v>
      </c>
      <c r="AG1048">
        <v>51</v>
      </c>
      <c r="AH1048">
        <v>1</v>
      </c>
      <c r="AI1048">
        <v>1</v>
      </c>
      <c r="AJ1048">
        <v>12</v>
      </c>
      <c r="AK1048">
        <v>25</v>
      </c>
      <c r="AL1048" t="s">
        <v>766</v>
      </c>
      <c r="AM1048" t="s">
        <v>330</v>
      </c>
      <c r="AN1048" t="s">
        <v>1452</v>
      </c>
      <c r="AO1048" t="s">
        <v>9344</v>
      </c>
      <c r="AP1048" t="s">
        <v>9345</v>
      </c>
      <c r="AQ1048" t="s">
        <v>74</v>
      </c>
      <c r="AR1048" t="s">
        <v>9346</v>
      </c>
      <c r="AS1048" t="s">
        <v>9347</v>
      </c>
      <c r="AT1048" t="s">
        <v>74</v>
      </c>
      <c r="AU1048" t="s">
        <v>74</v>
      </c>
      <c r="AV1048" t="s">
        <v>74</v>
      </c>
      <c r="AW1048" t="s">
        <v>74</v>
      </c>
      <c r="AX1048" t="s">
        <v>74</v>
      </c>
      <c r="AY1048" t="s">
        <v>74</v>
      </c>
      <c r="AZ1048" t="s">
        <v>74</v>
      </c>
      <c r="BA1048" t="s">
        <v>74</v>
      </c>
      <c r="BB1048" t="s">
        <v>74</v>
      </c>
      <c r="BC1048" t="s">
        <v>74</v>
      </c>
      <c r="BD1048" t="s">
        <v>74</v>
      </c>
      <c r="BE1048" t="s">
        <v>17763</v>
      </c>
      <c r="BF1048" t="str">
        <f>HYPERLINK("http://dx.doi.org/10.1007/s12144-022-02977-4","http://dx.doi.org/10.1007/s12144-022-02977-4")</f>
        <v>http://dx.doi.org/10.1007/s12144-022-02977-4</v>
      </c>
      <c r="BG1048" t="s">
        <v>74</v>
      </c>
      <c r="BH1048" t="s">
        <v>7969</v>
      </c>
      <c r="BI1048">
        <v>14</v>
      </c>
      <c r="BJ1048" t="s">
        <v>3203</v>
      </c>
      <c r="BK1048" t="s">
        <v>94</v>
      </c>
      <c r="BL1048" t="s">
        <v>460</v>
      </c>
      <c r="BM1048" t="s">
        <v>17764</v>
      </c>
      <c r="BN1048" t="s">
        <v>74</v>
      </c>
      <c r="BO1048" t="s">
        <v>74</v>
      </c>
      <c r="BP1048" t="s">
        <v>74</v>
      </c>
      <c r="BQ1048" t="s">
        <v>74</v>
      </c>
      <c r="BR1048" t="s">
        <v>97</v>
      </c>
      <c r="BS1048" t="s">
        <v>17765</v>
      </c>
      <c r="BT1048" t="str">
        <f>HYPERLINK("https%3A%2F%2Fwww.webofscience.com%2Fwos%2Fwoscc%2Ffull-record%2FWOS:000774589300006","View Full Record in Web of Science")</f>
        <v>View Full Record in Web of Science</v>
      </c>
    </row>
    <row r="1049" spans="1:72" x14ac:dyDescent="0.25">
      <c r="A1049" t="s">
        <v>72</v>
      </c>
      <c r="B1049" t="s">
        <v>17766</v>
      </c>
      <c r="C1049" t="s">
        <v>74</v>
      </c>
      <c r="D1049" t="s">
        <v>74</v>
      </c>
      <c r="E1049" t="s">
        <v>74</v>
      </c>
      <c r="F1049" t="s">
        <v>17767</v>
      </c>
      <c r="G1049" t="s">
        <v>74</v>
      </c>
      <c r="H1049" t="s">
        <v>74</v>
      </c>
      <c r="I1049" t="s">
        <v>17768</v>
      </c>
      <c r="J1049" t="s">
        <v>17769</v>
      </c>
      <c r="K1049" t="s">
        <v>74</v>
      </c>
      <c r="L1049" t="s">
        <v>74</v>
      </c>
      <c r="M1049" t="s">
        <v>77</v>
      </c>
      <c r="N1049" t="s">
        <v>78</v>
      </c>
      <c r="O1049" t="s">
        <v>74</v>
      </c>
      <c r="P1049" t="s">
        <v>74</v>
      </c>
      <c r="Q1049" t="s">
        <v>74</v>
      </c>
      <c r="R1049" t="s">
        <v>74</v>
      </c>
      <c r="S1049" t="s">
        <v>74</v>
      </c>
      <c r="T1049" t="s">
        <v>17770</v>
      </c>
      <c r="U1049" t="s">
        <v>17771</v>
      </c>
      <c r="V1049" t="s">
        <v>17772</v>
      </c>
      <c r="W1049" t="s">
        <v>17773</v>
      </c>
      <c r="X1049" t="s">
        <v>17774</v>
      </c>
      <c r="Y1049" t="s">
        <v>17775</v>
      </c>
      <c r="Z1049" t="s">
        <v>17776</v>
      </c>
      <c r="AA1049" t="s">
        <v>74</v>
      </c>
      <c r="AB1049" t="s">
        <v>74</v>
      </c>
      <c r="AC1049" t="s">
        <v>74</v>
      </c>
      <c r="AD1049" t="s">
        <v>74</v>
      </c>
      <c r="AE1049" t="s">
        <v>74</v>
      </c>
      <c r="AF1049" t="s">
        <v>74</v>
      </c>
      <c r="AG1049">
        <v>87</v>
      </c>
      <c r="AH1049">
        <v>1</v>
      </c>
      <c r="AI1049">
        <v>1</v>
      </c>
      <c r="AJ1049">
        <v>40</v>
      </c>
      <c r="AK1049">
        <v>115</v>
      </c>
      <c r="AL1049" t="s">
        <v>5452</v>
      </c>
      <c r="AM1049" t="s">
        <v>5453</v>
      </c>
      <c r="AN1049" t="s">
        <v>5454</v>
      </c>
      <c r="AO1049" t="s">
        <v>17777</v>
      </c>
      <c r="AP1049" t="s">
        <v>17778</v>
      </c>
      <c r="AQ1049" t="s">
        <v>74</v>
      </c>
      <c r="AR1049" t="s">
        <v>17779</v>
      </c>
      <c r="AS1049" t="s">
        <v>17780</v>
      </c>
      <c r="AT1049" t="s">
        <v>91</v>
      </c>
      <c r="AU1049">
        <v>2022</v>
      </c>
      <c r="AV1049">
        <v>18</v>
      </c>
      <c r="AW1049">
        <v>3</v>
      </c>
      <c r="AX1049" t="s">
        <v>74</v>
      </c>
      <c r="AY1049" t="s">
        <v>74</v>
      </c>
      <c r="AZ1049" t="s">
        <v>74</v>
      </c>
      <c r="BA1049" t="s">
        <v>74</v>
      </c>
      <c r="BB1049">
        <v>491</v>
      </c>
      <c r="BC1049">
        <v>518</v>
      </c>
      <c r="BD1049" t="s">
        <v>17781</v>
      </c>
      <c r="BE1049" t="s">
        <v>17782</v>
      </c>
      <c r="BF1049" t="str">
        <f>HYPERLINK("http://dx.doi.org/10.1017/mor.2021.76","http://dx.doi.org/10.1017/mor.2021.76")</f>
        <v>http://dx.doi.org/10.1017/mor.2021.76</v>
      </c>
      <c r="BG1049" t="s">
        <v>74</v>
      </c>
      <c r="BH1049" t="s">
        <v>7969</v>
      </c>
      <c r="BI1049">
        <v>28</v>
      </c>
      <c r="BJ1049" t="s">
        <v>442</v>
      </c>
      <c r="BK1049" t="s">
        <v>94</v>
      </c>
      <c r="BL1049" t="s">
        <v>95</v>
      </c>
      <c r="BM1049" t="s">
        <v>17783</v>
      </c>
      <c r="BN1049" t="s">
        <v>74</v>
      </c>
      <c r="BO1049" t="s">
        <v>74</v>
      </c>
      <c r="BP1049" t="s">
        <v>74</v>
      </c>
      <c r="BQ1049" t="s">
        <v>74</v>
      </c>
      <c r="BR1049" t="s">
        <v>97</v>
      </c>
      <c r="BS1049" t="s">
        <v>17784</v>
      </c>
      <c r="BT1049" t="str">
        <f>HYPERLINK("https%3A%2F%2Fwww.webofscience.com%2Fwos%2Fwoscc%2Ffull-record%2FWOS:000773142700001","View Full Record in Web of Science")</f>
        <v>View Full Record in Web of Science</v>
      </c>
    </row>
    <row r="1050" spans="1:72" x14ac:dyDescent="0.25">
      <c r="A1050" t="s">
        <v>72</v>
      </c>
      <c r="B1050" t="s">
        <v>17785</v>
      </c>
      <c r="C1050" t="s">
        <v>74</v>
      </c>
      <c r="D1050" t="s">
        <v>74</v>
      </c>
      <c r="E1050" t="s">
        <v>74</v>
      </c>
      <c r="F1050" t="s">
        <v>17786</v>
      </c>
      <c r="G1050" t="s">
        <v>74</v>
      </c>
      <c r="H1050" t="s">
        <v>74</v>
      </c>
      <c r="I1050" t="s">
        <v>17787</v>
      </c>
      <c r="J1050" t="s">
        <v>1090</v>
      </c>
      <c r="K1050" t="s">
        <v>74</v>
      </c>
      <c r="L1050" t="s">
        <v>74</v>
      </c>
      <c r="M1050" t="s">
        <v>77</v>
      </c>
      <c r="N1050" t="s">
        <v>78</v>
      </c>
      <c r="O1050" t="s">
        <v>74</v>
      </c>
      <c r="P1050" t="s">
        <v>74</v>
      </c>
      <c r="Q1050" t="s">
        <v>74</v>
      </c>
      <c r="R1050" t="s">
        <v>74</v>
      </c>
      <c r="S1050" t="s">
        <v>74</v>
      </c>
      <c r="T1050" t="s">
        <v>74</v>
      </c>
      <c r="U1050" t="s">
        <v>17788</v>
      </c>
      <c r="V1050" t="s">
        <v>17789</v>
      </c>
      <c r="W1050" t="s">
        <v>17790</v>
      </c>
      <c r="X1050" t="s">
        <v>17791</v>
      </c>
      <c r="Y1050" t="s">
        <v>17792</v>
      </c>
      <c r="Z1050" t="s">
        <v>17793</v>
      </c>
      <c r="AA1050" t="s">
        <v>74</v>
      </c>
      <c r="AB1050" t="s">
        <v>17794</v>
      </c>
      <c r="AC1050" t="s">
        <v>17795</v>
      </c>
      <c r="AD1050" t="s">
        <v>575</v>
      </c>
      <c r="AE1050" t="s">
        <v>17796</v>
      </c>
      <c r="AF1050" t="s">
        <v>74</v>
      </c>
      <c r="AG1050">
        <v>72</v>
      </c>
      <c r="AH1050">
        <v>1</v>
      </c>
      <c r="AI1050">
        <v>1</v>
      </c>
      <c r="AJ1050">
        <v>2</v>
      </c>
      <c r="AK1050">
        <v>12</v>
      </c>
      <c r="AL1050" t="s">
        <v>1099</v>
      </c>
      <c r="AM1050" t="s">
        <v>305</v>
      </c>
      <c r="AN1050" t="s">
        <v>1100</v>
      </c>
      <c r="AO1050" t="s">
        <v>1101</v>
      </c>
      <c r="AP1050" t="s">
        <v>1102</v>
      </c>
      <c r="AQ1050" t="s">
        <v>74</v>
      </c>
      <c r="AR1050" t="s">
        <v>1103</v>
      </c>
      <c r="AS1050" t="s">
        <v>1104</v>
      </c>
      <c r="AT1050" t="s">
        <v>1717</v>
      </c>
      <c r="AU1050">
        <v>2023</v>
      </c>
      <c r="AV1050">
        <v>35</v>
      </c>
      <c r="AW1050">
        <v>1</v>
      </c>
      <c r="AX1050" t="s">
        <v>74</v>
      </c>
      <c r="AY1050" t="s">
        <v>74</v>
      </c>
      <c r="AZ1050" t="s">
        <v>74</v>
      </c>
      <c r="BA1050" t="s">
        <v>74</v>
      </c>
      <c r="BB1050">
        <v>99</v>
      </c>
      <c r="BC1050">
        <v>115</v>
      </c>
      <c r="BD1050" t="s">
        <v>74</v>
      </c>
      <c r="BE1050" t="s">
        <v>17797</v>
      </c>
      <c r="BF1050" t="str">
        <f>HYPERLINK("http://dx.doi.org/10.1080/10400419.2022.2049533","http://dx.doi.org/10.1080/10400419.2022.2049533")</f>
        <v>http://dx.doi.org/10.1080/10400419.2022.2049533</v>
      </c>
      <c r="BG1050" t="s">
        <v>74</v>
      </c>
      <c r="BH1050" t="s">
        <v>7969</v>
      </c>
      <c r="BI1050">
        <v>17</v>
      </c>
      <c r="BJ1050" t="s">
        <v>1107</v>
      </c>
      <c r="BK1050" t="s">
        <v>94</v>
      </c>
      <c r="BL1050" t="s">
        <v>460</v>
      </c>
      <c r="BM1050" t="s">
        <v>17798</v>
      </c>
      <c r="BN1050" t="s">
        <v>74</v>
      </c>
      <c r="BO1050" t="s">
        <v>74</v>
      </c>
      <c r="BP1050" t="s">
        <v>74</v>
      </c>
      <c r="BQ1050" t="s">
        <v>74</v>
      </c>
      <c r="BR1050" t="s">
        <v>97</v>
      </c>
      <c r="BS1050" t="s">
        <v>17799</v>
      </c>
      <c r="BT1050" t="str">
        <f>HYPERLINK("https%3A%2F%2Fwww.webofscience.com%2Fwos%2Fwoscc%2Ffull-record%2FWOS:000772370100001","View Full Record in Web of Science")</f>
        <v>View Full Record in Web of Science</v>
      </c>
    </row>
    <row r="1051" spans="1:72" x14ac:dyDescent="0.25">
      <c r="A1051" t="s">
        <v>72</v>
      </c>
      <c r="B1051" t="s">
        <v>17800</v>
      </c>
      <c r="C1051" t="s">
        <v>74</v>
      </c>
      <c r="D1051" t="s">
        <v>74</v>
      </c>
      <c r="E1051" t="s">
        <v>74</v>
      </c>
      <c r="F1051" t="s">
        <v>17801</v>
      </c>
      <c r="G1051" t="s">
        <v>74</v>
      </c>
      <c r="H1051" t="s">
        <v>74</v>
      </c>
      <c r="I1051" t="s">
        <v>17802</v>
      </c>
      <c r="J1051" t="s">
        <v>758</v>
      </c>
      <c r="K1051" t="s">
        <v>74</v>
      </c>
      <c r="L1051" t="s">
        <v>74</v>
      </c>
      <c r="M1051" t="s">
        <v>77</v>
      </c>
      <c r="N1051" t="s">
        <v>78</v>
      </c>
      <c r="O1051" t="s">
        <v>74</v>
      </c>
      <c r="P1051" t="s">
        <v>74</v>
      </c>
      <c r="Q1051" t="s">
        <v>74</v>
      </c>
      <c r="R1051" t="s">
        <v>74</v>
      </c>
      <c r="S1051" t="s">
        <v>74</v>
      </c>
      <c r="T1051" t="s">
        <v>17803</v>
      </c>
      <c r="U1051" t="s">
        <v>17804</v>
      </c>
      <c r="V1051" t="s">
        <v>17805</v>
      </c>
      <c r="W1051" t="s">
        <v>17806</v>
      </c>
      <c r="X1051" t="s">
        <v>17807</v>
      </c>
      <c r="Y1051" t="s">
        <v>17808</v>
      </c>
      <c r="Z1051" t="s">
        <v>17809</v>
      </c>
      <c r="AA1051" t="s">
        <v>8806</v>
      </c>
      <c r="AB1051" t="s">
        <v>17810</v>
      </c>
      <c r="AC1051" t="s">
        <v>17811</v>
      </c>
      <c r="AD1051" t="s">
        <v>6558</v>
      </c>
      <c r="AE1051" t="s">
        <v>17812</v>
      </c>
      <c r="AF1051" t="s">
        <v>74</v>
      </c>
      <c r="AG1051">
        <v>92</v>
      </c>
      <c r="AH1051">
        <v>1</v>
      </c>
      <c r="AI1051">
        <v>1</v>
      </c>
      <c r="AJ1051">
        <v>9</v>
      </c>
      <c r="AK1051">
        <v>21</v>
      </c>
      <c r="AL1051" t="s">
        <v>766</v>
      </c>
      <c r="AM1051" t="s">
        <v>330</v>
      </c>
      <c r="AN1051" t="s">
        <v>1452</v>
      </c>
      <c r="AO1051" t="s">
        <v>768</v>
      </c>
      <c r="AP1051" t="s">
        <v>769</v>
      </c>
      <c r="AQ1051" t="s">
        <v>74</v>
      </c>
      <c r="AR1051" t="s">
        <v>770</v>
      </c>
      <c r="AS1051" t="s">
        <v>771</v>
      </c>
      <c r="AT1051" t="s">
        <v>375</v>
      </c>
      <c r="AU1051">
        <v>2022</v>
      </c>
      <c r="AV1051">
        <v>37</v>
      </c>
      <c r="AW1051">
        <v>6</v>
      </c>
      <c r="AX1051" t="s">
        <v>74</v>
      </c>
      <c r="AY1051" t="s">
        <v>74</v>
      </c>
      <c r="AZ1051" t="s">
        <v>74</v>
      </c>
      <c r="BA1051" t="s">
        <v>74</v>
      </c>
      <c r="BB1051">
        <v>1329</v>
      </c>
      <c r="BC1051">
        <v>1346</v>
      </c>
      <c r="BD1051" t="s">
        <v>74</v>
      </c>
      <c r="BE1051" t="s">
        <v>17813</v>
      </c>
      <c r="BF1051" t="str">
        <f>HYPERLINK("http://dx.doi.org/10.1007/s10869-022-09808-0","http://dx.doi.org/10.1007/s10869-022-09808-0")</f>
        <v>http://dx.doi.org/10.1007/s10869-022-09808-0</v>
      </c>
      <c r="BG1051" t="s">
        <v>74</v>
      </c>
      <c r="BH1051" t="s">
        <v>7969</v>
      </c>
      <c r="BI1051">
        <v>18</v>
      </c>
      <c r="BJ1051" t="s">
        <v>773</v>
      </c>
      <c r="BK1051" t="s">
        <v>94</v>
      </c>
      <c r="BL1051" t="s">
        <v>227</v>
      </c>
      <c r="BM1051" t="s">
        <v>17814</v>
      </c>
      <c r="BN1051" t="s">
        <v>74</v>
      </c>
      <c r="BO1051" t="s">
        <v>1897</v>
      </c>
      <c r="BP1051" t="s">
        <v>74</v>
      </c>
      <c r="BQ1051" t="s">
        <v>74</v>
      </c>
      <c r="BR1051" t="s">
        <v>97</v>
      </c>
      <c r="BS1051" t="s">
        <v>17815</v>
      </c>
      <c r="BT1051" t="str">
        <f>HYPERLINK("https%3A%2F%2Fwww.webofscience.com%2Fwos%2Fwoscc%2Ffull-record%2FWOS:000772716600002","View Full Record in Web of Science")</f>
        <v>View Full Record in Web of Science</v>
      </c>
    </row>
    <row r="1052" spans="1:72" x14ac:dyDescent="0.25">
      <c r="A1052" t="s">
        <v>72</v>
      </c>
      <c r="B1052" t="s">
        <v>17816</v>
      </c>
      <c r="C1052" t="s">
        <v>74</v>
      </c>
      <c r="D1052" t="s">
        <v>74</v>
      </c>
      <c r="E1052" t="s">
        <v>74</v>
      </c>
      <c r="F1052" t="s">
        <v>17817</v>
      </c>
      <c r="G1052" t="s">
        <v>74</v>
      </c>
      <c r="H1052" t="s">
        <v>74</v>
      </c>
      <c r="I1052" t="s">
        <v>17818</v>
      </c>
      <c r="J1052" t="s">
        <v>318</v>
      </c>
      <c r="K1052" t="s">
        <v>74</v>
      </c>
      <c r="L1052" t="s">
        <v>74</v>
      </c>
      <c r="M1052" t="s">
        <v>77</v>
      </c>
      <c r="N1052" t="s">
        <v>78</v>
      </c>
      <c r="O1052" t="s">
        <v>74</v>
      </c>
      <c r="P1052" t="s">
        <v>74</v>
      </c>
      <c r="Q1052" t="s">
        <v>74</v>
      </c>
      <c r="R1052" t="s">
        <v>74</v>
      </c>
      <c r="S1052" t="s">
        <v>74</v>
      </c>
      <c r="T1052" t="s">
        <v>17819</v>
      </c>
      <c r="U1052" t="s">
        <v>17820</v>
      </c>
      <c r="V1052" t="s">
        <v>17821</v>
      </c>
      <c r="W1052" t="s">
        <v>17822</v>
      </c>
      <c r="X1052" t="s">
        <v>9301</v>
      </c>
      <c r="Y1052" t="s">
        <v>17823</v>
      </c>
      <c r="Z1052" t="s">
        <v>17824</v>
      </c>
      <c r="AA1052" t="s">
        <v>74</v>
      </c>
      <c r="AB1052" t="s">
        <v>74</v>
      </c>
      <c r="AC1052" t="s">
        <v>17825</v>
      </c>
      <c r="AD1052" t="s">
        <v>17826</v>
      </c>
      <c r="AE1052" t="s">
        <v>17827</v>
      </c>
      <c r="AF1052" t="s">
        <v>74</v>
      </c>
      <c r="AG1052">
        <v>93</v>
      </c>
      <c r="AH1052">
        <v>1</v>
      </c>
      <c r="AI1052">
        <v>1</v>
      </c>
      <c r="AJ1052">
        <v>30</v>
      </c>
      <c r="AK1052">
        <v>42</v>
      </c>
      <c r="AL1052" t="s">
        <v>329</v>
      </c>
      <c r="AM1052" t="s">
        <v>330</v>
      </c>
      <c r="AN1052" t="s">
        <v>331</v>
      </c>
      <c r="AO1052" t="s">
        <v>332</v>
      </c>
      <c r="AP1052" t="s">
        <v>333</v>
      </c>
      <c r="AQ1052" t="s">
        <v>74</v>
      </c>
      <c r="AR1052" t="s">
        <v>334</v>
      </c>
      <c r="AS1052" t="s">
        <v>335</v>
      </c>
      <c r="AT1052" t="s">
        <v>91</v>
      </c>
      <c r="AU1052">
        <v>2022</v>
      </c>
      <c r="AV1052">
        <v>145</v>
      </c>
      <c r="AW1052" t="s">
        <v>74</v>
      </c>
      <c r="AX1052" t="s">
        <v>74</v>
      </c>
      <c r="AY1052" t="s">
        <v>74</v>
      </c>
      <c r="AZ1052" t="s">
        <v>74</v>
      </c>
      <c r="BA1052" t="s">
        <v>74</v>
      </c>
      <c r="BB1052">
        <v>268</v>
      </c>
      <c r="BC1052">
        <v>276</v>
      </c>
      <c r="BD1052" t="s">
        <v>74</v>
      </c>
      <c r="BE1052" t="s">
        <v>17828</v>
      </c>
      <c r="BF1052" t="str">
        <f>HYPERLINK("http://dx.doi.org/10.1016/j.jbusres.2022.03.006","http://dx.doi.org/10.1016/j.jbusres.2022.03.006")</f>
        <v>http://dx.doi.org/10.1016/j.jbusres.2022.03.006</v>
      </c>
      <c r="BG1052" t="s">
        <v>74</v>
      </c>
      <c r="BH1052" t="s">
        <v>7969</v>
      </c>
      <c r="BI1052">
        <v>9</v>
      </c>
      <c r="BJ1052" t="s">
        <v>337</v>
      </c>
      <c r="BK1052" t="s">
        <v>94</v>
      </c>
      <c r="BL1052" t="s">
        <v>95</v>
      </c>
      <c r="BM1052" t="s">
        <v>17829</v>
      </c>
      <c r="BN1052" t="s">
        <v>74</v>
      </c>
      <c r="BO1052" t="s">
        <v>74</v>
      </c>
      <c r="BP1052" t="s">
        <v>74</v>
      </c>
      <c r="BQ1052" t="s">
        <v>74</v>
      </c>
      <c r="BR1052" t="s">
        <v>97</v>
      </c>
      <c r="BS1052" t="s">
        <v>17830</v>
      </c>
      <c r="BT1052" t="str">
        <f>HYPERLINK("https%3A%2F%2Fwww.webofscience.com%2Fwos%2Fwoscc%2Ffull-record%2FWOS:000804455800001","View Full Record in Web of Science")</f>
        <v>View Full Record in Web of Science</v>
      </c>
    </row>
    <row r="1053" spans="1:72" x14ac:dyDescent="0.25">
      <c r="A1053" t="s">
        <v>72</v>
      </c>
      <c r="B1053" t="s">
        <v>17831</v>
      </c>
      <c r="C1053" t="s">
        <v>74</v>
      </c>
      <c r="D1053" t="s">
        <v>74</v>
      </c>
      <c r="E1053" t="s">
        <v>74</v>
      </c>
      <c r="F1053" t="s">
        <v>17832</v>
      </c>
      <c r="G1053" t="s">
        <v>74</v>
      </c>
      <c r="H1053" t="s">
        <v>74</v>
      </c>
      <c r="I1053" t="s">
        <v>17833</v>
      </c>
      <c r="J1053" t="s">
        <v>2463</v>
      </c>
      <c r="K1053" t="s">
        <v>74</v>
      </c>
      <c r="L1053" t="s">
        <v>74</v>
      </c>
      <c r="M1053" t="s">
        <v>77</v>
      </c>
      <c r="N1053" t="s">
        <v>78</v>
      </c>
      <c r="O1053" t="s">
        <v>74</v>
      </c>
      <c r="P1053" t="s">
        <v>74</v>
      </c>
      <c r="Q1053" t="s">
        <v>74</v>
      </c>
      <c r="R1053" t="s">
        <v>74</v>
      </c>
      <c r="S1053" t="s">
        <v>74</v>
      </c>
      <c r="T1053" t="s">
        <v>17834</v>
      </c>
      <c r="U1053" t="s">
        <v>17835</v>
      </c>
      <c r="V1053" t="s">
        <v>17836</v>
      </c>
      <c r="W1053" t="s">
        <v>17837</v>
      </c>
      <c r="X1053" t="s">
        <v>17838</v>
      </c>
      <c r="Y1053" t="s">
        <v>17839</v>
      </c>
      <c r="Z1053" t="s">
        <v>17840</v>
      </c>
      <c r="AA1053" t="s">
        <v>74</v>
      </c>
      <c r="AB1053" t="s">
        <v>17841</v>
      </c>
      <c r="AC1053" t="s">
        <v>17842</v>
      </c>
      <c r="AD1053" t="s">
        <v>17842</v>
      </c>
      <c r="AE1053" t="s">
        <v>17843</v>
      </c>
      <c r="AF1053" t="s">
        <v>74</v>
      </c>
      <c r="AG1053">
        <v>94</v>
      </c>
      <c r="AH1053">
        <v>1</v>
      </c>
      <c r="AI1053">
        <v>1</v>
      </c>
      <c r="AJ1053">
        <v>6</v>
      </c>
      <c r="AK1053">
        <v>16</v>
      </c>
      <c r="AL1053" t="s">
        <v>2473</v>
      </c>
      <c r="AM1053" t="s">
        <v>2102</v>
      </c>
      <c r="AN1053" t="s">
        <v>2474</v>
      </c>
      <c r="AO1053" t="s">
        <v>74</v>
      </c>
      <c r="AP1053" t="s">
        <v>2475</v>
      </c>
      <c r="AQ1053" t="s">
        <v>74</v>
      </c>
      <c r="AR1053" t="s">
        <v>2476</v>
      </c>
      <c r="AS1053" t="s">
        <v>2477</v>
      </c>
      <c r="AT1053" t="s">
        <v>200</v>
      </c>
      <c r="AU1053">
        <v>2022</v>
      </c>
      <c r="AV1053">
        <v>14</v>
      </c>
      <c r="AW1053">
        <v>6</v>
      </c>
      <c r="AX1053" t="s">
        <v>74</v>
      </c>
      <c r="AY1053" t="s">
        <v>74</v>
      </c>
      <c r="AZ1053" t="s">
        <v>74</v>
      </c>
      <c r="BA1053" t="s">
        <v>74</v>
      </c>
      <c r="BB1053" t="s">
        <v>74</v>
      </c>
      <c r="BC1053" t="s">
        <v>74</v>
      </c>
      <c r="BD1053">
        <v>3230</v>
      </c>
      <c r="BE1053" t="s">
        <v>17844</v>
      </c>
      <c r="BF1053" t="str">
        <f>HYPERLINK("http://dx.doi.org/10.3390/su14063230","http://dx.doi.org/10.3390/su14063230")</f>
        <v>http://dx.doi.org/10.3390/su14063230</v>
      </c>
      <c r="BG1053" t="s">
        <v>74</v>
      </c>
      <c r="BH1053" t="s">
        <v>74</v>
      </c>
      <c r="BI1053">
        <v>15</v>
      </c>
      <c r="BJ1053" t="s">
        <v>2479</v>
      </c>
      <c r="BK1053" t="s">
        <v>147</v>
      </c>
      <c r="BL1053" t="s">
        <v>2480</v>
      </c>
      <c r="BM1053" t="s">
        <v>17845</v>
      </c>
      <c r="BN1053" t="s">
        <v>74</v>
      </c>
      <c r="BO1053" t="s">
        <v>2482</v>
      </c>
      <c r="BP1053" t="s">
        <v>74</v>
      </c>
      <c r="BQ1053" t="s">
        <v>74</v>
      </c>
      <c r="BR1053" t="s">
        <v>97</v>
      </c>
      <c r="BS1053" t="s">
        <v>17846</v>
      </c>
      <c r="BT1053" t="str">
        <f>HYPERLINK("https%3A%2F%2Fwww.webofscience.com%2Fwos%2Fwoscc%2Ffull-record%2FWOS:000774381100001","View Full Record in Web of Science")</f>
        <v>View Full Record in Web of Science</v>
      </c>
    </row>
    <row r="1054" spans="1:72" x14ac:dyDescent="0.25">
      <c r="A1054" t="s">
        <v>72</v>
      </c>
      <c r="B1054" t="s">
        <v>17847</v>
      </c>
      <c r="C1054" t="s">
        <v>74</v>
      </c>
      <c r="D1054" t="s">
        <v>74</v>
      </c>
      <c r="E1054" t="s">
        <v>74</v>
      </c>
      <c r="F1054" t="s">
        <v>17848</v>
      </c>
      <c r="G1054" t="s">
        <v>74</v>
      </c>
      <c r="H1054" t="s">
        <v>74</v>
      </c>
      <c r="I1054" t="s">
        <v>17849</v>
      </c>
      <c r="J1054" t="s">
        <v>2463</v>
      </c>
      <c r="K1054" t="s">
        <v>74</v>
      </c>
      <c r="L1054" t="s">
        <v>74</v>
      </c>
      <c r="M1054" t="s">
        <v>77</v>
      </c>
      <c r="N1054" t="s">
        <v>78</v>
      </c>
      <c r="O1054" t="s">
        <v>74</v>
      </c>
      <c r="P1054" t="s">
        <v>74</v>
      </c>
      <c r="Q1054" t="s">
        <v>74</v>
      </c>
      <c r="R1054" t="s">
        <v>74</v>
      </c>
      <c r="S1054" t="s">
        <v>74</v>
      </c>
      <c r="T1054" t="s">
        <v>17850</v>
      </c>
      <c r="U1054" t="s">
        <v>17851</v>
      </c>
      <c r="V1054" t="s">
        <v>17852</v>
      </c>
      <c r="W1054" t="s">
        <v>17853</v>
      </c>
      <c r="X1054" t="s">
        <v>17854</v>
      </c>
      <c r="Y1054" t="s">
        <v>17855</v>
      </c>
      <c r="Z1054" t="s">
        <v>17856</v>
      </c>
      <c r="AA1054" t="s">
        <v>74</v>
      </c>
      <c r="AB1054" t="s">
        <v>74</v>
      </c>
      <c r="AC1054" t="s">
        <v>17857</v>
      </c>
      <c r="AD1054" t="s">
        <v>17858</v>
      </c>
      <c r="AE1054" t="s">
        <v>17859</v>
      </c>
      <c r="AF1054" t="s">
        <v>74</v>
      </c>
      <c r="AG1054">
        <v>56</v>
      </c>
      <c r="AH1054">
        <v>1</v>
      </c>
      <c r="AI1054">
        <v>1</v>
      </c>
      <c r="AJ1054">
        <v>19</v>
      </c>
      <c r="AK1054">
        <v>42</v>
      </c>
      <c r="AL1054" t="s">
        <v>2473</v>
      </c>
      <c r="AM1054" t="s">
        <v>2102</v>
      </c>
      <c r="AN1054" t="s">
        <v>2474</v>
      </c>
      <c r="AO1054" t="s">
        <v>74</v>
      </c>
      <c r="AP1054" t="s">
        <v>2475</v>
      </c>
      <c r="AQ1054" t="s">
        <v>74</v>
      </c>
      <c r="AR1054" t="s">
        <v>2476</v>
      </c>
      <c r="AS1054" t="s">
        <v>2477</v>
      </c>
      <c r="AT1054" t="s">
        <v>200</v>
      </c>
      <c r="AU1054">
        <v>2022</v>
      </c>
      <c r="AV1054">
        <v>14</v>
      </c>
      <c r="AW1054">
        <v>6</v>
      </c>
      <c r="AX1054" t="s">
        <v>74</v>
      </c>
      <c r="AY1054" t="s">
        <v>74</v>
      </c>
      <c r="AZ1054" t="s">
        <v>74</v>
      </c>
      <c r="BA1054" t="s">
        <v>74</v>
      </c>
      <c r="BB1054" t="s">
        <v>74</v>
      </c>
      <c r="BC1054" t="s">
        <v>74</v>
      </c>
      <c r="BD1054">
        <v>3493</v>
      </c>
      <c r="BE1054" t="s">
        <v>17860</v>
      </c>
      <c r="BF1054" t="str">
        <f>HYPERLINK("http://dx.doi.org/10.3390/su14063493","http://dx.doi.org/10.3390/su14063493")</f>
        <v>http://dx.doi.org/10.3390/su14063493</v>
      </c>
      <c r="BG1054" t="s">
        <v>74</v>
      </c>
      <c r="BH1054" t="s">
        <v>74</v>
      </c>
      <c r="BI1054">
        <v>18</v>
      </c>
      <c r="BJ1054" t="s">
        <v>2479</v>
      </c>
      <c r="BK1054" t="s">
        <v>147</v>
      </c>
      <c r="BL1054" t="s">
        <v>2480</v>
      </c>
      <c r="BM1054" t="s">
        <v>17861</v>
      </c>
      <c r="BN1054" t="s">
        <v>74</v>
      </c>
      <c r="BO1054" t="s">
        <v>2482</v>
      </c>
      <c r="BP1054" t="s">
        <v>74</v>
      </c>
      <c r="BQ1054" t="s">
        <v>74</v>
      </c>
      <c r="BR1054" t="s">
        <v>97</v>
      </c>
      <c r="BS1054" t="s">
        <v>17862</v>
      </c>
      <c r="BT1054" t="str">
        <f>HYPERLINK("https%3A%2F%2Fwww.webofscience.com%2Fwos%2Fwoscc%2Ffull-record%2FWOS:000774433200001","View Full Record in Web of Science")</f>
        <v>View Full Record in Web of Science</v>
      </c>
    </row>
    <row r="1055" spans="1:72" x14ac:dyDescent="0.25">
      <c r="A1055" t="s">
        <v>72</v>
      </c>
      <c r="B1055" t="s">
        <v>17863</v>
      </c>
      <c r="C1055" t="s">
        <v>74</v>
      </c>
      <c r="D1055" t="s">
        <v>74</v>
      </c>
      <c r="E1055" t="s">
        <v>74</v>
      </c>
      <c r="F1055" t="s">
        <v>17864</v>
      </c>
      <c r="G1055" t="s">
        <v>74</v>
      </c>
      <c r="H1055" t="s">
        <v>74</v>
      </c>
      <c r="I1055" t="s">
        <v>17865</v>
      </c>
      <c r="J1055" t="s">
        <v>9332</v>
      </c>
      <c r="K1055" t="s">
        <v>74</v>
      </c>
      <c r="L1055" t="s">
        <v>74</v>
      </c>
      <c r="M1055" t="s">
        <v>77</v>
      </c>
      <c r="N1055" t="s">
        <v>10095</v>
      </c>
      <c r="O1055" t="s">
        <v>74</v>
      </c>
      <c r="P1055" t="s">
        <v>74</v>
      </c>
      <c r="Q1055" t="s">
        <v>74</v>
      </c>
      <c r="R1055" t="s">
        <v>74</v>
      </c>
      <c r="S1055" t="s">
        <v>74</v>
      </c>
      <c r="T1055" t="s">
        <v>17866</v>
      </c>
      <c r="U1055" t="s">
        <v>17867</v>
      </c>
      <c r="V1055" t="s">
        <v>17868</v>
      </c>
      <c r="W1055" t="s">
        <v>17869</v>
      </c>
      <c r="X1055" t="s">
        <v>17870</v>
      </c>
      <c r="Y1055" t="s">
        <v>17871</v>
      </c>
      <c r="Z1055" t="s">
        <v>17872</v>
      </c>
      <c r="AA1055" t="s">
        <v>74</v>
      </c>
      <c r="AB1055" t="s">
        <v>74</v>
      </c>
      <c r="AC1055" t="s">
        <v>74</v>
      </c>
      <c r="AD1055" t="s">
        <v>74</v>
      </c>
      <c r="AE1055" t="s">
        <v>74</v>
      </c>
      <c r="AF1055" t="s">
        <v>74</v>
      </c>
      <c r="AG1055">
        <v>121</v>
      </c>
      <c r="AH1055">
        <v>1</v>
      </c>
      <c r="AI1055">
        <v>1</v>
      </c>
      <c r="AJ1055">
        <v>9</v>
      </c>
      <c r="AK1055">
        <v>37</v>
      </c>
      <c r="AL1055" t="s">
        <v>766</v>
      </c>
      <c r="AM1055" t="s">
        <v>330</v>
      </c>
      <c r="AN1055" t="s">
        <v>1452</v>
      </c>
      <c r="AO1055" t="s">
        <v>9344</v>
      </c>
      <c r="AP1055" t="s">
        <v>9345</v>
      </c>
      <c r="AQ1055" t="s">
        <v>74</v>
      </c>
      <c r="AR1055" t="s">
        <v>9346</v>
      </c>
      <c r="AS1055" t="s">
        <v>9347</v>
      </c>
      <c r="AT1055" t="s">
        <v>74</v>
      </c>
      <c r="AU1055" t="s">
        <v>74</v>
      </c>
      <c r="AV1055" t="s">
        <v>74</v>
      </c>
      <c r="AW1055" t="s">
        <v>74</v>
      </c>
      <c r="AX1055" t="s">
        <v>74</v>
      </c>
      <c r="AY1055" t="s">
        <v>74</v>
      </c>
      <c r="AZ1055" t="s">
        <v>74</v>
      </c>
      <c r="BA1055" t="s">
        <v>74</v>
      </c>
      <c r="BB1055" t="s">
        <v>74</v>
      </c>
      <c r="BC1055" t="s">
        <v>74</v>
      </c>
      <c r="BD1055" t="s">
        <v>74</v>
      </c>
      <c r="BE1055" t="s">
        <v>17873</v>
      </c>
      <c r="BF1055" t="str">
        <f>HYPERLINK("http://dx.doi.org/10.1007/s12144-022-02855-z","http://dx.doi.org/10.1007/s12144-022-02855-z")</f>
        <v>http://dx.doi.org/10.1007/s12144-022-02855-z</v>
      </c>
      <c r="BG1055" t="s">
        <v>74</v>
      </c>
      <c r="BH1055" t="s">
        <v>10089</v>
      </c>
      <c r="BI1055">
        <v>16</v>
      </c>
      <c r="BJ1055" t="s">
        <v>3203</v>
      </c>
      <c r="BK1055" t="s">
        <v>94</v>
      </c>
      <c r="BL1055" t="s">
        <v>460</v>
      </c>
      <c r="BM1055" t="s">
        <v>17874</v>
      </c>
      <c r="BN1055" t="s">
        <v>74</v>
      </c>
      <c r="BO1055" t="s">
        <v>74</v>
      </c>
      <c r="BP1055" t="s">
        <v>74</v>
      </c>
      <c r="BQ1055" t="s">
        <v>74</v>
      </c>
      <c r="BR1055" t="s">
        <v>97</v>
      </c>
      <c r="BS1055" t="s">
        <v>17875</v>
      </c>
      <c r="BT1055" t="str">
        <f>HYPERLINK("https%3A%2F%2Fwww.webofscience.com%2Fwos%2Fwoscc%2Ffull-record%2FWOS:000753309900004","View Full Record in Web of Science")</f>
        <v>View Full Record in Web of Science</v>
      </c>
    </row>
    <row r="1056" spans="1:72" x14ac:dyDescent="0.25">
      <c r="A1056" t="s">
        <v>72</v>
      </c>
      <c r="B1056" t="s">
        <v>17876</v>
      </c>
      <c r="C1056" t="s">
        <v>74</v>
      </c>
      <c r="D1056" t="s">
        <v>74</v>
      </c>
      <c r="E1056" t="s">
        <v>74</v>
      </c>
      <c r="F1056" t="s">
        <v>17877</v>
      </c>
      <c r="G1056" t="s">
        <v>74</v>
      </c>
      <c r="H1056" t="s">
        <v>74</v>
      </c>
      <c r="I1056" t="s">
        <v>17878</v>
      </c>
      <c r="J1056" t="s">
        <v>2059</v>
      </c>
      <c r="K1056" t="s">
        <v>74</v>
      </c>
      <c r="L1056" t="s">
        <v>74</v>
      </c>
      <c r="M1056" t="s">
        <v>77</v>
      </c>
      <c r="N1056" t="s">
        <v>78</v>
      </c>
      <c r="O1056" t="s">
        <v>74</v>
      </c>
      <c r="P1056" t="s">
        <v>74</v>
      </c>
      <c r="Q1056" t="s">
        <v>74</v>
      </c>
      <c r="R1056" t="s">
        <v>74</v>
      </c>
      <c r="S1056" t="s">
        <v>74</v>
      </c>
      <c r="T1056" t="s">
        <v>17879</v>
      </c>
      <c r="U1056" t="s">
        <v>17880</v>
      </c>
      <c r="V1056" t="s">
        <v>17881</v>
      </c>
      <c r="W1056" t="s">
        <v>17882</v>
      </c>
      <c r="X1056" t="s">
        <v>17883</v>
      </c>
      <c r="Y1056" t="s">
        <v>17884</v>
      </c>
      <c r="Z1056" t="s">
        <v>17885</v>
      </c>
      <c r="AA1056" t="s">
        <v>74</v>
      </c>
      <c r="AB1056" t="s">
        <v>74</v>
      </c>
      <c r="AC1056" t="s">
        <v>17886</v>
      </c>
      <c r="AD1056" t="s">
        <v>17887</v>
      </c>
      <c r="AE1056" t="s">
        <v>17888</v>
      </c>
      <c r="AF1056" t="s">
        <v>74</v>
      </c>
      <c r="AG1056">
        <v>36</v>
      </c>
      <c r="AH1056">
        <v>1</v>
      </c>
      <c r="AI1056">
        <v>1</v>
      </c>
      <c r="AJ1056">
        <v>6</v>
      </c>
      <c r="AK1056">
        <v>25</v>
      </c>
      <c r="AL1056" t="s">
        <v>2067</v>
      </c>
      <c r="AM1056" t="s">
        <v>2068</v>
      </c>
      <c r="AN1056" t="s">
        <v>2069</v>
      </c>
      <c r="AO1056" t="s">
        <v>2070</v>
      </c>
      <c r="AP1056" t="s">
        <v>2071</v>
      </c>
      <c r="AQ1056" t="s">
        <v>74</v>
      </c>
      <c r="AR1056" t="s">
        <v>2072</v>
      </c>
      <c r="AS1056" t="s">
        <v>2073</v>
      </c>
      <c r="AT1056" t="s">
        <v>405</v>
      </c>
      <c r="AU1056">
        <v>2022</v>
      </c>
      <c r="AV1056">
        <v>50</v>
      </c>
      <c r="AW1056">
        <v>2</v>
      </c>
      <c r="AX1056" t="s">
        <v>74</v>
      </c>
      <c r="AY1056" t="s">
        <v>74</v>
      </c>
      <c r="AZ1056" t="s">
        <v>74</v>
      </c>
      <c r="BA1056" t="s">
        <v>74</v>
      </c>
      <c r="BB1056" t="s">
        <v>74</v>
      </c>
      <c r="BC1056" t="s">
        <v>74</v>
      </c>
      <c r="BD1056" t="s">
        <v>17889</v>
      </c>
      <c r="BE1056" t="s">
        <v>17890</v>
      </c>
      <c r="BF1056" t="str">
        <f>HYPERLINK("http://dx.doi.org/10.2224/sbp.10986","http://dx.doi.org/10.2224/sbp.10986")</f>
        <v>http://dx.doi.org/10.2224/sbp.10986</v>
      </c>
      <c r="BG1056" t="s">
        <v>74</v>
      </c>
      <c r="BH1056" t="s">
        <v>74</v>
      </c>
      <c r="BI1056">
        <v>8</v>
      </c>
      <c r="BJ1056" t="s">
        <v>459</v>
      </c>
      <c r="BK1056" t="s">
        <v>94</v>
      </c>
      <c r="BL1056" t="s">
        <v>460</v>
      </c>
      <c r="BM1056" t="s">
        <v>17891</v>
      </c>
      <c r="BN1056" t="s">
        <v>74</v>
      </c>
      <c r="BO1056" t="s">
        <v>74</v>
      </c>
      <c r="BP1056" t="s">
        <v>74</v>
      </c>
      <c r="BQ1056" t="s">
        <v>74</v>
      </c>
      <c r="BR1056" t="s">
        <v>97</v>
      </c>
      <c r="BS1056" t="s">
        <v>17892</v>
      </c>
      <c r="BT1056" t="str">
        <f>HYPERLINK("https%3A%2F%2Fwww.webofscience.com%2Fwos%2Fwoscc%2Ffull-record%2FWOS:000759413900008","View Full Record in Web of Science")</f>
        <v>View Full Record in Web of Science</v>
      </c>
    </row>
    <row r="1057" spans="1:72" x14ac:dyDescent="0.25">
      <c r="A1057" t="s">
        <v>72</v>
      </c>
      <c r="B1057" t="s">
        <v>17893</v>
      </c>
      <c r="C1057" t="s">
        <v>74</v>
      </c>
      <c r="D1057" t="s">
        <v>74</v>
      </c>
      <c r="E1057" t="s">
        <v>74</v>
      </c>
      <c r="F1057" t="s">
        <v>17894</v>
      </c>
      <c r="G1057" t="s">
        <v>74</v>
      </c>
      <c r="H1057" t="s">
        <v>74</v>
      </c>
      <c r="I1057" t="s">
        <v>17895</v>
      </c>
      <c r="J1057" t="s">
        <v>3184</v>
      </c>
      <c r="K1057" t="s">
        <v>74</v>
      </c>
      <c r="L1057" t="s">
        <v>74</v>
      </c>
      <c r="M1057" t="s">
        <v>77</v>
      </c>
      <c r="N1057" t="s">
        <v>78</v>
      </c>
      <c r="O1057" t="s">
        <v>74</v>
      </c>
      <c r="P1057" t="s">
        <v>74</v>
      </c>
      <c r="Q1057" t="s">
        <v>74</v>
      </c>
      <c r="R1057" t="s">
        <v>74</v>
      </c>
      <c r="S1057" t="s">
        <v>74</v>
      </c>
      <c r="T1057" t="s">
        <v>17896</v>
      </c>
      <c r="U1057" t="s">
        <v>17897</v>
      </c>
      <c r="V1057" t="s">
        <v>17898</v>
      </c>
      <c r="W1057" t="s">
        <v>17899</v>
      </c>
      <c r="X1057" t="s">
        <v>17900</v>
      </c>
      <c r="Y1057" t="s">
        <v>17901</v>
      </c>
      <c r="Z1057" t="s">
        <v>17902</v>
      </c>
      <c r="AA1057" t="s">
        <v>74</v>
      </c>
      <c r="AB1057" t="s">
        <v>74</v>
      </c>
      <c r="AC1057" t="s">
        <v>17903</v>
      </c>
      <c r="AD1057" t="s">
        <v>17904</v>
      </c>
      <c r="AE1057" t="s">
        <v>17905</v>
      </c>
      <c r="AF1057" t="s">
        <v>74</v>
      </c>
      <c r="AG1057">
        <v>113</v>
      </c>
      <c r="AH1057">
        <v>1</v>
      </c>
      <c r="AI1057">
        <v>1</v>
      </c>
      <c r="AJ1057">
        <v>21</v>
      </c>
      <c r="AK1057">
        <v>67</v>
      </c>
      <c r="AL1057" t="s">
        <v>3195</v>
      </c>
      <c r="AM1057" t="s">
        <v>3196</v>
      </c>
      <c r="AN1057" t="s">
        <v>3197</v>
      </c>
      <c r="AO1057" t="s">
        <v>3198</v>
      </c>
      <c r="AP1057" t="s">
        <v>74</v>
      </c>
      <c r="AQ1057" t="s">
        <v>74</v>
      </c>
      <c r="AR1057" t="s">
        <v>3199</v>
      </c>
      <c r="AS1057" t="s">
        <v>3200</v>
      </c>
      <c r="AT1057" t="s">
        <v>17906</v>
      </c>
      <c r="AU1057">
        <v>2022</v>
      </c>
      <c r="AV1057">
        <v>12</v>
      </c>
      <c r="AW1057" t="s">
        <v>74</v>
      </c>
      <c r="AX1057" t="s">
        <v>74</v>
      </c>
      <c r="AY1057" t="s">
        <v>74</v>
      </c>
      <c r="AZ1057" t="s">
        <v>74</v>
      </c>
      <c r="BA1057" t="s">
        <v>74</v>
      </c>
      <c r="BB1057" t="s">
        <v>74</v>
      </c>
      <c r="BC1057" t="s">
        <v>74</v>
      </c>
      <c r="BD1057">
        <v>777657</v>
      </c>
      <c r="BE1057" t="s">
        <v>17907</v>
      </c>
      <c r="BF1057" t="str">
        <f>HYPERLINK("http://dx.doi.org/10.3389/fpsyg.2021.777657","http://dx.doi.org/10.3389/fpsyg.2021.777657")</f>
        <v>http://dx.doi.org/10.3389/fpsyg.2021.777657</v>
      </c>
      <c r="BG1057" t="s">
        <v>74</v>
      </c>
      <c r="BH1057" t="s">
        <v>74</v>
      </c>
      <c r="BI1057">
        <v>16</v>
      </c>
      <c r="BJ1057" t="s">
        <v>3203</v>
      </c>
      <c r="BK1057" t="s">
        <v>94</v>
      </c>
      <c r="BL1057" t="s">
        <v>460</v>
      </c>
      <c r="BM1057" t="s">
        <v>17908</v>
      </c>
      <c r="BN1057">
        <v>35173648</v>
      </c>
      <c r="BO1057" t="s">
        <v>3205</v>
      </c>
      <c r="BP1057" t="s">
        <v>74</v>
      </c>
      <c r="BQ1057" t="s">
        <v>74</v>
      </c>
      <c r="BR1057" t="s">
        <v>97</v>
      </c>
      <c r="BS1057" t="s">
        <v>17909</v>
      </c>
      <c r="BT1057" t="str">
        <f>HYPERLINK("https%3A%2F%2Fwww.webofscience.com%2Fwos%2Fwoscc%2Ffull-record%2FWOS:000756552800001","View Full Record in Web of Science")</f>
        <v>View Full Record in Web of Science</v>
      </c>
    </row>
    <row r="1058" spans="1:72" x14ac:dyDescent="0.25">
      <c r="A1058" t="s">
        <v>72</v>
      </c>
      <c r="B1058" t="s">
        <v>17910</v>
      </c>
      <c r="C1058" t="s">
        <v>74</v>
      </c>
      <c r="D1058" t="s">
        <v>74</v>
      </c>
      <c r="E1058" t="s">
        <v>74</v>
      </c>
      <c r="F1058" t="s">
        <v>17911</v>
      </c>
      <c r="G1058" t="s">
        <v>74</v>
      </c>
      <c r="H1058" t="s">
        <v>74</v>
      </c>
      <c r="I1058" t="s">
        <v>17912</v>
      </c>
      <c r="J1058" t="s">
        <v>17913</v>
      </c>
      <c r="K1058" t="s">
        <v>74</v>
      </c>
      <c r="L1058" t="s">
        <v>74</v>
      </c>
      <c r="M1058" t="s">
        <v>77</v>
      </c>
      <c r="N1058" t="s">
        <v>10095</v>
      </c>
      <c r="O1058" t="s">
        <v>74</v>
      </c>
      <c r="P1058" t="s">
        <v>74</v>
      </c>
      <c r="Q1058" t="s">
        <v>74</v>
      </c>
      <c r="R1058" t="s">
        <v>74</v>
      </c>
      <c r="S1058" t="s">
        <v>74</v>
      </c>
      <c r="T1058" t="s">
        <v>17914</v>
      </c>
      <c r="U1058" t="s">
        <v>17915</v>
      </c>
      <c r="V1058" t="s">
        <v>17916</v>
      </c>
      <c r="W1058" t="s">
        <v>17917</v>
      </c>
      <c r="X1058" t="s">
        <v>5383</v>
      </c>
      <c r="Y1058" t="s">
        <v>17918</v>
      </c>
      <c r="Z1058" t="s">
        <v>17919</v>
      </c>
      <c r="AA1058" t="s">
        <v>17920</v>
      </c>
      <c r="AB1058" t="s">
        <v>17921</v>
      </c>
      <c r="AC1058" t="s">
        <v>74</v>
      </c>
      <c r="AD1058" t="s">
        <v>74</v>
      </c>
      <c r="AE1058" t="s">
        <v>74</v>
      </c>
      <c r="AF1058" t="s">
        <v>74</v>
      </c>
      <c r="AG1058">
        <v>58</v>
      </c>
      <c r="AH1058">
        <v>1</v>
      </c>
      <c r="AI1058">
        <v>1</v>
      </c>
      <c r="AJ1058">
        <v>9</v>
      </c>
      <c r="AK1058">
        <v>22</v>
      </c>
      <c r="AL1058" t="s">
        <v>350</v>
      </c>
      <c r="AM1058" t="s">
        <v>351</v>
      </c>
      <c r="AN1058" t="s">
        <v>352</v>
      </c>
      <c r="AO1058" t="s">
        <v>17922</v>
      </c>
      <c r="AP1058" t="s">
        <v>17923</v>
      </c>
      <c r="AQ1058" t="s">
        <v>74</v>
      </c>
      <c r="AR1058" t="s">
        <v>17924</v>
      </c>
      <c r="AS1058" t="s">
        <v>17925</v>
      </c>
      <c r="AT1058" t="s">
        <v>74</v>
      </c>
      <c r="AU1058" t="s">
        <v>74</v>
      </c>
      <c r="AV1058" t="s">
        <v>74</v>
      </c>
      <c r="AW1058" t="s">
        <v>74</v>
      </c>
      <c r="AX1058" t="s">
        <v>74</v>
      </c>
      <c r="AY1058" t="s">
        <v>74</v>
      </c>
      <c r="AZ1058" t="s">
        <v>74</v>
      </c>
      <c r="BA1058" t="s">
        <v>74</v>
      </c>
      <c r="BB1058" t="s">
        <v>74</v>
      </c>
      <c r="BC1058" t="s">
        <v>74</v>
      </c>
      <c r="BD1058">
        <v>332941211069517</v>
      </c>
      <c r="BE1058" t="s">
        <v>17926</v>
      </c>
      <c r="BF1058" t="str">
        <f>HYPERLINK("http://dx.doi.org/10.1177/00332941211069517","http://dx.doi.org/10.1177/00332941211069517")</f>
        <v>http://dx.doi.org/10.1177/00332941211069517</v>
      </c>
      <c r="BG1058" t="s">
        <v>74</v>
      </c>
      <c r="BH1058" t="s">
        <v>9259</v>
      </c>
      <c r="BI1058">
        <v>22</v>
      </c>
      <c r="BJ1058" t="s">
        <v>3203</v>
      </c>
      <c r="BK1058" t="s">
        <v>94</v>
      </c>
      <c r="BL1058" t="s">
        <v>460</v>
      </c>
      <c r="BM1058" t="s">
        <v>17927</v>
      </c>
      <c r="BN1058">
        <v>35084238</v>
      </c>
      <c r="BO1058" t="s">
        <v>74</v>
      </c>
      <c r="BP1058" t="s">
        <v>74</v>
      </c>
      <c r="BQ1058" t="s">
        <v>74</v>
      </c>
      <c r="BR1058" t="s">
        <v>97</v>
      </c>
      <c r="BS1058" t="s">
        <v>17928</v>
      </c>
      <c r="BT1058" t="str">
        <f>HYPERLINK("https%3A%2F%2Fwww.webofscience.com%2Fwos%2Fwoscc%2Ffull-record%2FWOS:000765440000001","View Full Record in Web of Science")</f>
        <v>View Full Record in Web of Science</v>
      </c>
    </row>
    <row r="1059" spans="1:72" x14ac:dyDescent="0.25">
      <c r="A1059" t="s">
        <v>72</v>
      </c>
      <c r="B1059" t="s">
        <v>17929</v>
      </c>
      <c r="C1059" t="s">
        <v>74</v>
      </c>
      <c r="D1059" t="s">
        <v>74</v>
      </c>
      <c r="E1059" t="s">
        <v>74</v>
      </c>
      <c r="F1059" t="s">
        <v>17930</v>
      </c>
      <c r="G1059" t="s">
        <v>74</v>
      </c>
      <c r="H1059" t="s">
        <v>74</v>
      </c>
      <c r="I1059" t="s">
        <v>17931</v>
      </c>
      <c r="J1059" t="s">
        <v>17932</v>
      </c>
      <c r="K1059" t="s">
        <v>74</v>
      </c>
      <c r="L1059" t="s">
        <v>74</v>
      </c>
      <c r="M1059" t="s">
        <v>77</v>
      </c>
      <c r="N1059" t="s">
        <v>78</v>
      </c>
      <c r="O1059" t="s">
        <v>74</v>
      </c>
      <c r="P1059" t="s">
        <v>74</v>
      </c>
      <c r="Q1059" t="s">
        <v>74</v>
      </c>
      <c r="R1059" t="s">
        <v>74</v>
      </c>
      <c r="S1059" t="s">
        <v>74</v>
      </c>
      <c r="T1059" t="s">
        <v>17933</v>
      </c>
      <c r="U1059" t="s">
        <v>17934</v>
      </c>
      <c r="V1059" t="s">
        <v>17935</v>
      </c>
      <c r="W1059" t="s">
        <v>17936</v>
      </c>
      <c r="X1059" t="s">
        <v>17937</v>
      </c>
      <c r="Y1059" t="s">
        <v>17938</v>
      </c>
      <c r="Z1059" t="s">
        <v>17939</v>
      </c>
      <c r="AA1059" t="s">
        <v>74</v>
      </c>
      <c r="AB1059" t="s">
        <v>17940</v>
      </c>
      <c r="AC1059" t="s">
        <v>74</v>
      </c>
      <c r="AD1059" t="s">
        <v>74</v>
      </c>
      <c r="AE1059" t="s">
        <v>74</v>
      </c>
      <c r="AF1059" t="s">
        <v>74</v>
      </c>
      <c r="AG1059">
        <v>90</v>
      </c>
      <c r="AH1059">
        <v>1</v>
      </c>
      <c r="AI1059">
        <v>1</v>
      </c>
      <c r="AJ1059">
        <v>32</v>
      </c>
      <c r="AK1059">
        <v>93</v>
      </c>
      <c r="AL1059" t="s">
        <v>766</v>
      </c>
      <c r="AM1059" t="s">
        <v>330</v>
      </c>
      <c r="AN1059" t="s">
        <v>1452</v>
      </c>
      <c r="AO1059" t="s">
        <v>17941</v>
      </c>
      <c r="AP1059" t="s">
        <v>17942</v>
      </c>
      <c r="AQ1059" t="s">
        <v>74</v>
      </c>
      <c r="AR1059" t="s">
        <v>17943</v>
      </c>
      <c r="AS1059" t="s">
        <v>17944</v>
      </c>
      <c r="AT1059" t="s">
        <v>165</v>
      </c>
      <c r="AU1059">
        <v>2022</v>
      </c>
      <c r="AV1059">
        <v>27</v>
      </c>
      <c r="AW1059">
        <v>4</v>
      </c>
      <c r="AX1059" t="s">
        <v>74</v>
      </c>
      <c r="AY1059" t="s">
        <v>74</v>
      </c>
      <c r="AZ1059" t="s">
        <v>74</v>
      </c>
      <c r="BA1059" t="s">
        <v>74</v>
      </c>
      <c r="BB1059">
        <v>5325</v>
      </c>
      <c r="BC1059">
        <v>5348</v>
      </c>
      <c r="BD1059" t="s">
        <v>74</v>
      </c>
      <c r="BE1059" t="s">
        <v>17945</v>
      </c>
      <c r="BF1059" t="str">
        <f>HYPERLINK("http://dx.doi.org/10.1007/s10639-021-10815-6","http://dx.doi.org/10.1007/s10639-021-10815-6")</f>
        <v>http://dx.doi.org/10.1007/s10639-021-10815-6</v>
      </c>
      <c r="BG1059" t="s">
        <v>74</v>
      </c>
      <c r="BH1059" t="s">
        <v>9259</v>
      </c>
      <c r="BI1059">
        <v>24</v>
      </c>
      <c r="BJ1059" t="s">
        <v>815</v>
      </c>
      <c r="BK1059" t="s">
        <v>94</v>
      </c>
      <c r="BL1059" t="s">
        <v>815</v>
      </c>
      <c r="BM1059" t="s">
        <v>17946</v>
      </c>
      <c r="BN1059" t="s">
        <v>74</v>
      </c>
      <c r="BO1059" t="s">
        <v>74</v>
      </c>
      <c r="BP1059" t="s">
        <v>74</v>
      </c>
      <c r="BQ1059" t="s">
        <v>74</v>
      </c>
      <c r="BR1059" t="s">
        <v>97</v>
      </c>
      <c r="BS1059" t="s">
        <v>17947</v>
      </c>
      <c r="BT1059" t="str">
        <f>HYPERLINK("https%3A%2F%2Fwww.webofscience.com%2Fwos%2Fwoscc%2Ffull-record%2FWOS:000744872500005","View Full Record in Web of Science")</f>
        <v>View Full Record in Web of Science</v>
      </c>
    </row>
    <row r="1060" spans="1:72" x14ac:dyDescent="0.25">
      <c r="A1060" t="s">
        <v>72</v>
      </c>
      <c r="B1060" t="s">
        <v>17948</v>
      </c>
      <c r="C1060" t="s">
        <v>74</v>
      </c>
      <c r="D1060" t="s">
        <v>74</v>
      </c>
      <c r="E1060" t="s">
        <v>74</v>
      </c>
      <c r="F1060" t="s">
        <v>17949</v>
      </c>
      <c r="G1060" t="s">
        <v>74</v>
      </c>
      <c r="H1060" t="s">
        <v>74</v>
      </c>
      <c r="I1060" t="s">
        <v>17950</v>
      </c>
      <c r="J1060" t="s">
        <v>17951</v>
      </c>
      <c r="K1060" t="s">
        <v>74</v>
      </c>
      <c r="L1060" t="s">
        <v>74</v>
      </c>
      <c r="M1060" t="s">
        <v>77</v>
      </c>
      <c r="N1060" t="s">
        <v>78</v>
      </c>
      <c r="O1060" t="s">
        <v>74</v>
      </c>
      <c r="P1060" t="s">
        <v>74</v>
      </c>
      <c r="Q1060" t="s">
        <v>74</v>
      </c>
      <c r="R1060" t="s">
        <v>74</v>
      </c>
      <c r="S1060" t="s">
        <v>74</v>
      </c>
      <c r="T1060" t="s">
        <v>17952</v>
      </c>
      <c r="U1060" t="s">
        <v>17953</v>
      </c>
      <c r="V1060" t="s">
        <v>17954</v>
      </c>
      <c r="W1060" t="s">
        <v>17955</v>
      </c>
      <c r="X1060" t="s">
        <v>74</v>
      </c>
      <c r="Y1060" t="s">
        <v>17956</v>
      </c>
      <c r="Z1060" t="s">
        <v>17957</v>
      </c>
      <c r="AA1060" t="s">
        <v>74</v>
      </c>
      <c r="AB1060" t="s">
        <v>74</v>
      </c>
      <c r="AC1060" t="s">
        <v>74</v>
      </c>
      <c r="AD1060" t="s">
        <v>74</v>
      </c>
      <c r="AE1060" t="s">
        <v>74</v>
      </c>
      <c r="AF1060" t="s">
        <v>74</v>
      </c>
      <c r="AG1060">
        <v>64</v>
      </c>
      <c r="AH1060">
        <v>1</v>
      </c>
      <c r="AI1060">
        <v>1</v>
      </c>
      <c r="AJ1060">
        <v>4</v>
      </c>
      <c r="AK1060">
        <v>9</v>
      </c>
      <c r="AL1060" t="s">
        <v>2304</v>
      </c>
      <c r="AM1060" t="s">
        <v>160</v>
      </c>
      <c r="AN1060" t="s">
        <v>2305</v>
      </c>
      <c r="AO1060" t="s">
        <v>17958</v>
      </c>
      <c r="AP1060" t="s">
        <v>17959</v>
      </c>
      <c r="AQ1060" t="s">
        <v>74</v>
      </c>
      <c r="AR1060" t="s">
        <v>17960</v>
      </c>
      <c r="AS1060" t="s">
        <v>17961</v>
      </c>
      <c r="AT1060" t="s">
        <v>122</v>
      </c>
      <c r="AU1060">
        <v>2022</v>
      </c>
      <c r="AV1060">
        <v>65</v>
      </c>
      <c r="AW1060" t="s">
        <v>74</v>
      </c>
      <c r="AX1060" t="s">
        <v>74</v>
      </c>
      <c r="AY1060" t="s">
        <v>74</v>
      </c>
      <c r="AZ1060" t="s">
        <v>74</v>
      </c>
      <c r="BA1060" t="s">
        <v>74</v>
      </c>
      <c r="BB1060" t="s">
        <v>74</v>
      </c>
      <c r="BC1060" t="s">
        <v>74</v>
      </c>
      <c r="BD1060">
        <v>100930</v>
      </c>
      <c r="BE1060" t="s">
        <v>17962</v>
      </c>
      <c r="BF1060" t="str">
        <f>HYPERLINK("http://dx.doi.org/10.1016/j.newideapsych.2021.100930","http://dx.doi.org/10.1016/j.newideapsych.2021.100930")</f>
        <v>http://dx.doi.org/10.1016/j.newideapsych.2021.100930</v>
      </c>
      <c r="BG1060" t="s">
        <v>74</v>
      </c>
      <c r="BH1060" t="s">
        <v>9259</v>
      </c>
      <c r="BI1060">
        <v>8</v>
      </c>
      <c r="BJ1060" t="s">
        <v>17963</v>
      </c>
      <c r="BK1060" t="s">
        <v>94</v>
      </c>
      <c r="BL1060" t="s">
        <v>460</v>
      </c>
      <c r="BM1060" t="s">
        <v>17964</v>
      </c>
      <c r="BN1060" t="s">
        <v>74</v>
      </c>
      <c r="BO1060" t="s">
        <v>74</v>
      </c>
      <c r="BP1060" t="s">
        <v>74</v>
      </c>
      <c r="BQ1060" t="s">
        <v>74</v>
      </c>
      <c r="BR1060" t="s">
        <v>97</v>
      </c>
      <c r="BS1060" t="s">
        <v>17965</v>
      </c>
      <c r="BT1060" t="str">
        <f>HYPERLINK("https%3A%2F%2Fwww.webofscience.com%2Fwos%2Fwoscc%2Ffull-record%2FWOS:000772951600005","View Full Record in Web of Science")</f>
        <v>View Full Record in Web of Science</v>
      </c>
    </row>
    <row r="1061" spans="1:72" x14ac:dyDescent="0.25">
      <c r="A1061" t="s">
        <v>72</v>
      </c>
      <c r="B1061" t="s">
        <v>17966</v>
      </c>
      <c r="C1061" t="s">
        <v>74</v>
      </c>
      <c r="D1061" t="s">
        <v>74</v>
      </c>
      <c r="E1061" t="s">
        <v>74</v>
      </c>
      <c r="F1061" t="s">
        <v>17967</v>
      </c>
      <c r="G1061" t="s">
        <v>74</v>
      </c>
      <c r="H1061" t="s">
        <v>74</v>
      </c>
      <c r="I1061" t="s">
        <v>17968</v>
      </c>
      <c r="J1061" t="s">
        <v>6395</v>
      </c>
      <c r="K1061" t="s">
        <v>74</v>
      </c>
      <c r="L1061" t="s">
        <v>74</v>
      </c>
      <c r="M1061" t="s">
        <v>77</v>
      </c>
      <c r="N1061" t="s">
        <v>78</v>
      </c>
      <c r="O1061" t="s">
        <v>74</v>
      </c>
      <c r="P1061" t="s">
        <v>74</v>
      </c>
      <c r="Q1061" t="s">
        <v>74</v>
      </c>
      <c r="R1061" t="s">
        <v>74</v>
      </c>
      <c r="S1061" t="s">
        <v>74</v>
      </c>
      <c r="T1061" t="s">
        <v>17969</v>
      </c>
      <c r="U1061" t="s">
        <v>17970</v>
      </c>
      <c r="V1061" t="s">
        <v>17971</v>
      </c>
      <c r="W1061" t="s">
        <v>17972</v>
      </c>
      <c r="X1061" t="s">
        <v>17973</v>
      </c>
      <c r="Y1061" t="s">
        <v>17974</v>
      </c>
      <c r="Z1061" t="s">
        <v>17975</v>
      </c>
      <c r="AA1061" t="s">
        <v>17976</v>
      </c>
      <c r="AB1061" t="s">
        <v>17977</v>
      </c>
      <c r="AC1061" t="s">
        <v>17978</v>
      </c>
      <c r="AD1061" t="s">
        <v>17979</v>
      </c>
      <c r="AE1061" t="s">
        <v>17980</v>
      </c>
      <c r="AF1061" t="s">
        <v>74</v>
      </c>
      <c r="AG1061">
        <v>51</v>
      </c>
      <c r="AH1061">
        <v>1</v>
      </c>
      <c r="AI1061">
        <v>1</v>
      </c>
      <c r="AJ1061">
        <v>27</v>
      </c>
      <c r="AK1061">
        <v>37</v>
      </c>
      <c r="AL1061" t="s">
        <v>6407</v>
      </c>
      <c r="AM1061" t="s">
        <v>6408</v>
      </c>
      <c r="AN1061" t="s">
        <v>6409</v>
      </c>
      <c r="AO1061" t="s">
        <v>6410</v>
      </c>
      <c r="AP1061" t="s">
        <v>74</v>
      </c>
      <c r="AQ1061" t="s">
        <v>74</v>
      </c>
      <c r="AR1061" t="s">
        <v>6411</v>
      </c>
      <c r="AS1061" t="s">
        <v>6412</v>
      </c>
      <c r="AT1061" t="s">
        <v>74</v>
      </c>
      <c r="AU1061">
        <v>2022</v>
      </c>
      <c r="AV1061">
        <v>15</v>
      </c>
      <c r="AW1061" t="s">
        <v>74</v>
      </c>
      <c r="AX1061" t="s">
        <v>74</v>
      </c>
      <c r="AY1061" t="s">
        <v>74</v>
      </c>
      <c r="AZ1061" t="s">
        <v>74</v>
      </c>
      <c r="BA1061" t="s">
        <v>74</v>
      </c>
      <c r="BB1061">
        <v>2343</v>
      </c>
      <c r="BC1061">
        <v>2355</v>
      </c>
      <c r="BD1061" t="s">
        <v>74</v>
      </c>
      <c r="BE1061" t="s">
        <v>17981</v>
      </c>
      <c r="BF1061" t="str">
        <f>HYPERLINK("http://dx.doi.org/10.2147/PRBM.S381494","http://dx.doi.org/10.2147/PRBM.S381494")</f>
        <v>http://dx.doi.org/10.2147/PRBM.S381494</v>
      </c>
      <c r="BG1061" t="s">
        <v>74</v>
      </c>
      <c r="BH1061" t="s">
        <v>74</v>
      </c>
      <c r="BI1061">
        <v>13</v>
      </c>
      <c r="BJ1061" t="s">
        <v>6414</v>
      </c>
      <c r="BK1061" t="s">
        <v>94</v>
      </c>
      <c r="BL1061" t="s">
        <v>6415</v>
      </c>
      <c r="BM1061" t="s">
        <v>17982</v>
      </c>
      <c r="BN1061">
        <v>36046253</v>
      </c>
      <c r="BO1061" t="s">
        <v>3205</v>
      </c>
      <c r="BP1061" t="s">
        <v>74</v>
      </c>
      <c r="BQ1061" t="s">
        <v>74</v>
      </c>
      <c r="BR1061" t="s">
        <v>97</v>
      </c>
      <c r="BS1061" t="s">
        <v>17983</v>
      </c>
      <c r="BT1061" t="str">
        <f>HYPERLINK("https%3A%2F%2Fwww.webofscience.com%2Fwos%2Fwoscc%2Ffull-record%2FWOS:000874788000001","View Full Record in Web of Science")</f>
        <v>View Full Record in Web of Science</v>
      </c>
    </row>
    <row r="1062" spans="1:72" x14ac:dyDescent="0.25">
      <c r="A1062" t="s">
        <v>72</v>
      </c>
      <c r="B1062" t="s">
        <v>17984</v>
      </c>
      <c r="C1062" t="s">
        <v>74</v>
      </c>
      <c r="D1062" t="s">
        <v>74</v>
      </c>
      <c r="E1062" t="s">
        <v>74</v>
      </c>
      <c r="F1062" t="s">
        <v>17985</v>
      </c>
      <c r="G1062" t="s">
        <v>74</v>
      </c>
      <c r="H1062" t="s">
        <v>74</v>
      </c>
      <c r="I1062" t="s">
        <v>17986</v>
      </c>
      <c r="J1062" t="s">
        <v>17987</v>
      </c>
      <c r="K1062" t="s">
        <v>74</v>
      </c>
      <c r="L1062" t="s">
        <v>74</v>
      </c>
      <c r="M1062" t="s">
        <v>77</v>
      </c>
      <c r="N1062" t="s">
        <v>78</v>
      </c>
      <c r="O1062" t="s">
        <v>74</v>
      </c>
      <c r="P1062" t="s">
        <v>74</v>
      </c>
      <c r="Q1062" t="s">
        <v>74</v>
      </c>
      <c r="R1062" t="s">
        <v>74</v>
      </c>
      <c r="S1062" t="s">
        <v>74</v>
      </c>
      <c r="T1062" t="s">
        <v>17988</v>
      </c>
      <c r="U1062" t="s">
        <v>17989</v>
      </c>
      <c r="V1062" t="s">
        <v>17990</v>
      </c>
      <c r="W1062" t="s">
        <v>17991</v>
      </c>
      <c r="X1062" t="s">
        <v>17992</v>
      </c>
      <c r="Y1062" t="s">
        <v>17993</v>
      </c>
      <c r="Z1062" t="s">
        <v>17994</v>
      </c>
      <c r="AA1062" t="s">
        <v>17995</v>
      </c>
      <c r="AB1062" t="s">
        <v>17996</v>
      </c>
      <c r="AC1062" t="s">
        <v>17997</v>
      </c>
      <c r="AD1062" t="s">
        <v>13531</v>
      </c>
      <c r="AE1062" t="s">
        <v>17998</v>
      </c>
      <c r="AF1062" t="s">
        <v>74</v>
      </c>
      <c r="AG1062">
        <v>81</v>
      </c>
      <c r="AH1062">
        <v>1</v>
      </c>
      <c r="AI1062">
        <v>1</v>
      </c>
      <c r="AJ1062">
        <v>4</v>
      </c>
      <c r="AK1062">
        <v>8</v>
      </c>
      <c r="AL1062" t="s">
        <v>9587</v>
      </c>
      <c r="AM1062" t="s">
        <v>9588</v>
      </c>
      <c r="AN1062" t="s">
        <v>9589</v>
      </c>
      <c r="AO1062" t="s">
        <v>17999</v>
      </c>
      <c r="AP1062" t="s">
        <v>18000</v>
      </c>
      <c r="AQ1062" t="s">
        <v>74</v>
      </c>
      <c r="AR1062" t="s">
        <v>18001</v>
      </c>
      <c r="AS1062" t="s">
        <v>18002</v>
      </c>
      <c r="AT1062" t="s">
        <v>74</v>
      </c>
      <c r="AU1062">
        <v>2022</v>
      </c>
      <c r="AV1062">
        <v>28</v>
      </c>
      <c r="AW1062">
        <v>4</v>
      </c>
      <c r="AX1062" t="s">
        <v>74</v>
      </c>
      <c r="AY1062" t="s">
        <v>74</v>
      </c>
      <c r="AZ1062" t="s">
        <v>74</v>
      </c>
      <c r="BA1062" t="s">
        <v>74</v>
      </c>
      <c r="BB1062">
        <v>1068</v>
      </c>
      <c r="BC1062">
        <v>1088</v>
      </c>
      <c r="BD1062" t="s">
        <v>74</v>
      </c>
      <c r="BE1062" t="s">
        <v>18003</v>
      </c>
      <c r="BF1062" t="str">
        <f>HYPERLINK("http://dx.doi.org/10.3846/tede.2022.16781","http://dx.doi.org/10.3846/tede.2022.16781")</f>
        <v>http://dx.doi.org/10.3846/tede.2022.16781</v>
      </c>
      <c r="BG1062" t="s">
        <v>74</v>
      </c>
      <c r="BH1062" t="s">
        <v>74</v>
      </c>
      <c r="BI1062">
        <v>21</v>
      </c>
      <c r="BJ1062" t="s">
        <v>2599</v>
      </c>
      <c r="BK1062" t="s">
        <v>94</v>
      </c>
      <c r="BL1062" t="s">
        <v>95</v>
      </c>
      <c r="BM1062" t="s">
        <v>18004</v>
      </c>
      <c r="BN1062" t="s">
        <v>74</v>
      </c>
      <c r="BO1062" t="s">
        <v>2482</v>
      </c>
      <c r="BP1062" t="s">
        <v>74</v>
      </c>
      <c r="BQ1062" t="s">
        <v>74</v>
      </c>
      <c r="BR1062" t="s">
        <v>97</v>
      </c>
      <c r="BS1062" t="s">
        <v>18005</v>
      </c>
      <c r="BT1062" t="str">
        <f>HYPERLINK("https%3A%2F%2Fwww.webofscience.com%2Fwos%2Fwoscc%2Ffull-record%2FWOS:000809689100009","View Full Record in Web of Science")</f>
        <v>View Full Record in Web of Science</v>
      </c>
    </row>
    <row r="1063" spans="1:72" x14ac:dyDescent="0.25">
      <c r="A1063" t="s">
        <v>72</v>
      </c>
      <c r="B1063" t="s">
        <v>18006</v>
      </c>
      <c r="C1063" t="s">
        <v>74</v>
      </c>
      <c r="D1063" t="s">
        <v>74</v>
      </c>
      <c r="E1063" t="s">
        <v>74</v>
      </c>
      <c r="F1063" t="s">
        <v>18007</v>
      </c>
      <c r="G1063" t="s">
        <v>74</v>
      </c>
      <c r="H1063" t="s">
        <v>74</v>
      </c>
      <c r="I1063" t="s">
        <v>18008</v>
      </c>
      <c r="J1063" t="s">
        <v>2463</v>
      </c>
      <c r="K1063" t="s">
        <v>74</v>
      </c>
      <c r="L1063" t="s">
        <v>74</v>
      </c>
      <c r="M1063" t="s">
        <v>77</v>
      </c>
      <c r="N1063" t="s">
        <v>78</v>
      </c>
      <c r="O1063" t="s">
        <v>74</v>
      </c>
      <c r="P1063" t="s">
        <v>74</v>
      </c>
      <c r="Q1063" t="s">
        <v>74</v>
      </c>
      <c r="R1063" t="s">
        <v>74</v>
      </c>
      <c r="S1063" t="s">
        <v>74</v>
      </c>
      <c r="T1063" t="s">
        <v>18009</v>
      </c>
      <c r="U1063" t="s">
        <v>18010</v>
      </c>
      <c r="V1063" t="s">
        <v>18011</v>
      </c>
      <c r="W1063" t="s">
        <v>18012</v>
      </c>
      <c r="X1063" t="s">
        <v>18013</v>
      </c>
      <c r="Y1063" t="s">
        <v>18014</v>
      </c>
      <c r="Z1063" t="s">
        <v>18015</v>
      </c>
      <c r="AA1063" t="s">
        <v>18016</v>
      </c>
      <c r="AB1063" t="s">
        <v>18017</v>
      </c>
      <c r="AC1063" t="s">
        <v>18018</v>
      </c>
      <c r="AD1063" t="s">
        <v>18019</v>
      </c>
      <c r="AE1063" t="s">
        <v>18020</v>
      </c>
      <c r="AF1063" t="s">
        <v>74</v>
      </c>
      <c r="AG1063">
        <v>112</v>
      </c>
      <c r="AH1063">
        <v>1</v>
      </c>
      <c r="AI1063">
        <v>1</v>
      </c>
      <c r="AJ1063">
        <v>6</v>
      </c>
      <c r="AK1063">
        <v>23</v>
      </c>
      <c r="AL1063" t="s">
        <v>2473</v>
      </c>
      <c r="AM1063" t="s">
        <v>2102</v>
      </c>
      <c r="AN1063" t="s">
        <v>2474</v>
      </c>
      <c r="AO1063" t="s">
        <v>74</v>
      </c>
      <c r="AP1063" t="s">
        <v>2475</v>
      </c>
      <c r="AQ1063" t="s">
        <v>74</v>
      </c>
      <c r="AR1063" t="s">
        <v>2476</v>
      </c>
      <c r="AS1063" t="s">
        <v>2477</v>
      </c>
      <c r="AT1063" t="s">
        <v>892</v>
      </c>
      <c r="AU1063">
        <v>2022</v>
      </c>
      <c r="AV1063">
        <v>14</v>
      </c>
      <c r="AW1063">
        <v>1</v>
      </c>
      <c r="AX1063" t="s">
        <v>74</v>
      </c>
      <c r="AY1063" t="s">
        <v>74</v>
      </c>
      <c r="AZ1063" t="s">
        <v>74</v>
      </c>
      <c r="BA1063" t="s">
        <v>74</v>
      </c>
      <c r="BB1063" t="s">
        <v>74</v>
      </c>
      <c r="BC1063" t="s">
        <v>74</v>
      </c>
      <c r="BD1063">
        <v>458</v>
      </c>
      <c r="BE1063" t="s">
        <v>18021</v>
      </c>
      <c r="BF1063" t="str">
        <f>HYPERLINK("http://dx.doi.org/10.3390/su14010458","http://dx.doi.org/10.3390/su14010458")</f>
        <v>http://dx.doi.org/10.3390/su14010458</v>
      </c>
      <c r="BG1063" t="s">
        <v>74</v>
      </c>
      <c r="BH1063" t="s">
        <v>74</v>
      </c>
      <c r="BI1063">
        <v>24</v>
      </c>
      <c r="BJ1063" t="s">
        <v>2479</v>
      </c>
      <c r="BK1063" t="s">
        <v>147</v>
      </c>
      <c r="BL1063" t="s">
        <v>2480</v>
      </c>
      <c r="BM1063" t="s">
        <v>18022</v>
      </c>
      <c r="BN1063" t="s">
        <v>74</v>
      </c>
      <c r="BO1063" t="s">
        <v>2482</v>
      </c>
      <c r="BP1063" t="s">
        <v>74</v>
      </c>
      <c r="BQ1063" t="s">
        <v>74</v>
      </c>
      <c r="BR1063" t="s">
        <v>97</v>
      </c>
      <c r="BS1063" t="s">
        <v>18023</v>
      </c>
      <c r="BT1063" t="str">
        <f>HYPERLINK("https%3A%2F%2Fwww.webofscience.com%2Fwos%2Fwoscc%2Ffull-record%2FWOS:000743495800001","View Full Record in Web of Science")</f>
        <v>View Full Record in Web of Science</v>
      </c>
    </row>
    <row r="1064" spans="1:72" x14ac:dyDescent="0.25">
      <c r="A1064" t="s">
        <v>72</v>
      </c>
      <c r="B1064" t="s">
        <v>18024</v>
      </c>
      <c r="C1064" t="s">
        <v>74</v>
      </c>
      <c r="D1064" t="s">
        <v>74</v>
      </c>
      <c r="E1064" t="s">
        <v>74</v>
      </c>
      <c r="F1064" t="s">
        <v>18025</v>
      </c>
      <c r="G1064" t="s">
        <v>74</v>
      </c>
      <c r="H1064" t="s">
        <v>74</v>
      </c>
      <c r="I1064" t="s">
        <v>18026</v>
      </c>
      <c r="J1064" t="s">
        <v>18027</v>
      </c>
      <c r="K1064" t="s">
        <v>74</v>
      </c>
      <c r="L1064" t="s">
        <v>74</v>
      </c>
      <c r="M1064" t="s">
        <v>77</v>
      </c>
      <c r="N1064" t="s">
        <v>78</v>
      </c>
      <c r="O1064" t="s">
        <v>74</v>
      </c>
      <c r="P1064" t="s">
        <v>74</v>
      </c>
      <c r="Q1064" t="s">
        <v>74</v>
      </c>
      <c r="R1064" t="s">
        <v>74</v>
      </c>
      <c r="S1064" t="s">
        <v>74</v>
      </c>
      <c r="T1064" t="s">
        <v>18028</v>
      </c>
      <c r="U1064" t="s">
        <v>18029</v>
      </c>
      <c r="V1064" t="s">
        <v>18030</v>
      </c>
      <c r="W1064" t="s">
        <v>18031</v>
      </c>
      <c r="X1064" t="s">
        <v>18032</v>
      </c>
      <c r="Y1064" t="s">
        <v>18033</v>
      </c>
      <c r="Z1064" t="s">
        <v>18034</v>
      </c>
      <c r="AA1064" t="s">
        <v>74</v>
      </c>
      <c r="AB1064" t="s">
        <v>74</v>
      </c>
      <c r="AC1064" t="s">
        <v>18035</v>
      </c>
      <c r="AD1064" t="s">
        <v>18036</v>
      </c>
      <c r="AE1064" t="s">
        <v>18037</v>
      </c>
      <c r="AF1064" t="s">
        <v>74</v>
      </c>
      <c r="AG1064">
        <v>21</v>
      </c>
      <c r="AH1064">
        <v>1</v>
      </c>
      <c r="AI1064">
        <v>1</v>
      </c>
      <c r="AJ1064">
        <v>2</v>
      </c>
      <c r="AK1064">
        <v>7</v>
      </c>
      <c r="AL1064" t="s">
        <v>18038</v>
      </c>
      <c r="AM1064" t="s">
        <v>18039</v>
      </c>
      <c r="AN1064" t="s">
        <v>18040</v>
      </c>
      <c r="AO1064" t="s">
        <v>18041</v>
      </c>
      <c r="AP1064" t="s">
        <v>18042</v>
      </c>
      <c r="AQ1064" t="s">
        <v>74</v>
      </c>
      <c r="AR1064" t="s">
        <v>18043</v>
      </c>
      <c r="AS1064" t="s">
        <v>18044</v>
      </c>
      <c r="AT1064" t="s">
        <v>74</v>
      </c>
      <c r="AU1064">
        <v>2022</v>
      </c>
      <c r="AV1064">
        <v>31</v>
      </c>
      <c r="AW1064">
        <v>1</v>
      </c>
      <c r="AX1064" t="s">
        <v>74</v>
      </c>
      <c r="AY1064" t="s">
        <v>74</v>
      </c>
      <c r="AZ1064" t="s">
        <v>74</v>
      </c>
      <c r="BA1064" t="s">
        <v>74</v>
      </c>
      <c r="BB1064">
        <v>79</v>
      </c>
      <c r="BC1064">
        <v>87</v>
      </c>
      <c r="BD1064" t="s">
        <v>74</v>
      </c>
      <c r="BE1064" t="s">
        <v>74</v>
      </c>
      <c r="BF1064" t="s">
        <v>74</v>
      </c>
      <c r="BG1064" t="s">
        <v>74</v>
      </c>
      <c r="BH1064" t="s">
        <v>74</v>
      </c>
      <c r="BI1064">
        <v>9</v>
      </c>
      <c r="BJ1064" t="s">
        <v>692</v>
      </c>
      <c r="BK1064" t="s">
        <v>94</v>
      </c>
      <c r="BL1064" t="s">
        <v>460</v>
      </c>
      <c r="BM1064" t="s">
        <v>18045</v>
      </c>
      <c r="BN1064" t="s">
        <v>74</v>
      </c>
      <c r="BO1064" t="s">
        <v>74</v>
      </c>
      <c r="BP1064" t="s">
        <v>74</v>
      </c>
      <c r="BQ1064" t="s">
        <v>74</v>
      </c>
      <c r="BR1064" t="s">
        <v>97</v>
      </c>
      <c r="BS1064" t="s">
        <v>18046</v>
      </c>
      <c r="BT1064" t="str">
        <f>HYPERLINK("https%3A%2F%2Fwww.webofscience.com%2Fwos%2Fwoscc%2Ffull-record%2FWOS:000804235000008","View Full Record in Web of Science")</f>
        <v>View Full Record in Web of Science</v>
      </c>
    </row>
    <row r="1065" spans="1:72" x14ac:dyDescent="0.25">
      <c r="A1065" t="s">
        <v>72</v>
      </c>
      <c r="B1065" t="s">
        <v>18047</v>
      </c>
      <c r="C1065" t="s">
        <v>74</v>
      </c>
      <c r="D1065" t="s">
        <v>74</v>
      </c>
      <c r="E1065" t="s">
        <v>74</v>
      </c>
      <c r="F1065" t="s">
        <v>18048</v>
      </c>
      <c r="G1065" t="s">
        <v>74</v>
      </c>
      <c r="H1065" t="s">
        <v>74</v>
      </c>
      <c r="I1065" t="s">
        <v>18049</v>
      </c>
      <c r="J1065" t="s">
        <v>3184</v>
      </c>
      <c r="K1065" t="s">
        <v>74</v>
      </c>
      <c r="L1065" t="s">
        <v>74</v>
      </c>
      <c r="M1065" t="s">
        <v>77</v>
      </c>
      <c r="N1065" t="s">
        <v>78</v>
      </c>
      <c r="O1065" t="s">
        <v>74</v>
      </c>
      <c r="P1065" t="s">
        <v>74</v>
      </c>
      <c r="Q1065" t="s">
        <v>74</v>
      </c>
      <c r="R1065" t="s">
        <v>74</v>
      </c>
      <c r="S1065" t="s">
        <v>74</v>
      </c>
      <c r="T1065" t="s">
        <v>18050</v>
      </c>
      <c r="U1065" t="s">
        <v>18051</v>
      </c>
      <c r="V1065" t="s">
        <v>18052</v>
      </c>
      <c r="W1065" t="s">
        <v>18053</v>
      </c>
      <c r="X1065" t="s">
        <v>18054</v>
      </c>
      <c r="Y1065" t="s">
        <v>18055</v>
      </c>
      <c r="Z1065" t="s">
        <v>18056</v>
      </c>
      <c r="AA1065" t="s">
        <v>74</v>
      </c>
      <c r="AB1065" t="s">
        <v>74</v>
      </c>
      <c r="AC1065" t="s">
        <v>18057</v>
      </c>
      <c r="AD1065" t="s">
        <v>18058</v>
      </c>
      <c r="AE1065" t="s">
        <v>18059</v>
      </c>
      <c r="AF1065" t="s">
        <v>74</v>
      </c>
      <c r="AG1065">
        <v>61</v>
      </c>
      <c r="AH1065">
        <v>1</v>
      </c>
      <c r="AI1065">
        <v>1</v>
      </c>
      <c r="AJ1065">
        <v>22</v>
      </c>
      <c r="AK1065">
        <v>59</v>
      </c>
      <c r="AL1065" t="s">
        <v>3195</v>
      </c>
      <c r="AM1065" t="s">
        <v>3196</v>
      </c>
      <c r="AN1065" t="s">
        <v>3197</v>
      </c>
      <c r="AO1065" t="s">
        <v>3198</v>
      </c>
      <c r="AP1065" t="s">
        <v>74</v>
      </c>
      <c r="AQ1065" t="s">
        <v>74</v>
      </c>
      <c r="AR1065" t="s">
        <v>3199</v>
      </c>
      <c r="AS1065" t="s">
        <v>3200</v>
      </c>
      <c r="AT1065" t="s">
        <v>18060</v>
      </c>
      <c r="AU1065">
        <v>2021</v>
      </c>
      <c r="AV1065">
        <v>12</v>
      </c>
      <c r="AW1065" t="s">
        <v>74</v>
      </c>
      <c r="AX1065" t="s">
        <v>74</v>
      </c>
      <c r="AY1065" t="s">
        <v>74</v>
      </c>
      <c r="AZ1065" t="s">
        <v>74</v>
      </c>
      <c r="BA1065" t="s">
        <v>74</v>
      </c>
      <c r="BB1065" t="s">
        <v>74</v>
      </c>
      <c r="BC1065" t="s">
        <v>74</v>
      </c>
      <c r="BD1065">
        <v>714886</v>
      </c>
      <c r="BE1065" t="s">
        <v>18061</v>
      </c>
      <c r="BF1065" t="str">
        <f>HYPERLINK("http://dx.doi.org/10.3389/fpsyg.2021.714886","http://dx.doi.org/10.3389/fpsyg.2021.714886")</f>
        <v>http://dx.doi.org/10.3389/fpsyg.2021.714886</v>
      </c>
      <c r="BG1065" t="s">
        <v>74</v>
      </c>
      <c r="BH1065" t="s">
        <v>74</v>
      </c>
      <c r="BI1065">
        <v>11</v>
      </c>
      <c r="BJ1065" t="s">
        <v>3203</v>
      </c>
      <c r="BK1065" t="s">
        <v>94</v>
      </c>
      <c r="BL1065" t="s">
        <v>460</v>
      </c>
      <c r="BM1065" t="s">
        <v>18062</v>
      </c>
      <c r="BN1065">
        <v>35027897</v>
      </c>
      <c r="BO1065" t="s">
        <v>4398</v>
      </c>
      <c r="BP1065" t="s">
        <v>74</v>
      </c>
      <c r="BQ1065" t="s">
        <v>74</v>
      </c>
      <c r="BR1065" t="s">
        <v>97</v>
      </c>
      <c r="BS1065" t="s">
        <v>18063</v>
      </c>
      <c r="BT1065" t="str">
        <f>HYPERLINK("https%3A%2F%2Fwww.webofscience.com%2Fwos%2Fwoscc%2Ffull-record%2FWOS:000745138600001","View Full Record in Web of Science")</f>
        <v>View Full Record in Web of Science</v>
      </c>
    </row>
    <row r="1066" spans="1:72" x14ac:dyDescent="0.25">
      <c r="A1066" t="s">
        <v>72</v>
      </c>
      <c r="B1066" t="s">
        <v>18064</v>
      </c>
      <c r="C1066" t="s">
        <v>74</v>
      </c>
      <c r="D1066" t="s">
        <v>74</v>
      </c>
      <c r="E1066" t="s">
        <v>74</v>
      </c>
      <c r="F1066" t="s">
        <v>18065</v>
      </c>
      <c r="G1066" t="s">
        <v>74</v>
      </c>
      <c r="H1066" t="s">
        <v>74</v>
      </c>
      <c r="I1066" t="s">
        <v>18066</v>
      </c>
      <c r="J1066" t="s">
        <v>1951</v>
      </c>
      <c r="K1066" t="s">
        <v>74</v>
      </c>
      <c r="L1066" t="s">
        <v>74</v>
      </c>
      <c r="M1066" t="s">
        <v>77</v>
      </c>
      <c r="N1066" t="s">
        <v>78</v>
      </c>
      <c r="O1066" t="s">
        <v>74</v>
      </c>
      <c r="P1066" t="s">
        <v>74</v>
      </c>
      <c r="Q1066" t="s">
        <v>74</v>
      </c>
      <c r="R1066" t="s">
        <v>74</v>
      </c>
      <c r="S1066" t="s">
        <v>74</v>
      </c>
      <c r="T1066" t="s">
        <v>18067</v>
      </c>
      <c r="U1066" t="s">
        <v>18068</v>
      </c>
      <c r="V1066" t="s">
        <v>18069</v>
      </c>
      <c r="W1066" t="s">
        <v>18070</v>
      </c>
      <c r="X1066" t="s">
        <v>18071</v>
      </c>
      <c r="Y1066" t="s">
        <v>18072</v>
      </c>
      <c r="Z1066" t="s">
        <v>873</v>
      </c>
      <c r="AA1066" t="s">
        <v>18073</v>
      </c>
      <c r="AB1066" t="s">
        <v>18074</v>
      </c>
      <c r="AC1066" t="s">
        <v>18075</v>
      </c>
      <c r="AD1066" t="s">
        <v>6217</v>
      </c>
      <c r="AE1066" t="s">
        <v>18076</v>
      </c>
      <c r="AF1066" t="s">
        <v>74</v>
      </c>
      <c r="AG1066">
        <v>122</v>
      </c>
      <c r="AH1066">
        <v>1</v>
      </c>
      <c r="AI1066">
        <v>1</v>
      </c>
      <c r="AJ1066">
        <v>8</v>
      </c>
      <c r="AK1066">
        <v>40</v>
      </c>
      <c r="AL1066" t="s">
        <v>1099</v>
      </c>
      <c r="AM1066" t="s">
        <v>305</v>
      </c>
      <c r="AN1066" t="s">
        <v>1100</v>
      </c>
      <c r="AO1066" t="s">
        <v>1963</v>
      </c>
      <c r="AP1066" t="s">
        <v>1964</v>
      </c>
      <c r="AQ1066" t="s">
        <v>74</v>
      </c>
      <c r="AR1066" t="s">
        <v>1965</v>
      </c>
      <c r="AS1066" t="s">
        <v>1966</v>
      </c>
      <c r="AT1066" t="s">
        <v>5161</v>
      </c>
      <c r="AU1066">
        <v>2022</v>
      </c>
      <c r="AV1066">
        <v>31</v>
      </c>
      <c r="AW1066">
        <v>4</v>
      </c>
      <c r="AX1066" t="s">
        <v>74</v>
      </c>
      <c r="AY1066" t="s">
        <v>74</v>
      </c>
      <c r="AZ1066" t="s">
        <v>74</v>
      </c>
      <c r="BA1066" t="s">
        <v>74</v>
      </c>
      <c r="BB1066">
        <v>567</v>
      </c>
      <c r="BC1066">
        <v>582</v>
      </c>
      <c r="BD1066" t="s">
        <v>74</v>
      </c>
      <c r="BE1066" t="s">
        <v>18077</v>
      </c>
      <c r="BF1066" t="str">
        <f>HYPERLINK("http://dx.doi.org/10.1080/1359432X.2021.2014454","http://dx.doi.org/10.1080/1359432X.2021.2014454")</f>
        <v>http://dx.doi.org/10.1080/1359432X.2021.2014454</v>
      </c>
      <c r="BG1066" t="s">
        <v>74</v>
      </c>
      <c r="BH1066" t="s">
        <v>9273</v>
      </c>
      <c r="BI1066">
        <v>16</v>
      </c>
      <c r="BJ1066" t="s">
        <v>202</v>
      </c>
      <c r="BK1066" t="s">
        <v>94</v>
      </c>
      <c r="BL1066" t="s">
        <v>203</v>
      </c>
      <c r="BM1066" t="s">
        <v>18078</v>
      </c>
      <c r="BN1066" t="s">
        <v>74</v>
      </c>
      <c r="BO1066" t="s">
        <v>74</v>
      </c>
      <c r="BP1066" t="s">
        <v>74</v>
      </c>
      <c r="BQ1066" t="s">
        <v>74</v>
      </c>
      <c r="BR1066" t="s">
        <v>97</v>
      </c>
      <c r="BS1066" t="s">
        <v>18079</v>
      </c>
      <c r="BT1066" t="str">
        <f>HYPERLINK("https%3A%2F%2Fwww.webofscience.com%2Fwos%2Fwoscc%2Ffull-record%2FWOS:000734980900001","View Full Record in Web of Science")</f>
        <v>View Full Record in Web of Science</v>
      </c>
    </row>
    <row r="1067" spans="1:72" x14ac:dyDescent="0.25">
      <c r="A1067" t="s">
        <v>72</v>
      </c>
      <c r="B1067" t="s">
        <v>18080</v>
      </c>
      <c r="C1067" t="s">
        <v>74</v>
      </c>
      <c r="D1067" t="s">
        <v>74</v>
      </c>
      <c r="E1067" t="s">
        <v>74</v>
      </c>
      <c r="F1067" t="s">
        <v>18081</v>
      </c>
      <c r="G1067" t="s">
        <v>74</v>
      </c>
      <c r="H1067" t="s">
        <v>74</v>
      </c>
      <c r="I1067" t="s">
        <v>18082</v>
      </c>
      <c r="J1067" t="s">
        <v>3184</v>
      </c>
      <c r="K1067" t="s">
        <v>74</v>
      </c>
      <c r="L1067" t="s">
        <v>74</v>
      </c>
      <c r="M1067" t="s">
        <v>77</v>
      </c>
      <c r="N1067" t="s">
        <v>78</v>
      </c>
      <c r="O1067" t="s">
        <v>74</v>
      </c>
      <c r="P1067" t="s">
        <v>74</v>
      </c>
      <c r="Q1067" t="s">
        <v>74</v>
      </c>
      <c r="R1067" t="s">
        <v>74</v>
      </c>
      <c r="S1067" t="s">
        <v>74</v>
      </c>
      <c r="T1067" t="s">
        <v>18083</v>
      </c>
      <c r="U1067" t="s">
        <v>18084</v>
      </c>
      <c r="V1067" t="s">
        <v>18085</v>
      </c>
      <c r="W1067" t="s">
        <v>18086</v>
      </c>
      <c r="X1067" t="s">
        <v>18087</v>
      </c>
      <c r="Y1067" t="s">
        <v>18088</v>
      </c>
      <c r="Z1067" t="s">
        <v>18089</v>
      </c>
      <c r="AA1067" t="s">
        <v>74</v>
      </c>
      <c r="AB1067" t="s">
        <v>74</v>
      </c>
      <c r="AC1067" t="s">
        <v>18090</v>
      </c>
      <c r="AD1067" t="s">
        <v>18091</v>
      </c>
      <c r="AE1067" t="s">
        <v>18092</v>
      </c>
      <c r="AF1067" t="s">
        <v>74</v>
      </c>
      <c r="AG1067">
        <v>74</v>
      </c>
      <c r="AH1067">
        <v>1</v>
      </c>
      <c r="AI1067">
        <v>1</v>
      </c>
      <c r="AJ1067">
        <v>21</v>
      </c>
      <c r="AK1067">
        <v>50</v>
      </c>
      <c r="AL1067" t="s">
        <v>3195</v>
      </c>
      <c r="AM1067" t="s">
        <v>3196</v>
      </c>
      <c r="AN1067" t="s">
        <v>3197</v>
      </c>
      <c r="AO1067" t="s">
        <v>3198</v>
      </c>
      <c r="AP1067" t="s">
        <v>74</v>
      </c>
      <c r="AQ1067" t="s">
        <v>74</v>
      </c>
      <c r="AR1067" t="s">
        <v>3199</v>
      </c>
      <c r="AS1067" t="s">
        <v>3200</v>
      </c>
      <c r="AT1067" t="s">
        <v>6679</v>
      </c>
      <c r="AU1067">
        <v>2021</v>
      </c>
      <c r="AV1067">
        <v>12</v>
      </c>
      <c r="AW1067" t="s">
        <v>74</v>
      </c>
      <c r="AX1067" t="s">
        <v>74</v>
      </c>
      <c r="AY1067" t="s">
        <v>74</v>
      </c>
      <c r="AZ1067" t="s">
        <v>74</v>
      </c>
      <c r="BA1067" t="s">
        <v>74</v>
      </c>
      <c r="BB1067" t="s">
        <v>74</v>
      </c>
      <c r="BC1067" t="s">
        <v>74</v>
      </c>
      <c r="BD1067">
        <v>733741</v>
      </c>
      <c r="BE1067" t="s">
        <v>18093</v>
      </c>
      <c r="BF1067" t="str">
        <f>HYPERLINK("http://dx.doi.org/10.3389/fpsyg.2021.733741","http://dx.doi.org/10.3389/fpsyg.2021.733741")</f>
        <v>http://dx.doi.org/10.3389/fpsyg.2021.733741</v>
      </c>
      <c r="BG1067" t="s">
        <v>74</v>
      </c>
      <c r="BH1067" t="s">
        <v>74</v>
      </c>
      <c r="BI1067">
        <v>13</v>
      </c>
      <c r="BJ1067" t="s">
        <v>3203</v>
      </c>
      <c r="BK1067" t="s">
        <v>94</v>
      </c>
      <c r="BL1067" t="s">
        <v>460</v>
      </c>
      <c r="BM1067" t="s">
        <v>18094</v>
      </c>
      <c r="BN1067">
        <v>34950082</v>
      </c>
      <c r="BO1067" t="s">
        <v>4398</v>
      </c>
      <c r="BP1067" t="s">
        <v>74</v>
      </c>
      <c r="BQ1067" t="s">
        <v>74</v>
      </c>
      <c r="BR1067" t="s">
        <v>97</v>
      </c>
      <c r="BS1067" t="s">
        <v>18095</v>
      </c>
      <c r="BT1067" t="str">
        <f>HYPERLINK("https%3A%2F%2Fwww.webofscience.com%2Fwos%2Fwoscc%2Ffull-record%2FWOS:000742945700001","View Full Record in Web of Science")</f>
        <v>View Full Record in Web of Science</v>
      </c>
    </row>
    <row r="1068" spans="1:72" x14ac:dyDescent="0.25">
      <c r="A1068" t="s">
        <v>72</v>
      </c>
      <c r="B1068" t="s">
        <v>18096</v>
      </c>
      <c r="C1068" t="s">
        <v>74</v>
      </c>
      <c r="D1068" t="s">
        <v>74</v>
      </c>
      <c r="E1068" t="s">
        <v>74</v>
      </c>
      <c r="F1068" t="s">
        <v>18097</v>
      </c>
      <c r="G1068" t="s">
        <v>74</v>
      </c>
      <c r="H1068" t="s">
        <v>74</v>
      </c>
      <c r="I1068" t="s">
        <v>18098</v>
      </c>
      <c r="J1068" t="s">
        <v>18099</v>
      </c>
      <c r="K1068" t="s">
        <v>74</v>
      </c>
      <c r="L1068" t="s">
        <v>74</v>
      </c>
      <c r="M1068" t="s">
        <v>77</v>
      </c>
      <c r="N1068" t="s">
        <v>78</v>
      </c>
      <c r="O1068" t="s">
        <v>74</v>
      </c>
      <c r="P1068" t="s">
        <v>74</v>
      </c>
      <c r="Q1068" t="s">
        <v>74</v>
      </c>
      <c r="R1068" t="s">
        <v>74</v>
      </c>
      <c r="S1068" t="s">
        <v>74</v>
      </c>
      <c r="T1068" t="s">
        <v>74</v>
      </c>
      <c r="U1068" t="s">
        <v>18100</v>
      </c>
      <c r="V1068" t="s">
        <v>18101</v>
      </c>
      <c r="W1068" t="s">
        <v>18102</v>
      </c>
      <c r="X1068" t="s">
        <v>18103</v>
      </c>
      <c r="Y1068" t="s">
        <v>18104</v>
      </c>
      <c r="Z1068" t="s">
        <v>18105</v>
      </c>
      <c r="AA1068" t="s">
        <v>74</v>
      </c>
      <c r="AB1068" t="s">
        <v>18106</v>
      </c>
      <c r="AC1068" t="s">
        <v>74</v>
      </c>
      <c r="AD1068" t="s">
        <v>74</v>
      </c>
      <c r="AE1068" t="s">
        <v>74</v>
      </c>
      <c r="AF1068" t="s">
        <v>74</v>
      </c>
      <c r="AG1068">
        <v>28</v>
      </c>
      <c r="AH1068">
        <v>1</v>
      </c>
      <c r="AI1068">
        <v>1</v>
      </c>
      <c r="AJ1068">
        <v>5</v>
      </c>
      <c r="AK1068">
        <v>18</v>
      </c>
      <c r="AL1068" t="s">
        <v>15981</v>
      </c>
      <c r="AM1068" t="s">
        <v>541</v>
      </c>
      <c r="AN1068" t="s">
        <v>15982</v>
      </c>
      <c r="AO1068" t="s">
        <v>18107</v>
      </c>
      <c r="AP1068" t="s">
        <v>18108</v>
      </c>
      <c r="AQ1068" t="s">
        <v>74</v>
      </c>
      <c r="AR1068" t="s">
        <v>18109</v>
      </c>
      <c r="AS1068" t="s">
        <v>18110</v>
      </c>
      <c r="AT1068" t="s">
        <v>14235</v>
      </c>
      <c r="AU1068">
        <v>2021</v>
      </c>
      <c r="AV1068">
        <v>2021</v>
      </c>
      <c r="AW1068" t="s">
        <v>74</v>
      </c>
      <c r="AX1068" t="s">
        <v>74</v>
      </c>
      <c r="AY1068" t="s">
        <v>74</v>
      </c>
      <c r="AZ1068" t="s">
        <v>74</v>
      </c>
      <c r="BA1068" t="s">
        <v>74</v>
      </c>
      <c r="BB1068" t="s">
        <v>74</v>
      </c>
      <c r="BC1068" t="s">
        <v>74</v>
      </c>
      <c r="BD1068">
        <v>4872108</v>
      </c>
      <c r="BE1068" t="s">
        <v>18111</v>
      </c>
      <c r="BF1068" t="str">
        <f>HYPERLINK("http://dx.doi.org/10.1155/2021/4872108","http://dx.doi.org/10.1155/2021/4872108")</f>
        <v>http://dx.doi.org/10.1155/2021/4872108</v>
      </c>
      <c r="BG1068" t="s">
        <v>74</v>
      </c>
      <c r="BH1068" t="s">
        <v>74</v>
      </c>
      <c r="BI1068">
        <v>6</v>
      </c>
      <c r="BJ1068" t="s">
        <v>18112</v>
      </c>
      <c r="BK1068" t="s">
        <v>147</v>
      </c>
      <c r="BL1068" t="s">
        <v>2786</v>
      </c>
      <c r="BM1068" t="s">
        <v>18113</v>
      </c>
      <c r="BN1068" t="s">
        <v>74</v>
      </c>
      <c r="BO1068" t="s">
        <v>718</v>
      </c>
      <c r="BP1068" t="s">
        <v>74</v>
      </c>
      <c r="BQ1068" t="s">
        <v>74</v>
      </c>
      <c r="BR1068" t="s">
        <v>97</v>
      </c>
      <c r="BS1068" t="s">
        <v>18114</v>
      </c>
      <c r="BT1068" t="str">
        <f>HYPERLINK("https%3A%2F%2Fwww.webofscience.com%2Fwos%2Fwoscc%2Ffull-record%2FWOS:000763425900004","View Full Record in Web of Science")</f>
        <v>View Full Record in Web of Science</v>
      </c>
    </row>
    <row r="1069" spans="1:72" x14ac:dyDescent="0.25">
      <c r="A1069" t="s">
        <v>72</v>
      </c>
      <c r="B1069" t="s">
        <v>18115</v>
      </c>
      <c r="C1069" t="s">
        <v>74</v>
      </c>
      <c r="D1069" t="s">
        <v>74</v>
      </c>
      <c r="E1069" t="s">
        <v>74</v>
      </c>
      <c r="F1069" t="s">
        <v>18116</v>
      </c>
      <c r="G1069" t="s">
        <v>74</v>
      </c>
      <c r="H1069" t="s">
        <v>74</v>
      </c>
      <c r="I1069" t="s">
        <v>18117</v>
      </c>
      <c r="J1069" t="s">
        <v>2463</v>
      </c>
      <c r="K1069" t="s">
        <v>74</v>
      </c>
      <c r="L1069" t="s">
        <v>74</v>
      </c>
      <c r="M1069" t="s">
        <v>77</v>
      </c>
      <c r="N1069" t="s">
        <v>78</v>
      </c>
      <c r="O1069" t="s">
        <v>74</v>
      </c>
      <c r="P1069" t="s">
        <v>74</v>
      </c>
      <c r="Q1069" t="s">
        <v>74</v>
      </c>
      <c r="R1069" t="s">
        <v>74</v>
      </c>
      <c r="S1069" t="s">
        <v>74</v>
      </c>
      <c r="T1069" t="s">
        <v>18118</v>
      </c>
      <c r="U1069" t="s">
        <v>18119</v>
      </c>
      <c r="V1069" t="s">
        <v>18120</v>
      </c>
      <c r="W1069" t="s">
        <v>18121</v>
      </c>
      <c r="X1069" t="s">
        <v>18122</v>
      </c>
      <c r="Y1069" t="s">
        <v>18123</v>
      </c>
      <c r="Z1069" t="s">
        <v>18124</v>
      </c>
      <c r="AA1069" t="s">
        <v>74</v>
      </c>
      <c r="AB1069" t="s">
        <v>18125</v>
      </c>
      <c r="AC1069" t="s">
        <v>74</v>
      </c>
      <c r="AD1069" t="s">
        <v>74</v>
      </c>
      <c r="AE1069" t="s">
        <v>74</v>
      </c>
      <c r="AF1069" t="s">
        <v>74</v>
      </c>
      <c r="AG1069">
        <v>107</v>
      </c>
      <c r="AH1069">
        <v>1</v>
      </c>
      <c r="AI1069">
        <v>1</v>
      </c>
      <c r="AJ1069">
        <v>4</v>
      </c>
      <c r="AK1069">
        <v>7</v>
      </c>
      <c r="AL1069" t="s">
        <v>2473</v>
      </c>
      <c r="AM1069" t="s">
        <v>2102</v>
      </c>
      <c r="AN1069" t="s">
        <v>2474</v>
      </c>
      <c r="AO1069" t="s">
        <v>74</v>
      </c>
      <c r="AP1069" t="s">
        <v>2475</v>
      </c>
      <c r="AQ1069" t="s">
        <v>74</v>
      </c>
      <c r="AR1069" t="s">
        <v>2476</v>
      </c>
      <c r="AS1069" t="s">
        <v>2477</v>
      </c>
      <c r="AT1069" t="s">
        <v>375</v>
      </c>
      <c r="AU1069">
        <v>2021</v>
      </c>
      <c r="AV1069">
        <v>13</v>
      </c>
      <c r="AW1069">
        <v>24</v>
      </c>
      <c r="AX1069" t="s">
        <v>74</v>
      </c>
      <c r="AY1069" t="s">
        <v>74</v>
      </c>
      <c r="AZ1069" t="s">
        <v>74</v>
      </c>
      <c r="BA1069" t="s">
        <v>74</v>
      </c>
      <c r="BB1069" t="s">
        <v>74</v>
      </c>
      <c r="BC1069" t="s">
        <v>74</v>
      </c>
      <c r="BD1069">
        <v>13703</v>
      </c>
      <c r="BE1069" t="s">
        <v>18126</v>
      </c>
      <c r="BF1069" t="str">
        <f>HYPERLINK("http://dx.doi.org/10.3390/su132413703","http://dx.doi.org/10.3390/su132413703")</f>
        <v>http://dx.doi.org/10.3390/su132413703</v>
      </c>
      <c r="BG1069" t="s">
        <v>74</v>
      </c>
      <c r="BH1069" t="s">
        <v>74</v>
      </c>
      <c r="BI1069">
        <v>16</v>
      </c>
      <c r="BJ1069" t="s">
        <v>2479</v>
      </c>
      <c r="BK1069" t="s">
        <v>147</v>
      </c>
      <c r="BL1069" t="s">
        <v>2480</v>
      </c>
      <c r="BM1069" t="s">
        <v>18127</v>
      </c>
      <c r="BN1069" t="s">
        <v>74</v>
      </c>
      <c r="BO1069" t="s">
        <v>2482</v>
      </c>
      <c r="BP1069" t="s">
        <v>74</v>
      </c>
      <c r="BQ1069" t="s">
        <v>74</v>
      </c>
      <c r="BR1069" t="s">
        <v>97</v>
      </c>
      <c r="BS1069" t="s">
        <v>18128</v>
      </c>
      <c r="BT1069" t="str">
        <f>HYPERLINK("https%3A%2F%2Fwww.webofscience.com%2Fwos%2Fwoscc%2Ffull-record%2FWOS:000737354600001","View Full Record in Web of Science")</f>
        <v>View Full Record in Web of Science</v>
      </c>
    </row>
    <row r="1070" spans="1:72" x14ac:dyDescent="0.25">
      <c r="A1070" t="s">
        <v>72</v>
      </c>
      <c r="B1070" t="s">
        <v>18129</v>
      </c>
      <c r="C1070" t="s">
        <v>74</v>
      </c>
      <c r="D1070" t="s">
        <v>74</v>
      </c>
      <c r="E1070" t="s">
        <v>74</v>
      </c>
      <c r="F1070" t="s">
        <v>18130</v>
      </c>
      <c r="G1070" t="s">
        <v>74</v>
      </c>
      <c r="H1070" t="s">
        <v>74</v>
      </c>
      <c r="I1070" t="s">
        <v>18131</v>
      </c>
      <c r="J1070" t="s">
        <v>2463</v>
      </c>
      <c r="K1070" t="s">
        <v>74</v>
      </c>
      <c r="L1070" t="s">
        <v>74</v>
      </c>
      <c r="M1070" t="s">
        <v>77</v>
      </c>
      <c r="N1070" t="s">
        <v>78</v>
      </c>
      <c r="O1070" t="s">
        <v>74</v>
      </c>
      <c r="P1070" t="s">
        <v>74</v>
      </c>
      <c r="Q1070" t="s">
        <v>74</v>
      </c>
      <c r="R1070" t="s">
        <v>74</v>
      </c>
      <c r="S1070" t="s">
        <v>74</v>
      </c>
      <c r="T1070" t="s">
        <v>18132</v>
      </c>
      <c r="U1070" t="s">
        <v>18133</v>
      </c>
      <c r="V1070" t="s">
        <v>18134</v>
      </c>
      <c r="W1070" t="s">
        <v>18135</v>
      </c>
      <c r="X1070" t="s">
        <v>7002</v>
      </c>
      <c r="Y1070" t="s">
        <v>18136</v>
      </c>
      <c r="Z1070" t="s">
        <v>18137</v>
      </c>
      <c r="AA1070" t="s">
        <v>74</v>
      </c>
      <c r="AB1070" t="s">
        <v>74</v>
      </c>
      <c r="AC1070" t="s">
        <v>74</v>
      </c>
      <c r="AD1070" t="s">
        <v>74</v>
      </c>
      <c r="AE1070" t="s">
        <v>74</v>
      </c>
      <c r="AF1070" t="s">
        <v>74</v>
      </c>
      <c r="AG1070">
        <v>330</v>
      </c>
      <c r="AH1070">
        <v>1</v>
      </c>
      <c r="AI1070">
        <v>1</v>
      </c>
      <c r="AJ1070">
        <v>15</v>
      </c>
      <c r="AK1070">
        <v>51</v>
      </c>
      <c r="AL1070" t="s">
        <v>2473</v>
      </c>
      <c r="AM1070" t="s">
        <v>2102</v>
      </c>
      <c r="AN1070" t="s">
        <v>2474</v>
      </c>
      <c r="AO1070" t="s">
        <v>74</v>
      </c>
      <c r="AP1070" t="s">
        <v>2475</v>
      </c>
      <c r="AQ1070" t="s">
        <v>74</v>
      </c>
      <c r="AR1070" t="s">
        <v>2476</v>
      </c>
      <c r="AS1070" t="s">
        <v>2477</v>
      </c>
      <c r="AT1070" t="s">
        <v>375</v>
      </c>
      <c r="AU1070">
        <v>2021</v>
      </c>
      <c r="AV1070">
        <v>13</v>
      </c>
      <c r="AW1070">
        <v>23</v>
      </c>
      <c r="AX1070" t="s">
        <v>74</v>
      </c>
      <c r="AY1070" t="s">
        <v>74</v>
      </c>
      <c r="AZ1070" t="s">
        <v>74</v>
      </c>
      <c r="BA1070" t="s">
        <v>74</v>
      </c>
      <c r="BB1070" t="s">
        <v>74</v>
      </c>
      <c r="BC1070" t="s">
        <v>74</v>
      </c>
      <c r="BD1070">
        <v>13490</v>
      </c>
      <c r="BE1070" t="s">
        <v>18138</v>
      </c>
      <c r="BF1070" t="str">
        <f>HYPERLINK("http://dx.doi.org/10.3390/su132313490","http://dx.doi.org/10.3390/su132313490")</f>
        <v>http://dx.doi.org/10.3390/su132313490</v>
      </c>
      <c r="BG1070" t="s">
        <v>74</v>
      </c>
      <c r="BH1070" t="s">
        <v>74</v>
      </c>
      <c r="BI1070">
        <v>49</v>
      </c>
      <c r="BJ1070" t="s">
        <v>2479</v>
      </c>
      <c r="BK1070" t="s">
        <v>147</v>
      </c>
      <c r="BL1070" t="s">
        <v>2480</v>
      </c>
      <c r="BM1070" t="s">
        <v>18139</v>
      </c>
      <c r="BN1070" t="s">
        <v>74</v>
      </c>
      <c r="BO1070" t="s">
        <v>2482</v>
      </c>
      <c r="BP1070" t="s">
        <v>74</v>
      </c>
      <c r="BQ1070" t="s">
        <v>74</v>
      </c>
      <c r="BR1070" t="s">
        <v>97</v>
      </c>
      <c r="BS1070" t="s">
        <v>18140</v>
      </c>
      <c r="BT1070" t="str">
        <f>HYPERLINK("https%3A%2F%2Fwww.webofscience.com%2Fwos%2Fwoscc%2Ffull-record%2FWOS:000734566500001","View Full Record in Web of Science")</f>
        <v>View Full Record in Web of Science</v>
      </c>
    </row>
    <row r="1071" spans="1:72" x14ac:dyDescent="0.25">
      <c r="A1071" t="s">
        <v>72</v>
      </c>
      <c r="B1071" t="s">
        <v>18141</v>
      </c>
      <c r="C1071" t="s">
        <v>74</v>
      </c>
      <c r="D1071" t="s">
        <v>74</v>
      </c>
      <c r="E1071" t="s">
        <v>74</v>
      </c>
      <c r="F1071" t="s">
        <v>18142</v>
      </c>
      <c r="G1071" t="s">
        <v>74</v>
      </c>
      <c r="H1071" t="s">
        <v>74</v>
      </c>
      <c r="I1071" t="s">
        <v>18143</v>
      </c>
      <c r="J1071" t="s">
        <v>2463</v>
      </c>
      <c r="K1071" t="s">
        <v>74</v>
      </c>
      <c r="L1071" t="s">
        <v>74</v>
      </c>
      <c r="M1071" t="s">
        <v>77</v>
      </c>
      <c r="N1071" t="s">
        <v>78</v>
      </c>
      <c r="O1071" t="s">
        <v>74</v>
      </c>
      <c r="P1071" t="s">
        <v>74</v>
      </c>
      <c r="Q1071" t="s">
        <v>74</v>
      </c>
      <c r="R1071" t="s">
        <v>74</v>
      </c>
      <c r="S1071" t="s">
        <v>74</v>
      </c>
      <c r="T1071" t="s">
        <v>18144</v>
      </c>
      <c r="U1071" t="s">
        <v>18145</v>
      </c>
      <c r="V1071" t="s">
        <v>18146</v>
      </c>
      <c r="W1071" t="s">
        <v>18147</v>
      </c>
      <c r="X1071" t="s">
        <v>18148</v>
      </c>
      <c r="Y1071" t="s">
        <v>18149</v>
      </c>
      <c r="Z1071" t="s">
        <v>18150</v>
      </c>
      <c r="AA1071" t="s">
        <v>18151</v>
      </c>
      <c r="AB1071" t="s">
        <v>18152</v>
      </c>
      <c r="AC1071" t="s">
        <v>74</v>
      </c>
      <c r="AD1071" t="s">
        <v>74</v>
      </c>
      <c r="AE1071" t="s">
        <v>74</v>
      </c>
      <c r="AF1071" t="s">
        <v>74</v>
      </c>
      <c r="AG1071">
        <v>96</v>
      </c>
      <c r="AH1071">
        <v>1</v>
      </c>
      <c r="AI1071">
        <v>1</v>
      </c>
      <c r="AJ1071">
        <v>4</v>
      </c>
      <c r="AK1071">
        <v>15</v>
      </c>
      <c r="AL1071" t="s">
        <v>2473</v>
      </c>
      <c r="AM1071" t="s">
        <v>2102</v>
      </c>
      <c r="AN1071" t="s">
        <v>2474</v>
      </c>
      <c r="AO1071" t="s">
        <v>74</v>
      </c>
      <c r="AP1071" t="s">
        <v>2475</v>
      </c>
      <c r="AQ1071" t="s">
        <v>74</v>
      </c>
      <c r="AR1071" t="s">
        <v>2476</v>
      </c>
      <c r="AS1071" t="s">
        <v>2477</v>
      </c>
      <c r="AT1071" t="s">
        <v>375</v>
      </c>
      <c r="AU1071">
        <v>2021</v>
      </c>
      <c r="AV1071">
        <v>13</v>
      </c>
      <c r="AW1071">
        <v>24</v>
      </c>
      <c r="AX1071" t="s">
        <v>74</v>
      </c>
      <c r="AY1071" t="s">
        <v>74</v>
      </c>
      <c r="AZ1071" t="s">
        <v>74</v>
      </c>
      <c r="BA1071" t="s">
        <v>74</v>
      </c>
      <c r="BB1071" t="s">
        <v>74</v>
      </c>
      <c r="BC1071" t="s">
        <v>74</v>
      </c>
      <c r="BD1071">
        <v>13819</v>
      </c>
      <c r="BE1071" t="s">
        <v>18153</v>
      </c>
      <c r="BF1071" t="str">
        <f>HYPERLINK("http://dx.doi.org/10.3390/su132413819","http://dx.doi.org/10.3390/su132413819")</f>
        <v>http://dx.doi.org/10.3390/su132413819</v>
      </c>
      <c r="BG1071" t="s">
        <v>74</v>
      </c>
      <c r="BH1071" t="s">
        <v>74</v>
      </c>
      <c r="BI1071">
        <v>17</v>
      </c>
      <c r="BJ1071" t="s">
        <v>2479</v>
      </c>
      <c r="BK1071" t="s">
        <v>147</v>
      </c>
      <c r="BL1071" t="s">
        <v>2480</v>
      </c>
      <c r="BM1071" t="s">
        <v>18154</v>
      </c>
      <c r="BN1071" t="s">
        <v>74</v>
      </c>
      <c r="BO1071" t="s">
        <v>2482</v>
      </c>
      <c r="BP1071" t="s">
        <v>74</v>
      </c>
      <c r="BQ1071" t="s">
        <v>74</v>
      </c>
      <c r="BR1071" t="s">
        <v>97</v>
      </c>
      <c r="BS1071" t="s">
        <v>18155</v>
      </c>
      <c r="BT1071" t="str">
        <f>HYPERLINK("https%3A%2F%2Fwww.webofscience.com%2Fwos%2Fwoscc%2Ffull-record%2FWOS:000742066500001","View Full Record in Web of Science")</f>
        <v>View Full Record in Web of Science</v>
      </c>
    </row>
    <row r="1072" spans="1:72" x14ac:dyDescent="0.25">
      <c r="A1072" t="s">
        <v>72</v>
      </c>
      <c r="B1072" t="s">
        <v>18156</v>
      </c>
      <c r="C1072" t="s">
        <v>74</v>
      </c>
      <c r="D1072" t="s">
        <v>74</v>
      </c>
      <c r="E1072" t="s">
        <v>74</v>
      </c>
      <c r="F1072" t="s">
        <v>18157</v>
      </c>
      <c r="G1072" t="s">
        <v>74</v>
      </c>
      <c r="H1072" t="s">
        <v>74</v>
      </c>
      <c r="I1072" t="s">
        <v>18158</v>
      </c>
      <c r="J1072" t="s">
        <v>2022</v>
      </c>
      <c r="K1072" t="s">
        <v>74</v>
      </c>
      <c r="L1072" t="s">
        <v>74</v>
      </c>
      <c r="M1072" t="s">
        <v>77</v>
      </c>
      <c r="N1072" t="s">
        <v>78</v>
      </c>
      <c r="O1072" t="s">
        <v>74</v>
      </c>
      <c r="P1072" t="s">
        <v>74</v>
      </c>
      <c r="Q1072" t="s">
        <v>74</v>
      </c>
      <c r="R1072" t="s">
        <v>74</v>
      </c>
      <c r="S1072" t="s">
        <v>74</v>
      </c>
      <c r="T1072" t="s">
        <v>18159</v>
      </c>
      <c r="U1072" t="s">
        <v>18160</v>
      </c>
      <c r="V1072" t="s">
        <v>18161</v>
      </c>
      <c r="W1072" t="s">
        <v>18162</v>
      </c>
      <c r="X1072" t="s">
        <v>18163</v>
      </c>
      <c r="Y1072" t="s">
        <v>18164</v>
      </c>
      <c r="Z1072" t="s">
        <v>18165</v>
      </c>
      <c r="AA1072" t="s">
        <v>74</v>
      </c>
      <c r="AB1072" t="s">
        <v>18166</v>
      </c>
      <c r="AC1072" t="s">
        <v>18167</v>
      </c>
      <c r="AD1072" t="s">
        <v>18168</v>
      </c>
      <c r="AE1072" t="s">
        <v>18169</v>
      </c>
      <c r="AF1072" t="s">
        <v>74</v>
      </c>
      <c r="AG1072">
        <v>66</v>
      </c>
      <c r="AH1072">
        <v>1</v>
      </c>
      <c r="AI1072">
        <v>1</v>
      </c>
      <c r="AJ1072">
        <v>2</v>
      </c>
      <c r="AK1072">
        <v>8</v>
      </c>
      <c r="AL1072" t="s">
        <v>665</v>
      </c>
      <c r="AM1072" t="s">
        <v>666</v>
      </c>
      <c r="AN1072" t="s">
        <v>667</v>
      </c>
      <c r="AO1072" t="s">
        <v>2033</v>
      </c>
      <c r="AP1072" t="s">
        <v>18170</v>
      </c>
      <c r="AQ1072" t="s">
        <v>74</v>
      </c>
      <c r="AR1072" t="s">
        <v>2034</v>
      </c>
      <c r="AS1072" t="s">
        <v>2035</v>
      </c>
      <c r="AT1072" t="s">
        <v>713</v>
      </c>
      <c r="AU1072">
        <v>2022</v>
      </c>
      <c r="AV1072">
        <v>124</v>
      </c>
      <c r="AW1072">
        <v>8</v>
      </c>
      <c r="AX1072" t="s">
        <v>74</v>
      </c>
      <c r="AY1072" t="s">
        <v>74</v>
      </c>
      <c r="AZ1072" t="s">
        <v>860</v>
      </c>
      <c r="BA1072" t="s">
        <v>74</v>
      </c>
      <c r="BB1072">
        <v>2550</v>
      </c>
      <c r="BC1072">
        <v>2565</v>
      </c>
      <c r="BD1072" t="s">
        <v>74</v>
      </c>
      <c r="BE1072" t="s">
        <v>18171</v>
      </c>
      <c r="BF1072" t="str">
        <f>HYPERLINK("http://dx.doi.org/10.1108/BFJ-05-2021-0587","http://dx.doi.org/10.1108/BFJ-05-2021-0587")</f>
        <v>http://dx.doi.org/10.1108/BFJ-05-2021-0587</v>
      </c>
      <c r="BG1072" t="s">
        <v>74</v>
      </c>
      <c r="BH1072" t="s">
        <v>12650</v>
      </c>
      <c r="BI1072">
        <v>16</v>
      </c>
      <c r="BJ1072" t="s">
        <v>2037</v>
      </c>
      <c r="BK1072" t="s">
        <v>283</v>
      </c>
      <c r="BL1072" t="s">
        <v>2038</v>
      </c>
      <c r="BM1072" t="s">
        <v>18172</v>
      </c>
      <c r="BN1072" t="s">
        <v>74</v>
      </c>
      <c r="BO1072" t="s">
        <v>408</v>
      </c>
      <c r="BP1072" t="s">
        <v>74</v>
      </c>
      <c r="BQ1072" t="s">
        <v>74</v>
      </c>
      <c r="BR1072" t="s">
        <v>97</v>
      </c>
      <c r="BS1072" t="s">
        <v>18173</v>
      </c>
      <c r="BT1072" t="str">
        <f>HYPERLINK("https%3A%2F%2Fwww.webofscience.com%2Fwos%2Fwoscc%2Ffull-record%2FWOS:000718172300001","View Full Record in Web of Science")</f>
        <v>View Full Record in Web of Science</v>
      </c>
    </row>
    <row r="1073" spans="1:72" x14ac:dyDescent="0.25">
      <c r="A1073" t="s">
        <v>72</v>
      </c>
      <c r="B1073" t="s">
        <v>18174</v>
      </c>
      <c r="C1073" t="s">
        <v>74</v>
      </c>
      <c r="D1073" t="s">
        <v>74</v>
      </c>
      <c r="E1073" t="s">
        <v>74</v>
      </c>
      <c r="F1073" t="s">
        <v>18175</v>
      </c>
      <c r="G1073" t="s">
        <v>74</v>
      </c>
      <c r="H1073" t="s">
        <v>74</v>
      </c>
      <c r="I1073" t="s">
        <v>18176</v>
      </c>
      <c r="J1073" t="s">
        <v>6846</v>
      </c>
      <c r="K1073" t="s">
        <v>74</v>
      </c>
      <c r="L1073" t="s">
        <v>74</v>
      </c>
      <c r="M1073" t="s">
        <v>77</v>
      </c>
      <c r="N1073" t="s">
        <v>10095</v>
      </c>
      <c r="O1073" t="s">
        <v>74</v>
      </c>
      <c r="P1073" t="s">
        <v>74</v>
      </c>
      <c r="Q1073" t="s">
        <v>74</v>
      </c>
      <c r="R1073" t="s">
        <v>74</v>
      </c>
      <c r="S1073" t="s">
        <v>74</v>
      </c>
      <c r="T1073" t="s">
        <v>18177</v>
      </c>
      <c r="U1073" t="s">
        <v>18178</v>
      </c>
      <c r="V1073" t="s">
        <v>18179</v>
      </c>
      <c r="W1073" t="s">
        <v>18180</v>
      </c>
      <c r="X1073" t="s">
        <v>18181</v>
      </c>
      <c r="Y1073" t="s">
        <v>18182</v>
      </c>
      <c r="Z1073" t="s">
        <v>18183</v>
      </c>
      <c r="AA1073" t="s">
        <v>74</v>
      </c>
      <c r="AB1073" t="s">
        <v>6771</v>
      </c>
      <c r="AC1073" t="s">
        <v>6772</v>
      </c>
      <c r="AD1073" t="s">
        <v>6773</v>
      </c>
      <c r="AE1073" t="s">
        <v>16558</v>
      </c>
      <c r="AF1073" t="s">
        <v>74</v>
      </c>
      <c r="AG1073">
        <v>72</v>
      </c>
      <c r="AH1073">
        <v>1</v>
      </c>
      <c r="AI1073">
        <v>1</v>
      </c>
      <c r="AJ1073">
        <v>22</v>
      </c>
      <c r="AK1073">
        <v>71</v>
      </c>
      <c r="AL1073" t="s">
        <v>1099</v>
      </c>
      <c r="AM1073" t="s">
        <v>305</v>
      </c>
      <c r="AN1073" t="s">
        <v>1100</v>
      </c>
      <c r="AO1073" t="s">
        <v>6857</v>
      </c>
      <c r="AP1073" t="s">
        <v>6858</v>
      </c>
      <c r="AQ1073" t="s">
        <v>74</v>
      </c>
      <c r="AR1073" t="s">
        <v>6859</v>
      </c>
      <c r="AS1073" t="s">
        <v>6860</v>
      </c>
      <c r="AT1073" t="s">
        <v>74</v>
      </c>
      <c r="AU1073" t="s">
        <v>74</v>
      </c>
      <c r="AV1073" t="s">
        <v>74</v>
      </c>
      <c r="AW1073" t="s">
        <v>74</v>
      </c>
      <c r="AX1073" t="s">
        <v>74</v>
      </c>
      <c r="AY1073" t="s">
        <v>74</v>
      </c>
      <c r="AZ1073" t="s">
        <v>74</v>
      </c>
      <c r="BA1073" t="s">
        <v>74</v>
      </c>
      <c r="BB1073" t="s">
        <v>74</v>
      </c>
      <c r="BC1073" t="s">
        <v>74</v>
      </c>
      <c r="BD1073" t="s">
        <v>74</v>
      </c>
      <c r="BE1073" t="s">
        <v>18184</v>
      </c>
      <c r="BF1073" t="str">
        <f>HYPERLINK("http://dx.doi.org/10.1080/13602381.2021.1990588","http://dx.doi.org/10.1080/13602381.2021.1990588")</f>
        <v>http://dx.doi.org/10.1080/13602381.2021.1990588</v>
      </c>
      <c r="BG1073" t="s">
        <v>74</v>
      </c>
      <c r="BH1073" t="s">
        <v>12650</v>
      </c>
      <c r="BI1073">
        <v>18</v>
      </c>
      <c r="BJ1073" t="s">
        <v>93</v>
      </c>
      <c r="BK1073" t="s">
        <v>94</v>
      </c>
      <c r="BL1073" t="s">
        <v>95</v>
      </c>
      <c r="BM1073" t="s">
        <v>18185</v>
      </c>
      <c r="BN1073" t="s">
        <v>74</v>
      </c>
      <c r="BO1073" t="s">
        <v>74</v>
      </c>
      <c r="BP1073" t="s">
        <v>74</v>
      </c>
      <c r="BQ1073" t="s">
        <v>74</v>
      </c>
      <c r="BR1073" t="s">
        <v>97</v>
      </c>
      <c r="BS1073" t="s">
        <v>18186</v>
      </c>
      <c r="BT1073" t="str">
        <f>HYPERLINK("https%3A%2F%2Fwww.webofscience.com%2Fwos%2Fwoscc%2Ffull-record%2FWOS:000714258200001","View Full Record in Web of Science")</f>
        <v>View Full Record in Web of Science</v>
      </c>
    </row>
    <row r="1074" spans="1:72" x14ac:dyDescent="0.25">
      <c r="A1074" t="s">
        <v>72</v>
      </c>
      <c r="B1074" t="s">
        <v>18187</v>
      </c>
      <c r="C1074" t="s">
        <v>74</v>
      </c>
      <c r="D1074" t="s">
        <v>74</v>
      </c>
      <c r="E1074" t="s">
        <v>74</v>
      </c>
      <c r="F1074" t="s">
        <v>18188</v>
      </c>
      <c r="G1074" t="s">
        <v>74</v>
      </c>
      <c r="H1074" t="s">
        <v>74</v>
      </c>
      <c r="I1074" t="s">
        <v>18189</v>
      </c>
      <c r="J1074" t="s">
        <v>1290</v>
      </c>
      <c r="K1074" t="s">
        <v>74</v>
      </c>
      <c r="L1074" t="s">
        <v>74</v>
      </c>
      <c r="M1074" t="s">
        <v>77</v>
      </c>
      <c r="N1074" t="s">
        <v>78</v>
      </c>
      <c r="O1074" t="s">
        <v>74</v>
      </c>
      <c r="P1074" t="s">
        <v>74</v>
      </c>
      <c r="Q1074" t="s">
        <v>74</v>
      </c>
      <c r="R1074" t="s">
        <v>74</v>
      </c>
      <c r="S1074" t="s">
        <v>74</v>
      </c>
      <c r="T1074" t="s">
        <v>18190</v>
      </c>
      <c r="U1074" t="s">
        <v>18191</v>
      </c>
      <c r="V1074" t="s">
        <v>18192</v>
      </c>
      <c r="W1074" t="s">
        <v>18193</v>
      </c>
      <c r="X1074" t="s">
        <v>18194</v>
      </c>
      <c r="Y1074" t="s">
        <v>18195</v>
      </c>
      <c r="Z1074" t="s">
        <v>18196</v>
      </c>
      <c r="AA1074" t="s">
        <v>18197</v>
      </c>
      <c r="AB1074" t="s">
        <v>74</v>
      </c>
      <c r="AC1074" t="s">
        <v>74</v>
      </c>
      <c r="AD1074" t="s">
        <v>74</v>
      </c>
      <c r="AE1074" t="s">
        <v>74</v>
      </c>
      <c r="AF1074" t="s">
        <v>74</v>
      </c>
      <c r="AG1074">
        <v>111</v>
      </c>
      <c r="AH1074">
        <v>1</v>
      </c>
      <c r="AI1074">
        <v>1</v>
      </c>
      <c r="AJ1074">
        <v>5</v>
      </c>
      <c r="AK1074">
        <v>33</v>
      </c>
      <c r="AL1074" t="s">
        <v>665</v>
      </c>
      <c r="AM1074" t="s">
        <v>666</v>
      </c>
      <c r="AN1074" t="s">
        <v>667</v>
      </c>
      <c r="AO1074" t="s">
        <v>1300</v>
      </c>
      <c r="AP1074" t="s">
        <v>1301</v>
      </c>
      <c r="AQ1074" t="s">
        <v>74</v>
      </c>
      <c r="AR1074" t="s">
        <v>1302</v>
      </c>
      <c r="AS1074" t="s">
        <v>1303</v>
      </c>
      <c r="AT1074" t="s">
        <v>7653</v>
      </c>
      <c r="AU1074">
        <v>2021</v>
      </c>
      <c r="AV1074">
        <v>33</v>
      </c>
      <c r="AW1074">
        <v>12</v>
      </c>
      <c r="AX1074" t="s">
        <v>74</v>
      </c>
      <c r="AY1074" t="s">
        <v>74</v>
      </c>
      <c r="AZ1074" t="s">
        <v>74</v>
      </c>
      <c r="BA1074" t="s">
        <v>74</v>
      </c>
      <c r="BB1074">
        <v>4439</v>
      </c>
      <c r="BC1074">
        <v>4459</v>
      </c>
      <c r="BD1074" t="s">
        <v>74</v>
      </c>
      <c r="BE1074" t="s">
        <v>18198</v>
      </c>
      <c r="BF1074" t="str">
        <f>HYPERLINK("http://dx.doi.org/10.1108/IJCHM-05-2021-0645","http://dx.doi.org/10.1108/IJCHM-05-2021-0645")</f>
        <v>http://dx.doi.org/10.1108/IJCHM-05-2021-0645</v>
      </c>
      <c r="BG1074" t="s">
        <v>74</v>
      </c>
      <c r="BH1074" t="s">
        <v>7655</v>
      </c>
      <c r="BI1074">
        <v>21</v>
      </c>
      <c r="BJ1074" t="s">
        <v>1305</v>
      </c>
      <c r="BK1074" t="s">
        <v>94</v>
      </c>
      <c r="BL1074" t="s">
        <v>1306</v>
      </c>
      <c r="BM1074" t="s">
        <v>7656</v>
      </c>
      <c r="BN1074" t="s">
        <v>74</v>
      </c>
      <c r="BO1074" t="s">
        <v>111</v>
      </c>
      <c r="BP1074" t="s">
        <v>74</v>
      </c>
      <c r="BQ1074" t="s">
        <v>74</v>
      </c>
      <c r="BR1074" t="s">
        <v>97</v>
      </c>
      <c r="BS1074" t="s">
        <v>18199</v>
      </c>
      <c r="BT1074" t="str">
        <f>HYPERLINK("https%3A%2F%2Fwww.webofscience.com%2Fwos%2Fwoscc%2Ffull-record%2FWOS:000710372300001","View Full Record in Web of Science")</f>
        <v>View Full Record in Web of Science</v>
      </c>
    </row>
    <row r="1075" spans="1:72" x14ac:dyDescent="0.25">
      <c r="A1075" t="s">
        <v>72</v>
      </c>
      <c r="B1075" t="s">
        <v>18200</v>
      </c>
      <c r="C1075" t="s">
        <v>74</v>
      </c>
      <c r="D1075" t="s">
        <v>74</v>
      </c>
      <c r="E1075" t="s">
        <v>74</v>
      </c>
      <c r="F1075" t="s">
        <v>18201</v>
      </c>
      <c r="G1075" t="s">
        <v>74</v>
      </c>
      <c r="H1075" t="s">
        <v>74</v>
      </c>
      <c r="I1075" t="s">
        <v>18202</v>
      </c>
      <c r="J1075" t="s">
        <v>16892</v>
      </c>
      <c r="K1075" t="s">
        <v>74</v>
      </c>
      <c r="L1075" t="s">
        <v>74</v>
      </c>
      <c r="M1075" t="s">
        <v>77</v>
      </c>
      <c r="N1075" t="s">
        <v>78</v>
      </c>
      <c r="O1075" t="s">
        <v>74</v>
      </c>
      <c r="P1075" t="s">
        <v>74</v>
      </c>
      <c r="Q1075" t="s">
        <v>74</v>
      </c>
      <c r="R1075" t="s">
        <v>74</v>
      </c>
      <c r="S1075" t="s">
        <v>74</v>
      </c>
      <c r="T1075" t="s">
        <v>18203</v>
      </c>
      <c r="U1075" t="s">
        <v>18204</v>
      </c>
      <c r="V1075" t="s">
        <v>18205</v>
      </c>
      <c r="W1075" t="s">
        <v>18206</v>
      </c>
      <c r="X1075" t="s">
        <v>18207</v>
      </c>
      <c r="Y1075" t="s">
        <v>18208</v>
      </c>
      <c r="Z1075" t="s">
        <v>18209</v>
      </c>
      <c r="AA1075" t="s">
        <v>18210</v>
      </c>
      <c r="AB1075" t="s">
        <v>74</v>
      </c>
      <c r="AC1075" t="s">
        <v>74</v>
      </c>
      <c r="AD1075" t="s">
        <v>74</v>
      </c>
      <c r="AE1075" t="s">
        <v>74</v>
      </c>
      <c r="AF1075" t="s">
        <v>74</v>
      </c>
      <c r="AG1075">
        <v>38</v>
      </c>
      <c r="AH1075">
        <v>1</v>
      </c>
      <c r="AI1075">
        <v>1</v>
      </c>
      <c r="AJ1075">
        <v>0</v>
      </c>
      <c r="AK1075">
        <v>0</v>
      </c>
      <c r="AL1075" t="s">
        <v>16902</v>
      </c>
      <c r="AM1075" t="s">
        <v>16903</v>
      </c>
      <c r="AN1075" t="s">
        <v>16904</v>
      </c>
      <c r="AO1075" t="s">
        <v>16905</v>
      </c>
      <c r="AP1075" t="s">
        <v>16906</v>
      </c>
      <c r="AQ1075" t="s">
        <v>74</v>
      </c>
      <c r="AR1075" t="s">
        <v>16907</v>
      </c>
      <c r="AS1075" t="s">
        <v>16908</v>
      </c>
      <c r="AT1075" t="s">
        <v>256</v>
      </c>
      <c r="AU1075">
        <v>2021</v>
      </c>
      <c r="AV1075">
        <v>25</v>
      </c>
      <c r="AW1075">
        <v>5</v>
      </c>
      <c r="AX1075" t="s">
        <v>74</v>
      </c>
      <c r="AY1075" t="s">
        <v>74</v>
      </c>
      <c r="AZ1075" t="s">
        <v>74</v>
      </c>
      <c r="BA1075" t="s">
        <v>74</v>
      </c>
      <c r="BB1075">
        <v>69</v>
      </c>
      <c r="BC1075">
        <v>78</v>
      </c>
      <c r="BD1075" t="s">
        <v>74</v>
      </c>
      <c r="BE1075" t="s">
        <v>18211</v>
      </c>
      <c r="BF1075" t="str">
        <f>HYPERLINK("http://dx.doi.org/10.29063/ajrh2021/v25i5.7","http://dx.doi.org/10.29063/ajrh2021/v25i5.7")</f>
        <v>http://dx.doi.org/10.29063/ajrh2021/v25i5.7</v>
      </c>
      <c r="BG1075" t="s">
        <v>74</v>
      </c>
      <c r="BH1075" t="s">
        <v>74</v>
      </c>
      <c r="BI1075">
        <v>10</v>
      </c>
      <c r="BJ1075" t="s">
        <v>8184</v>
      </c>
      <c r="BK1075" t="s">
        <v>94</v>
      </c>
      <c r="BL1075" t="s">
        <v>8184</v>
      </c>
      <c r="BM1075" t="s">
        <v>18212</v>
      </c>
      <c r="BN1075" t="s">
        <v>74</v>
      </c>
      <c r="BO1075" t="s">
        <v>74</v>
      </c>
      <c r="BP1075" t="s">
        <v>74</v>
      </c>
      <c r="BQ1075" t="s">
        <v>74</v>
      </c>
      <c r="BR1075" t="s">
        <v>97</v>
      </c>
      <c r="BS1075" t="s">
        <v>18213</v>
      </c>
      <c r="BT1075" t="str">
        <f>HYPERLINK("https%3A%2F%2Fwww.webofscience.com%2Fwos%2Fwoscc%2Ffull-record%2FWOS:000744066800007","View Full Record in Web of Science")</f>
        <v>View Full Record in Web of Science</v>
      </c>
    </row>
    <row r="1076" spans="1:72" x14ac:dyDescent="0.25">
      <c r="A1076" t="s">
        <v>72</v>
      </c>
      <c r="B1076" t="s">
        <v>18214</v>
      </c>
      <c r="C1076" t="s">
        <v>74</v>
      </c>
      <c r="D1076" t="s">
        <v>74</v>
      </c>
      <c r="E1076" t="s">
        <v>74</v>
      </c>
      <c r="F1076" t="s">
        <v>18215</v>
      </c>
      <c r="G1076" t="s">
        <v>74</v>
      </c>
      <c r="H1076" t="s">
        <v>74</v>
      </c>
      <c r="I1076" t="s">
        <v>18216</v>
      </c>
      <c r="J1076" t="s">
        <v>657</v>
      </c>
      <c r="K1076" t="s">
        <v>74</v>
      </c>
      <c r="L1076" t="s">
        <v>74</v>
      </c>
      <c r="M1076" t="s">
        <v>77</v>
      </c>
      <c r="N1076" t="s">
        <v>78</v>
      </c>
      <c r="O1076" t="s">
        <v>74</v>
      </c>
      <c r="P1076" t="s">
        <v>74</v>
      </c>
      <c r="Q1076" t="s">
        <v>74</v>
      </c>
      <c r="R1076" t="s">
        <v>74</v>
      </c>
      <c r="S1076" t="s">
        <v>74</v>
      </c>
      <c r="T1076" t="s">
        <v>18217</v>
      </c>
      <c r="U1076" t="s">
        <v>18218</v>
      </c>
      <c r="V1076" t="s">
        <v>18219</v>
      </c>
      <c r="W1076" t="s">
        <v>18220</v>
      </c>
      <c r="X1076" t="s">
        <v>18221</v>
      </c>
      <c r="Y1076" t="s">
        <v>18222</v>
      </c>
      <c r="Z1076" t="s">
        <v>18223</v>
      </c>
      <c r="AA1076" t="s">
        <v>74</v>
      </c>
      <c r="AB1076" t="s">
        <v>18224</v>
      </c>
      <c r="AC1076" t="s">
        <v>18225</v>
      </c>
      <c r="AD1076" t="s">
        <v>18225</v>
      </c>
      <c r="AE1076" t="s">
        <v>18226</v>
      </c>
      <c r="AF1076" t="s">
        <v>74</v>
      </c>
      <c r="AG1076">
        <v>94</v>
      </c>
      <c r="AH1076">
        <v>1</v>
      </c>
      <c r="AI1076">
        <v>1</v>
      </c>
      <c r="AJ1076">
        <v>8</v>
      </c>
      <c r="AK1076">
        <v>33</v>
      </c>
      <c r="AL1076" t="s">
        <v>665</v>
      </c>
      <c r="AM1076" t="s">
        <v>666</v>
      </c>
      <c r="AN1076" t="s">
        <v>667</v>
      </c>
      <c r="AO1076" t="s">
        <v>668</v>
      </c>
      <c r="AP1076" t="s">
        <v>669</v>
      </c>
      <c r="AQ1076" t="s">
        <v>74</v>
      </c>
      <c r="AR1076" t="s">
        <v>670</v>
      </c>
      <c r="AS1076" t="s">
        <v>671</v>
      </c>
      <c r="AT1076" t="s">
        <v>13195</v>
      </c>
      <c r="AU1076">
        <v>2022</v>
      </c>
      <c r="AV1076">
        <v>43</v>
      </c>
      <c r="AW1076">
        <v>4</v>
      </c>
      <c r="AX1076" t="s">
        <v>74</v>
      </c>
      <c r="AY1076" t="s">
        <v>74</v>
      </c>
      <c r="AZ1076" t="s">
        <v>74</v>
      </c>
      <c r="BA1076" t="s">
        <v>74</v>
      </c>
      <c r="BB1076">
        <v>1033</v>
      </c>
      <c r="BC1076">
        <v>1053</v>
      </c>
      <c r="BD1076" t="s">
        <v>74</v>
      </c>
      <c r="BE1076" t="s">
        <v>18227</v>
      </c>
      <c r="BF1076" t="str">
        <f>HYPERLINK("http://dx.doi.org/10.1108/IJM-02-2020-0044","http://dx.doi.org/10.1108/IJM-02-2020-0044")</f>
        <v>http://dx.doi.org/10.1108/IJM-02-2020-0044</v>
      </c>
      <c r="BG1076" t="s">
        <v>74</v>
      </c>
      <c r="BH1076" t="s">
        <v>6758</v>
      </c>
      <c r="BI1076">
        <v>21</v>
      </c>
      <c r="BJ1076" t="s">
        <v>673</v>
      </c>
      <c r="BK1076" t="s">
        <v>94</v>
      </c>
      <c r="BL1076" t="s">
        <v>95</v>
      </c>
      <c r="BM1076" t="s">
        <v>13197</v>
      </c>
      <c r="BN1076" t="s">
        <v>74</v>
      </c>
      <c r="BO1076" t="s">
        <v>74</v>
      </c>
      <c r="BP1076" t="s">
        <v>74</v>
      </c>
      <c r="BQ1076" t="s">
        <v>74</v>
      </c>
      <c r="BR1076" t="s">
        <v>97</v>
      </c>
      <c r="BS1076" t="s">
        <v>18228</v>
      </c>
      <c r="BT1076" t="str">
        <f>HYPERLINK("https%3A%2F%2Fwww.webofscience.com%2Fwos%2Fwoscc%2Ffull-record%2FWOS:000703098200001","View Full Record in Web of Science")</f>
        <v>View Full Record in Web of Science</v>
      </c>
    </row>
    <row r="1077" spans="1:72" x14ac:dyDescent="0.25">
      <c r="A1077" t="s">
        <v>72</v>
      </c>
      <c r="B1077" t="s">
        <v>18229</v>
      </c>
      <c r="C1077" t="s">
        <v>74</v>
      </c>
      <c r="D1077" t="s">
        <v>74</v>
      </c>
      <c r="E1077" t="s">
        <v>74</v>
      </c>
      <c r="F1077" t="s">
        <v>18230</v>
      </c>
      <c r="G1077" t="s">
        <v>74</v>
      </c>
      <c r="H1077" t="s">
        <v>74</v>
      </c>
      <c r="I1077" t="s">
        <v>18231</v>
      </c>
      <c r="J1077" t="s">
        <v>14594</v>
      </c>
      <c r="K1077" t="s">
        <v>74</v>
      </c>
      <c r="L1077" t="s">
        <v>74</v>
      </c>
      <c r="M1077" t="s">
        <v>77</v>
      </c>
      <c r="N1077" t="s">
        <v>78</v>
      </c>
      <c r="O1077" t="s">
        <v>74</v>
      </c>
      <c r="P1077" t="s">
        <v>74</v>
      </c>
      <c r="Q1077" t="s">
        <v>74</v>
      </c>
      <c r="R1077" t="s">
        <v>74</v>
      </c>
      <c r="S1077" t="s">
        <v>74</v>
      </c>
      <c r="T1077" t="s">
        <v>18232</v>
      </c>
      <c r="U1077" t="s">
        <v>18233</v>
      </c>
      <c r="V1077" t="s">
        <v>18234</v>
      </c>
      <c r="W1077" t="s">
        <v>18235</v>
      </c>
      <c r="X1077" t="s">
        <v>18236</v>
      </c>
      <c r="Y1077" t="s">
        <v>18237</v>
      </c>
      <c r="Z1077" t="s">
        <v>18238</v>
      </c>
      <c r="AA1077" t="s">
        <v>74</v>
      </c>
      <c r="AB1077" t="s">
        <v>74</v>
      </c>
      <c r="AC1077" t="s">
        <v>74</v>
      </c>
      <c r="AD1077" t="s">
        <v>74</v>
      </c>
      <c r="AE1077" t="s">
        <v>74</v>
      </c>
      <c r="AF1077" t="s">
        <v>74</v>
      </c>
      <c r="AG1077">
        <v>46</v>
      </c>
      <c r="AH1077">
        <v>1</v>
      </c>
      <c r="AI1077">
        <v>1</v>
      </c>
      <c r="AJ1077">
        <v>4</v>
      </c>
      <c r="AK1077">
        <v>9</v>
      </c>
      <c r="AL1077" t="s">
        <v>1806</v>
      </c>
      <c r="AM1077" t="s">
        <v>1046</v>
      </c>
      <c r="AN1077" t="s">
        <v>1807</v>
      </c>
      <c r="AO1077" t="s">
        <v>14602</v>
      </c>
      <c r="AP1077" t="s">
        <v>14603</v>
      </c>
      <c r="AQ1077" t="s">
        <v>74</v>
      </c>
      <c r="AR1077" t="s">
        <v>14604</v>
      </c>
      <c r="AS1077" t="s">
        <v>14605</v>
      </c>
      <c r="AT1077" t="s">
        <v>375</v>
      </c>
      <c r="AU1077">
        <v>2021</v>
      </c>
      <c r="AV1077">
        <v>18</v>
      </c>
      <c r="AW1077">
        <v>4</v>
      </c>
      <c r="AX1077" t="s">
        <v>74</v>
      </c>
      <c r="AY1077" t="s">
        <v>74</v>
      </c>
      <c r="AZ1077" t="s">
        <v>74</v>
      </c>
      <c r="BA1077" t="s">
        <v>74</v>
      </c>
      <c r="BB1077">
        <v>445</v>
      </c>
      <c r="BC1077">
        <v>459</v>
      </c>
      <c r="BD1077" t="s">
        <v>74</v>
      </c>
      <c r="BE1077" t="s">
        <v>18239</v>
      </c>
      <c r="BF1077" t="str">
        <f>HYPERLINK("http://dx.doi.org/10.1111/emre.12485","http://dx.doi.org/10.1111/emre.12485")</f>
        <v>http://dx.doi.org/10.1111/emre.12485</v>
      </c>
      <c r="BG1077" t="s">
        <v>74</v>
      </c>
      <c r="BH1077" t="s">
        <v>6758</v>
      </c>
      <c r="BI1077">
        <v>15</v>
      </c>
      <c r="BJ1077" t="s">
        <v>442</v>
      </c>
      <c r="BK1077" t="s">
        <v>94</v>
      </c>
      <c r="BL1077" t="s">
        <v>95</v>
      </c>
      <c r="BM1077" t="s">
        <v>18240</v>
      </c>
      <c r="BN1077" t="s">
        <v>74</v>
      </c>
      <c r="BO1077" t="s">
        <v>74</v>
      </c>
      <c r="BP1077" t="s">
        <v>74</v>
      </c>
      <c r="BQ1077" t="s">
        <v>74</v>
      </c>
      <c r="BR1077" t="s">
        <v>97</v>
      </c>
      <c r="BS1077" t="s">
        <v>18241</v>
      </c>
      <c r="BT1077" t="str">
        <f>HYPERLINK("https%3A%2F%2Fwww.webofscience.com%2Fwos%2Fwoscc%2Ffull-record%2FWOS:000698610500001","View Full Record in Web of Science")</f>
        <v>View Full Record in Web of Science</v>
      </c>
    </row>
    <row r="1078" spans="1:72" x14ac:dyDescent="0.25">
      <c r="A1078" t="s">
        <v>72</v>
      </c>
      <c r="B1078" t="s">
        <v>18242</v>
      </c>
      <c r="C1078" t="s">
        <v>74</v>
      </c>
      <c r="D1078" t="s">
        <v>74</v>
      </c>
      <c r="E1078" t="s">
        <v>74</v>
      </c>
      <c r="F1078" t="s">
        <v>18243</v>
      </c>
      <c r="G1078" t="s">
        <v>74</v>
      </c>
      <c r="H1078" t="s">
        <v>74</v>
      </c>
      <c r="I1078" t="s">
        <v>18244</v>
      </c>
      <c r="J1078" t="s">
        <v>18245</v>
      </c>
      <c r="K1078" t="s">
        <v>74</v>
      </c>
      <c r="L1078" t="s">
        <v>74</v>
      </c>
      <c r="M1078" t="s">
        <v>11465</v>
      </c>
      <c r="N1078" t="s">
        <v>78</v>
      </c>
      <c r="O1078" t="s">
        <v>74</v>
      </c>
      <c r="P1078" t="s">
        <v>74</v>
      </c>
      <c r="Q1078" t="s">
        <v>74</v>
      </c>
      <c r="R1078" t="s">
        <v>74</v>
      </c>
      <c r="S1078" t="s">
        <v>74</v>
      </c>
      <c r="T1078" t="s">
        <v>18246</v>
      </c>
      <c r="U1078" t="s">
        <v>18247</v>
      </c>
      <c r="V1078" t="s">
        <v>18248</v>
      </c>
      <c r="W1078" t="s">
        <v>18249</v>
      </c>
      <c r="X1078" t="s">
        <v>74</v>
      </c>
      <c r="Y1078" t="s">
        <v>18250</v>
      </c>
      <c r="Z1078" t="s">
        <v>18251</v>
      </c>
      <c r="AA1078" t="s">
        <v>18252</v>
      </c>
      <c r="AB1078" t="s">
        <v>18253</v>
      </c>
      <c r="AC1078" t="s">
        <v>74</v>
      </c>
      <c r="AD1078" t="s">
        <v>74</v>
      </c>
      <c r="AE1078" t="s">
        <v>74</v>
      </c>
      <c r="AF1078" t="s">
        <v>74</v>
      </c>
      <c r="AG1078">
        <v>86</v>
      </c>
      <c r="AH1078">
        <v>1</v>
      </c>
      <c r="AI1078">
        <v>1</v>
      </c>
      <c r="AJ1078">
        <v>9</v>
      </c>
      <c r="AK1078">
        <v>33</v>
      </c>
      <c r="AL1078" t="s">
        <v>18254</v>
      </c>
      <c r="AM1078" t="s">
        <v>2653</v>
      </c>
      <c r="AN1078" t="s">
        <v>18255</v>
      </c>
      <c r="AO1078" t="s">
        <v>18256</v>
      </c>
      <c r="AP1078" t="s">
        <v>18257</v>
      </c>
      <c r="AQ1078" t="s">
        <v>74</v>
      </c>
      <c r="AR1078" t="s">
        <v>18258</v>
      </c>
      <c r="AS1078" t="s">
        <v>18259</v>
      </c>
      <c r="AT1078" t="s">
        <v>122</v>
      </c>
      <c r="AU1078">
        <v>2022</v>
      </c>
      <c r="AV1078">
        <v>66</v>
      </c>
      <c r="AW1078">
        <v>2</v>
      </c>
      <c r="AX1078" t="s">
        <v>74</v>
      </c>
      <c r="AY1078" t="s">
        <v>74</v>
      </c>
      <c r="AZ1078" t="s">
        <v>74</v>
      </c>
      <c r="BA1078" t="s">
        <v>74</v>
      </c>
      <c r="BB1078">
        <v>72</v>
      </c>
      <c r="BC1078">
        <v>86</v>
      </c>
      <c r="BD1078" t="s">
        <v>74</v>
      </c>
      <c r="BE1078" t="s">
        <v>18260</v>
      </c>
      <c r="BF1078" t="str">
        <f>HYPERLINK("http://dx.doi.org/10.1026/0932-4089/a000373","http://dx.doi.org/10.1026/0932-4089/a000373")</f>
        <v>http://dx.doi.org/10.1026/0932-4089/a000373</v>
      </c>
      <c r="BG1078" t="s">
        <v>74</v>
      </c>
      <c r="BH1078" t="s">
        <v>6758</v>
      </c>
      <c r="BI1078">
        <v>15</v>
      </c>
      <c r="BJ1078" t="s">
        <v>692</v>
      </c>
      <c r="BK1078" t="s">
        <v>94</v>
      </c>
      <c r="BL1078" t="s">
        <v>460</v>
      </c>
      <c r="BM1078" t="s">
        <v>18261</v>
      </c>
      <c r="BN1078" t="s">
        <v>74</v>
      </c>
      <c r="BO1078" t="s">
        <v>408</v>
      </c>
      <c r="BP1078" t="s">
        <v>74</v>
      </c>
      <c r="BQ1078" t="s">
        <v>74</v>
      </c>
      <c r="BR1078" t="s">
        <v>97</v>
      </c>
      <c r="BS1078" t="s">
        <v>18262</v>
      </c>
      <c r="BT1078" t="str">
        <f>HYPERLINK("https%3A%2F%2Fwww.webofscience.com%2Fwos%2Fwoscc%2Ffull-record%2FWOS:000701748400001","View Full Record in Web of Science")</f>
        <v>View Full Record in Web of Science</v>
      </c>
    </row>
    <row r="1079" spans="1:72" x14ac:dyDescent="0.25">
      <c r="A1079" t="s">
        <v>72</v>
      </c>
      <c r="B1079" t="s">
        <v>18263</v>
      </c>
      <c r="C1079" t="s">
        <v>74</v>
      </c>
      <c r="D1079" t="s">
        <v>74</v>
      </c>
      <c r="E1079" t="s">
        <v>74</v>
      </c>
      <c r="F1079" t="s">
        <v>18264</v>
      </c>
      <c r="G1079" t="s">
        <v>74</v>
      </c>
      <c r="H1079" t="s">
        <v>74</v>
      </c>
      <c r="I1079" t="s">
        <v>18265</v>
      </c>
      <c r="J1079" t="s">
        <v>18266</v>
      </c>
      <c r="K1079" t="s">
        <v>74</v>
      </c>
      <c r="L1079" t="s">
        <v>74</v>
      </c>
      <c r="M1079" t="s">
        <v>77</v>
      </c>
      <c r="N1079" t="s">
        <v>78</v>
      </c>
      <c r="O1079" t="s">
        <v>74</v>
      </c>
      <c r="P1079" t="s">
        <v>74</v>
      </c>
      <c r="Q1079" t="s">
        <v>74</v>
      </c>
      <c r="R1079" t="s">
        <v>74</v>
      </c>
      <c r="S1079" t="s">
        <v>74</v>
      </c>
      <c r="T1079" t="s">
        <v>18267</v>
      </c>
      <c r="U1079" t="s">
        <v>18268</v>
      </c>
      <c r="V1079" t="s">
        <v>18269</v>
      </c>
      <c r="W1079" t="s">
        <v>18270</v>
      </c>
      <c r="X1079" t="s">
        <v>4903</v>
      </c>
      <c r="Y1079" t="s">
        <v>18271</v>
      </c>
      <c r="Z1079" t="s">
        <v>18272</v>
      </c>
      <c r="AA1079" t="s">
        <v>74</v>
      </c>
      <c r="AB1079" t="s">
        <v>18273</v>
      </c>
      <c r="AC1079" t="s">
        <v>18274</v>
      </c>
      <c r="AD1079" t="s">
        <v>74</v>
      </c>
      <c r="AE1079" t="s">
        <v>18275</v>
      </c>
      <c r="AF1079" t="s">
        <v>74</v>
      </c>
      <c r="AG1079">
        <v>59</v>
      </c>
      <c r="AH1079">
        <v>1</v>
      </c>
      <c r="AI1079">
        <v>1</v>
      </c>
      <c r="AJ1079">
        <v>6</v>
      </c>
      <c r="AK1079">
        <v>23</v>
      </c>
      <c r="AL1079" t="s">
        <v>766</v>
      </c>
      <c r="AM1079" t="s">
        <v>1193</v>
      </c>
      <c r="AN1079" t="s">
        <v>1498</v>
      </c>
      <c r="AO1079" t="s">
        <v>18276</v>
      </c>
      <c r="AP1079" t="s">
        <v>18277</v>
      </c>
      <c r="AQ1079" t="s">
        <v>74</v>
      </c>
      <c r="AR1079" t="s">
        <v>18278</v>
      </c>
      <c r="AS1079" t="s">
        <v>18279</v>
      </c>
      <c r="AT1079" t="s">
        <v>792</v>
      </c>
      <c r="AU1079">
        <v>2022</v>
      </c>
      <c r="AV1079">
        <v>84</v>
      </c>
      <c r="AW1079">
        <v>1</v>
      </c>
      <c r="AX1079" t="s">
        <v>74</v>
      </c>
      <c r="AY1079" t="s">
        <v>74</v>
      </c>
      <c r="AZ1079" t="s">
        <v>74</v>
      </c>
      <c r="BA1079" t="s">
        <v>74</v>
      </c>
      <c r="BB1079">
        <v>101</v>
      </c>
      <c r="BC1079">
        <v>120</v>
      </c>
      <c r="BD1079" t="s">
        <v>74</v>
      </c>
      <c r="BE1079" t="s">
        <v>18280</v>
      </c>
      <c r="BF1079" t="str">
        <f>HYPERLINK("http://dx.doi.org/10.1007/s10734-021-00756-x","http://dx.doi.org/10.1007/s10734-021-00756-x")</f>
        <v>http://dx.doi.org/10.1007/s10734-021-00756-x</v>
      </c>
      <c r="BG1079" t="s">
        <v>74</v>
      </c>
      <c r="BH1079" t="s">
        <v>6758</v>
      </c>
      <c r="BI1079">
        <v>20</v>
      </c>
      <c r="BJ1079" t="s">
        <v>815</v>
      </c>
      <c r="BK1079" t="s">
        <v>94</v>
      </c>
      <c r="BL1079" t="s">
        <v>815</v>
      </c>
      <c r="BM1079" t="s">
        <v>18281</v>
      </c>
      <c r="BN1079">
        <v>34511633</v>
      </c>
      <c r="BO1079" t="s">
        <v>18282</v>
      </c>
      <c r="BP1079" t="s">
        <v>74</v>
      </c>
      <c r="BQ1079" t="s">
        <v>74</v>
      </c>
      <c r="BR1079" t="s">
        <v>97</v>
      </c>
      <c r="BS1079" t="s">
        <v>18283</v>
      </c>
      <c r="BT1079" t="str">
        <f>HYPERLINK("https%3A%2F%2Fwww.webofscience.com%2Fwos%2Fwoscc%2Ffull-record%2FWOS:000692985900002","View Full Record in Web of Science")</f>
        <v>View Full Record in Web of Science</v>
      </c>
    </row>
    <row r="1080" spans="1:72" x14ac:dyDescent="0.25">
      <c r="A1080" t="s">
        <v>72</v>
      </c>
      <c r="B1080" t="s">
        <v>18284</v>
      </c>
      <c r="C1080" t="s">
        <v>74</v>
      </c>
      <c r="D1080" t="s">
        <v>74</v>
      </c>
      <c r="E1080" t="s">
        <v>74</v>
      </c>
      <c r="F1080" t="s">
        <v>18285</v>
      </c>
      <c r="G1080" t="s">
        <v>74</v>
      </c>
      <c r="H1080" t="s">
        <v>74</v>
      </c>
      <c r="I1080" t="s">
        <v>18286</v>
      </c>
      <c r="J1080" t="s">
        <v>17913</v>
      </c>
      <c r="K1080" t="s">
        <v>74</v>
      </c>
      <c r="L1080" t="s">
        <v>74</v>
      </c>
      <c r="M1080" t="s">
        <v>77</v>
      </c>
      <c r="N1080" t="s">
        <v>78</v>
      </c>
      <c r="O1080" t="s">
        <v>74</v>
      </c>
      <c r="P1080" t="s">
        <v>74</v>
      </c>
      <c r="Q1080" t="s">
        <v>74</v>
      </c>
      <c r="R1080" t="s">
        <v>74</v>
      </c>
      <c r="S1080" t="s">
        <v>74</v>
      </c>
      <c r="T1080" t="s">
        <v>18287</v>
      </c>
      <c r="U1080" t="s">
        <v>18288</v>
      </c>
      <c r="V1080" t="s">
        <v>18289</v>
      </c>
      <c r="W1080" t="s">
        <v>18290</v>
      </c>
      <c r="X1080" t="s">
        <v>11495</v>
      </c>
      <c r="Y1080" t="s">
        <v>11496</v>
      </c>
      <c r="Z1080" t="s">
        <v>11497</v>
      </c>
      <c r="AA1080" t="s">
        <v>11498</v>
      </c>
      <c r="AB1080" t="s">
        <v>11499</v>
      </c>
      <c r="AC1080" t="s">
        <v>18291</v>
      </c>
      <c r="AD1080" t="s">
        <v>18292</v>
      </c>
      <c r="AE1080" t="s">
        <v>18293</v>
      </c>
      <c r="AF1080" t="s">
        <v>74</v>
      </c>
      <c r="AG1080">
        <v>50</v>
      </c>
      <c r="AH1080">
        <v>1</v>
      </c>
      <c r="AI1080">
        <v>1</v>
      </c>
      <c r="AJ1080">
        <v>10</v>
      </c>
      <c r="AK1080">
        <v>54</v>
      </c>
      <c r="AL1080" t="s">
        <v>350</v>
      </c>
      <c r="AM1080" t="s">
        <v>351</v>
      </c>
      <c r="AN1080" t="s">
        <v>352</v>
      </c>
      <c r="AO1080" t="s">
        <v>17922</v>
      </c>
      <c r="AP1080" t="s">
        <v>17923</v>
      </c>
      <c r="AQ1080" t="s">
        <v>74</v>
      </c>
      <c r="AR1080" t="s">
        <v>17924</v>
      </c>
      <c r="AS1080" t="s">
        <v>17925</v>
      </c>
      <c r="AT1080" t="s">
        <v>375</v>
      </c>
      <c r="AU1080">
        <v>2022</v>
      </c>
      <c r="AV1080">
        <v>125</v>
      </c>
      <c r="AW1080">
        <v>6</v>
      </c>
      <c r="AX1080" t="s">
        <v>74</v>
      </c>
      <c r="AY1080" t="s">
        <v>74</v>
      </c>
      <c r="AZ1080" t="s">
        <v>74</v>
      </c>
      <c r="BA1080" t="s">
        <v>74</v>
      </c>
      <c r="BB1080">
        <v>3162</v>
      </c>
      <c r="BC1080">
        <v>3182</v>
      </c>
      <c r="BD1080">
        <v>332941211037598</v>
      </c>
      <c r="BE1080" t="s">
        <v>18294</v>
      </c>
      <c r="BF1080" t="str">
        <f>HYPERLINK("http://dx.doi.org/10.1177/00332941211037598","http://dx.doi.org/10.1177/00332941211037598")</f>
        <v>http://dx.doi.org/10.1177/00332941211037598</v>
      </c>
      <c r="BG1080" t="s">
        <v>74</v>
      </c>
      <c r="BH1080" t="s">
        <v>7676</v>
      </c>
      <c r="BI1080">
        <v>21</v>
      </c>
      <c r="BJ1080" t="s">
        <v>3203</v>
      </c>
      <c r="BK1080" t="s">
        <v>94</v>
      </c>
      <c r="BL1080" t="s">
        <v>460</v>
      </c>
      <c r="BM1080" t="s">
        <v>18295</v>
      </c>
      <c r="BN1080">
        <v>34382457</v>
      </c>
      <c r="BO1080" t="s">
        <v>74</v>
      </c>
      <c r="BP1080" t="s">
        <v>74</v>
      </c>
      <c r="BQ1080" t="s">
        <v>74</v>
      </c>
      <c r="BR1080" t="s">
        <v>97</v>
      </c>
      <c r="BS1080" t="s">
        <v>18296</v>
      </c>
      <c r="BT1080" t="str">
        <f>HYPERLINK("https%3A%2F%2Fwww.webofscience.com%2Fwos%2Fwoscc%2Ffull-record%2FWOS:000684649700001","View Full Record in Web of Science")</f>
        <v>View Full Record in Web of Science</v>
      </c>
    </row>
    <row r="1081" spans="1:72" x14ac:dyDescent="0.25">
      <c r="A1081" t="s">
        <v>72</v>
      </c>
      <c r="B1081" t="s">
        <v>7990</v>
      </c>
      <c r="C1081" t="s">
        <v>74</v>
      </c>
      <c r="D1081" t="s">
        <v>74</v>
      </c>
      <c r="E1081" t="s">
        <v>74</v>
      </c>
      <c r="F1081" t="s">
        <v>7991</v>
      </c>
      <c r="G1081" t="s">
        <v>74</v>
      </c>
      <c r="H1081" t="s">
        <v>74</v>
      </c>
      <c r="I1081" t="s">
        <v>18297</v>
      </c>
      <c r="J1081" t="s">
        <v>9598</v>
      </c>
      <c r="K1081" t="s">
        <v>74</v>
      </c>
      <c r="L1081" t="s">
        <v>74</v>
      </c>
      <c r="M1081" t="s">
        <v>77</v>
      </c>
      <c r="N1081" t="s">
        <v>78</v>
      </c>
      <c r="O1081" t="s">
        <v>74</v>
      </c>
      <c r="P1081" t="s">
        <v>74</v>
      </c>
      <c r="Q1081" t="s">
        <v>74</v>
      </c>
      <c r="R1081" t="s">
        <v>74</v>
      </c>
      <c r="S1081" t="s">
        <v>74</v>
      </c>
      <c r="T1081" t="s">
        <v>18298</v>
      </c>
      <c r="U1081" t="s">
        <v>18299</v>
      </c>
      <c r="V1081" t="s">
        <v>18300</v>
      </c>
      <c r="W1081" t="s">
        <v>18301</v>
      </c>
      <c r="X1081" t="s">
        <v>7998</v>
      </c>
      <c r="Y1081" t="s">
        <v>18302</v>
      </c>
      <c r="Z1081" t="s">
        <v>8000</v>
      </c>
      <c r="AA1081" t="s">
        <v>18303</v>
      </c>
      <c r="AB1081" t="s">
        <v>74</v>
      </c>
      <c r="AC1081" t="s">
        <v>11098</v>
      </c>
      <c r="AD1081" t="s">
        <v>8685</v>
      </c>
      <c r="AE1081" t="s">
        <v>18304</v>
      </c>
      <c r="AF1081" t="s">
        <v>74</v>
      </c>
      <c r="AG1081">
        <v>57</v>
      </c>
      <c r="AH1081">
        <v>1</v>
      </c>
      <c r="AI1081">
        <v>1</v>
      </c>
      <c r="AJ1081">
        <v>3</v>
      </c>
      <c r="AK1081">
        <v>26</v>
      </c>
      <c r="AL1081" t="s">
        <v>350</v>
      </c>
      <c r="AM1081" t="s">
        <v>351</v>
      </c>
      <c r="AN1081" t="s">
        <v>352</v>
      </c>
      <c r="AO1081" t="s">
        <v>9607</v>
      </c>
      <c r="AP1081" t="s">
        <v>18305</v>
      </c>
      <c r="AQ1081" t="s">
        <v>74</v>
      </c>
      <c r="AR1081" t="s">
        <v>9608</v>
      </c>
      <c r="AS1081" t="s">
        <v>9609</v>
      </c>
      <c r="AT1081" t="s">
        <v>375</v>
      </c>
      <c r="AU1081">
        <v>2022</v>
      </c>
      <c r="AV1081">
        <v>49</v>
      </c>
      <c r="AW1081">
        <v>6</v>
      </c>
      <c r="AX1081" t="s">
        <v>74</v>
      </c>
      <c r="AY1081" t="s">
        <v>74</v>
      </c>
      <c r="AZ1081" t="s">
        <v>74</v>
      </c>
      <c r="BA1081" t="s">
        <v>74</v>
      </c>
      <c r="BB1081">
        <v>1337</v>
      </c>
      <c r="BC1081">
        <v>1350</v>
      </c>
      <c r="BD1081">
        <v>8948453211037396</v>
      </c>
      <c r="BE1081" t="s">
        <v>18306</v>
      </c>
      <c r="BF1081" t="str">
        <f>HYPERLINK("http://dx.doi.org/10.1177/08948453211037396","http://dx.doi.org/10.1177/08948453211037396")</f>
        <v>http://dx.doi.org/10.1177/08948453211037396</v>
      </c>
      <c r="BG1081" t="s">
        <v>74</v>
      </c>
      <c r="BH1081" t="s">
        <v>7676</v>
      </c>
      <c r="BI1081">
        <v>14</v>
      </c>
      <c r="BJ1081" t="s">
        <v>692</v>
      </c>
      <c r="BK1081" t="s">
        <v>94</v>
      </c>
      <c r="BL1081" t="s">
        <v>460</v>
      </c>
      <c r="BM1081" t="s">
        <v>18307</v>
      </c>
      <c r="BN1081" t="s">
        <v>74</v>
      </c>
      <c r="BO1081" t="s">
        <v>74</v>
      </c>
      <c r="BP1081" t="s">
        <v>74</v>
      </c>
      <c r="BQ1081" t="s">
        <v>74</v>
      </c>
      <c r="BR1081" t="s">
        <v>97</v>
      </c>
      <c r="BS1081" t="s">
        <v>18308</v>
      </c>
      <c r="BT1081" t="str">
        <f>HYPERLINK("https%3A%2F%2Fwww.webofscience.com%2Fwos%2Fwoscc%2Ffull-record%2FWOS:000683931700001","View Full Record in Web of Science")</f>
        <v>View Full Record in Web of Science</v>
      </c>
    </row>
    <row r="1082" spans="1:72" x14ac:dyDescent="0.25">
      <c r="A1082" t="s">
        <v>72</v>
      </c>
      <c r="B1082" t="s">
        <v>18309</v>
      </c>
      <c r="C1082" t="s">
        <v>74</v>
      </c>
      <c r="D1082" t="s">
        <v>74</v>
      </c>
      <c r="E1082" t="s">
        <v>74</v>
      </c>
      <c r="F1082" t="s">
        <v>18310</v>
      </c>
      <c r="G1082" t="s">
        <v>74</v>
      </c>
      <c r="H1082" t="s">
        <v>74</v>
      </c>
      <c r="I1082" t="s">
        <v>18311</v>
      </c>
      <c r="J1082" t="s">
        <v>2463</v>
      </c>
      <c r="K1082" t="s">
        <v>74</v>
      </c>
      <c r="L1082" t="s">
        <v>74</v>
      </c>
      <c r="M1082" t="s">
        <v>77</v>
      </c>
      <c r="N1082" t="s">
        <v>78</v>
      </c>
      <c r="O1082" t="s">
        <v>74</v>
      </c>
      <c r="P1082" t="s">
        <v>74</v>
      </c>
      <c r="Q1082" t="s">
        <v>74</v>
      </c>
      <c r="R1082" t="s">
        <v>74</v>
      </c>
      <c r="S1082" t="s">
        <v>74</v>
      </c>
      <c r="T1082" t="s">
        <v>18312</v>
      </c>
      <c r="U1082" t="s">
        <v>18313</v>
      </c>
      <c r="V1082" t="s">
        <v>18314</v>
      </c>
      <c r="W1082" t="s">
        <v>18315</v>
      </c>
      <c r="X1082" t="s">
        <v>9194</v>
      </c>
      <c r="Y1082" t="s">
        <v>18316</v>
      </c>
      <c r="Z1082" t="s">
        <v>18317</v>
      </c>
      <c r="AA1082" t="s">
        <v>74</v>
      </c>
      <c r="AB1082" t="s">
        <v>18318</v>
      </c>
      <c r="AC1082" t="s">
        <v>74</v>
      </c>
      <c r="AD1082" t="s">
        <v>74</v>
      </c>
      <c r="AE1082" t="s">
        <v>74</v>
      </c>
      <c r="AF1082" t="s">
        <v>74</v>
      </c>
      <c r="AG1082">
        <v>33</v>
      </c>
      <c r="AH1082">
        <v>1</v>
      </c>
      <c r="AI1082">
        <v>1</v>
      </c>
      <c r="AJ1082">
        <v>1</v>
      </c>
      <c r="AK1082">
        <v>5</v>
      </c>
      <c r="AL1082" t="s">
        <v>2473</v>
      </c>
      <c r="AM1082" t="s">
        <v>2102</v>
      </c>
      <c r="AN1082" t="s">
        <v>2474</v>
      </c>
      <c r="AO1082" t="s">
        <v>74</v>
      </c>
      <c r="AP1082" t="s">
        <v>2475</v>
      </c>
      <c r="AQ1082" t="s">
        <v>74</v>
      </c>
      <c r="AR1082" t="s">
        <v>2476</v>
      </c>
      <c r="AS1082" t="s">
        <v>2477</v>
      </c>
      <c r="AT1082" t="s">
        <v>392</v>
      </c>
      <c r="AU1082">
        <v>2021</v>
      </c>
      <c r="AV1082">
        <v>13</v>
      </c>
      <c r="AW1082">
        <v>16</v>
      </c>
      <c r="AX1082" t="s">
        <v>74</v>
      </c>
      <c r="AY1082" t="s">
        <v>74</v>
      </c>
      <c r="AZ1082" t="s">
        <v>74</v>
      </c>
      <c r="BA1082" t="s">
        <v>74</v>
      </c>
      <c r="BB1082" t="s">
        <v>74</v>
      </c>
      <c r="BC1082" t="s">
        <v>74</v>
      </c>
      <c r="BD1082">
        <v>9138</v>
      </c>
      <c r="BE1082" t="s">
        <v>18319</v>
      </c>
      <c r="BF1082" t="str">
        <f>HYPERLINK("http://dx.doi.org/10.3390/su13169138","http://dx.doi.org/10.3390/su13169138")</f>
        <v>http://dx.doi.org/10.3390/su13169138</v>
      </c>
      <c r="BG1082" t="s">
        <v>74</v>
      </c>
      <c r="BH1082" t="s">
        <v>74</v>
      </c>
      <c r="BI1082">
        <v>11</v>
      </c>
      <c r="BJ1082" t="s">
        <v>2479</v>
      </c>
      <c r="BK1082" t="s">
        <v>147</v>
      </c>
      <c r="BL1082" t="s">
        <v>2480</v>
      </c>
      <c r="BM1082" t="s">
        <v>18320</v>
      </c>
      <c r="BN1082" t="s">
        <v>74</v>
      </c>
      <c r="BO1082" t="s">
        <v>2482</v>
      </c>
      <c r="BP1082" t="s">
        <v>74</v>
      </c>
      <c r="BQ1082" t="s">
        <v>74</v>
      </c>
      <c r="BR1082" t="s">
        <v>97</v>
      </c>
      <c r="BS1082" t="s">
        <v>18321</v>
      </c>
      <c r="BT1082" t="str">
        <f>HYPERLINK("https%3A%2F%2Fwww.webofscience.com%2Fwos%2Fwoscc%2Ffull-record%2FWOS:000689903500001","View Full Record in Web of Science")</f>
        <v>View Full Record in Web of Science</v>
      </c>
    </row>
    <row r="1083" spans="1:72" x14ac:dyDescent="0.25">
      <c r="A1083" t="s">
        <v>72</v>
      </c>
      <c r="B1083" t="s">
        <v>18322</v>
      </c>
      <c r="C1083" t="s">
        <v>74</v>
      </c>
      <c r="D1083" t="s">
        <v>74</v>
      </c>
      <c r="E1083" t="s">
        <v>74</v>
      </c>
      <c r="F1083" t="s">
        <v>18323</v>
      </c>
      <c r="G1083" t="s">
        <v>74</v>
      </c>
      <c r="H1083" t="s">
        <v>74</v>
      </c>
      <c r="I1083" t="s">
        <v>18324</v>
      </c>
      <c r="J1083" t="s">
        <v>2463</v>
      </c>
      <c r="K1083" t="s">
        <v>74</v>
      </c>
      <c r="L1083" t="s">
        <v>74</v>
      </c>
      <c r="M1083" t="s">
        <v>77</v>
      </c>
      <c r="N1083" t="s">
        <v>78</v>
      </c>
      <c r="O1083" t="s">
        <v>74</v>
      </c>
      <c r="P1083" t="s">
        <v>74</v>
      </c>
      <c r="Q1083" t="s">
        <v>74</v>
      </c>
      <c r="R1083" t="s">
        <v>74</v>
      </c>
      <c r="S1083" t="s">
        <v>74</v>
      </c>
      <c r="T1083" t="s">
        <v>18325</v>
      </c>
      <c r="U1083" t="s">
        <v>18326</v>
      </c>
      <c r="V1083" t="s">
        <v>18327</v>
      </c>
      <c r="W1083" t="s">
        <v>18328</v>
      </c>
      <c r="X1083" t="s">
        <v>18329</v>
      </c>
      <c r="Y1083" t="s">
        <v>18330</v>
      </c>
      <c r="Z1083" t="s">
        <v>18331</v>
      </c>
      <c r="AA1083" t="s">
        <v>74</v>
      </c>
      <c r="AB1083" t="s">
        <v>18332</v>
      </c>
      <c r="AC1083" t="s">
        <v>18333</v>
      </c>
      <c r="AD1083" t="s">
        <v>18334</v>
      </c>
      <c r="AE1083" t="s">
        <v>18335</v>
      </c>
      <c r="AF1083" t="s">
        <v>74</v>
      </c>
      <c r="AG1083">
        <v>58</v>
      </c>
      <c r="AH1083">
        <v>1</v>
      </c>
      <c r="AI1083">
        <v>1</v>
      </c>
      <c r="AJ1083">
        <v>24</v>
      </c>
      <c r="AK1083">
        <v>51</v>
      </c>
      <c r="AL1083" t="s">
        <v>2473</v>
      </c>
      <c r="AM1083" t="s">
        <v>2102</v>
      </c>
      <c r="AN1083" t="s">
        <v>2474</v>
      </c>
      <c r="AO1083" t="s">
        <v>74</v>
      </c>
      <c r="AP1083" t="s">
        <v>2475</v>
      </c>
      <c r="AQ1083" t="s">
        <v>74</v>
      </c>
      <c r="AR1083" t="s">
        <v>2476</v>
      </c>
      <c r="AS1083" t="s">
        <v>2477</v>
      </c>
      <c r="AT1083" t="s">
        <v>392</v>
      </c>
      <c r="AU1083">
        <v>2021</v>
      </c>
      <c r="AV1083">
        <v>13</v>
      </c>
      <c r="AW1083">
        <v>16</v>
      </c>
      <c r="AX1083" t="s">
        <v>74</v>
      </c>
      <c r="AY1083" t="s">
        <v>74</v>
      </c>
      <c r="AZ1083" t="s">
        <v>74</v>
      </c>
      <c r="BA1083" t="s">
        <v>74</v>
      </c>
      <c r="BB1083" t="s">
        <v>74</v>
      </c>
      <c r="BC1083" t="s">
        <v>74</v>
      </c>
      <c r="BD1083">
        <v>9190</v>
      </c>
      <c r="BE1083" t="s">
        <v>18336</v>
      </c>
      <c r="BF1083" t="str">
        <f>HYPERLINK("http://dx.doi.org/10.3390/su13169190","http://dx.doi.org/10.3390/su13169190")</f>
        <v>http://dx.doi.org/10.3390/su13169190</v>
      </c>
      <c r="BG1083" t="s">
        <v>74</v>
      </c>
      <c r="BH1083" t="s">
        <v>74</v>
      </c>
      <c r="BI1083">
        <v>14</v>
      </c>
      <c r="BJ1083" t="s">
        <v>2479</v>
      </c>
      <c r="BK1083" t="s">
        <v>147</v>
      </c>
      <c r="BL1083" t="s">
        <v>2480</v>
      </c>
      <c r="BM1083" t="s">
        <v>18337</v>
      </c>
      <c r="BN1083" t="s">
        <v>74</v>
      </c>
      <c r="BO1083" t="s">
        <v>2482</v>
      </c>
      <c r="BP1083" t="s">
        <v>74</v>
      </c>
      <c r="BQ1083" t="s">
        <v>74</v>
      </c>
      <c r="BR1083" t="s">
        <v>97</v>
      </c>
      <c r="BS1083" t="s">
        <v>18338</v>
      </c>
      <c r="BT1083" t="str">
        <f>HYPERLINK("https%3A%2F%2Fwww.webofscience.com%2Fwos%2Fwoscc%2Ffull-record%2FWOS:000689764300001","View Full Record in Web of Science")</f>
        <v>View Full Record in Web of Science</v>
      </c>
    </row>
    <row r="1084" spans="1:72" x14ac:dyDescent="0.25">
      <c r="A1084" t="s">
        <v>72</v>
      </c>
      <c r="B1084" t="s">
        <v>18339</v>
      </c>
      <c r="C1084" t="s">
        <v>74</v>
      </c>
      <c r="D1084" t="s">
        <v>74</v>
      </c>
      <c r="E1084" t="s">
        <v>74</v>
      </c>
      <c r="F1084" t="s">
        <v>18340</v>
      </c>
      <c r="G1084" t="s">
        <v>74</v>
      </c>
      <c r="H1084" t="s">
        <v>74</v>
      </c>
      <c r="I1084" t="s">
        <v>18341</v>
      </c>
      <c r="J1084" t="s">
        <v>5649</v>
      </c>
      <c r="K1084" t="s">
        <v>74</v>
      </c>
      <c r="L1084" t="s">
        <v>74</v>
      </c>
      <c r="M1084" t="s">
        <v>77</v>
      </c>
      <c r="N1084" t="s">
        <v>78</v>
      </c>
      <c r="O1084" t="s">
        <v>74</v>
      </c>
      <c r="P1084" t="s">
        <v>74</v>
      </c>
      <c r="Q1084" t="s">
        <v>74</v>
      </c>
      <c r="R1084" t="s">
        <v>74</v>
      </c>
      <c r="S1084" t="s">
        <v>74</v>
      </c>
      <c r="T1084" t="s">
        <v>18342</v>
      </c>
      <c r="U1084" t="s">
        <v>18343</v>
      </c>
      <c r="V1084" t="s">
        <v>18344</v>
      </c>
      <c r="W1084" t="s">
        <v>18345</v>
      </c>
      <c r="X1084" t="s">
        <v>2003</v>
      </c>
      <c r="Y1084" t="s">
        <v>18346</v>
      </c>
      <c r="Z1084" t="s">
        <v>18347</v>
      </c>
      <c r="AA1084" t="s">
        <v>18348</v>
      </c>
      <c r="AB1084" t="s">
        <v>18349</v>
      </c>
      <c r="AC1084" t="s">
        <v>74</v>
      </c>
      <c r="AD1084" t="s">
        <v>74</v>
      </c>
      <c r="AE1084" t="s">
        <v>74</v>
      </c>
      <c r="AF1084" t="s">
        <v>74</v>
      </c>
      <c r="AG1084">
        <v>84</v>
      </c>
      <c r="AH1084">
        <v>1</v>
      </c>
      <c r="AI1084">
        <v>1</v>
      </c>
      <c r="AJ1084">
        <v>0</v>
      </c>
      <c r="AK1084">
        <v>11</v>
      </c>
      <c r="AL1084" t="s">
        <v>1099</v>
      </c>
      <c r="AM1084" t="s">
        <v>305</v>
      </c>
      <c r="AN1084" t="s">
        <v>1100</v>
      </c>
      <c r="AO1084" t="s">
        <v>5654</v>
      </c>
      <c r="AP1084" t="s">
        <v>5655</v>
      </c>
      <c r="AQ1084" t="s">
        <v>74</v>
      </c>
      <c r="AR1084" t="s">
        <v>5656</v>
      </c>
      <c r="AS1084" t="s">
        <v>5657</v>
      </c>
      <c r="AT1084" t="s">
        <v>7597</v>
      </c>
      <c r="AU1084">
        <v>2023</v>
      </c>
      <c r="AV1084">
        <v>32</v>
      </c>
      <c r="AW1084">
        <v>3</v>
      </c>
      <c r="AX1084" t="s">
        <v>74</v>
      </c>
      <c r="AY1084" t="s">
        <v>74</v>
      </c>
      <c r="AZ1084" t="s">
        <v>74</v>
      </c>
      <c r="BA1084" t="s">
        <v>74</v>
      </c>
      <c r="BB1084">
        <v>432</v>
      </c>
      <c r="BC1084">
        <v>448</v>
      </c>
      <c r="BD1084" t="s">
        <v>74</v>
      </c>
      <c r="BE1084" t="s">
        <v>18350</v>
      </c>
      <c r="BF1084" t="str">
        <f>HYPERLINK("http://dx.doi.org/10.1080/10438599.2021.1950539","http://dx.doi.org/10.1080/10438599.2021.1950539")</f>
        <v>http://dx.doi.org/10.1080/10438599.2021.1950539</v>
      </c>
      <c r="BG1084" t="s">
        <v>74</v>
      </c>
      <c r="BH1084" t="s">
        <v>8573</v>
      </c>
      <c r="BI1084">
        <v>17</v>
      </c>
      <c r="BJ1084" t="s">
        <v>2599</v>
      </c>
      <c r="BK1084" t="s">
        <v>94</v>
      </c>
      <c r="BL1084" t="s">
        <v>95</v>
      </c>
      <c r="BM1084" t="s">
        <v>18351</v>
      </c>
      <c r="BN1084" t="s">
        <v>74</v>
      </c>
      <c r="BO1084" t="s">
        <v>74</v>
      </c>
      <c r="BP1084" t="s">
        <v>74</v>
      </c>
      <c r="BQ1084" t="s">
        <v>74</v>
      </c>
      <c r="BR1084" t="s">
        <v>97</v>
      </c>
      <c r="BS1084" t="s">
        <v>18352</v>
      </c>
      <c r="BT1084" t="str">
        <f>HYPERLINK("https%3A%2F%2Fwww.webofscience.com%2Fwos%2Fwoscc%2Ffull-record%2FWOS:000673155200001","View Full Record in Web of Science")</f>
        <v>View Full Record in Web of Science</v>
      </c>
    </row>
    <row r="1085" spans="1:72" x14ac:dyDescent="0.25">
      <c r="A1085" t="s">
        <v>72</v>
      </c>
      <c r="B1085" t="s">
        <v>18353</v>
      </c>
      <c r="C1085" t="s">
        <v>74</v>
      </c>
      <c r="D1085" t="s">
        <v>74</v>
      </c>
      <c r="E1085" t="s">
        <v>74</v>
      </c>
      <c r="F1085" t="s">
        <v>18354</v>
      </c>
      <c r="G1085" t="s">
        <v>74</v>
      </c>
      <c r="H1085" t="s">
        <v>74</v>
      </c>
      <c r="I1085" t="s">
        <v>18355</v>
      </c>
      <c r="J1085" t="s">
        <v>15973</v>
      </c>
      <c r="K1085" t="s">
        <v>74</v>
      </c>
      <c r="L1085" t="s">
        <v>74</v>
      </c>
      <c r="M1085" t="s">
        <v>77</v>
      </c>
      <c r="N1085" t="s">
        <v>78</v>
      </c>
      <c r="O1085" t="s">
        <v>74</v>
      </c>
      <c r="P1085" t="s">
        <v>74</v>
      </c>
      <c r="Q1085" t="s">
        <v>74</v>
      </c>
      <c r="R1085" t="s">
        <v>74</v>
      </c>
      <c r="S1085" t="s">
        <v>74</v>
      </c>
      <c r="T1085" t="s">
        <v>74</v>
      </c>
      <c r="U1085" t="s">
        <v>18356</v>
      </c>
      <c r="V1085" t="s">
        <v>18357</v>
      </c>
      <c r="W1085" t="s">
        <v>18358</v>
      </c>
      <c r="X1085" t="s">
        <v>18359</v>
      </c>
      <c r="Y1085" t="s">
        <v>18360</v>
      </c>
      <c r="Z1085" t="s">
        <v>18361</v>
      </c>
      <c r="AA1085" t="s">
        <v>74</v>
      </c>
      <c r="AB1085" t="s">
        <v>18362</v>
      </c>
      <c r="AC1085" t="s">
        <v>18363</v>
      </c>
      <c r="AD1085" t="s">
        <v>18364</v>
      </c>
      <c r="AE1085" t="s">
        <v>18365</v>
      </c>
      <c r="AF1085" t="s">
        <v>74</v>
      </c>
      <c r="AG1085">
        <v>55</v>
      </c>
      <c r="AH1085">
        <v>1</v>
      </c>
      <c r="AI1085">
        <v>1</v>
      </c>
      <c r="AJ1085">
        <v>2</v>
      </c>
      <c r="AK1085">
        <v>39</v>
      </c>
      <c r="AL1085" t="s">
        <v>15981</v>
      </c>
      <c r="AM1085" t="s">
        <v>541</v>
      </c>
      <c r="AN1085" t="s">
        <v>15982</v>
      </c>
      <c r="AO1085" t="s">
        <v>15983</v>
      </c>
      <c r="AP1085" t="s">
        <v>15984</v>
      </c>
      <c r="AQ1085" t="s">
        <v>74</v>
      </c>
      <c r="AR1085" t="s">
        <v>15985</v>
      </c>
      <c r="AS1085" t="s">
        <v>15986</v>
      </c>
      <c r="AT1085" t="s">
        <v>1178</v>
      </c>
      <c r="AU1085">
        <v>2021</v>
      </c>
      <c r="AV1085">
        <v>2021</v>
      </c>
      <c r="AW1085" t="s">
        <v>74</v>
      </c>
      <c r="AX1085" t="s">
        <v>74</v>
      </c>
      <c r="AY1085" t="s">
        <v>74</v>
      </c>
      <c r="AZ1085" t="s">
        <v>74</v>
      </c>
      <c r="BA1085" t="s">
        <v>74</v>
      </c>
      <c r="BB1085" t="s">
        <v>74</v>
      </c>
      <c r="BC1085" t="s">
        <v>74</v>
      </c>
      <c r="BD1085">
        <v>6400742</v>
      </c>
      <c r="BE1085" t="s">
        <v>18366</v>
      </c>
      <c r="BF1085" t="str">
        <f>HYPERLINK("http://dx.doi.org/10.1155/2021/6400742","http://dx.doi.org/10.1155/2021/6400742")</f>
        <v>http://dx.doi.org/10.1155/2021/6400742</v>
      </c>
      <c r="BG1085" t="s">
        <v>74</v>
      </c>
      <c r="BH1085" t="s">
        <v>74</v>
      </c>
      <c r="BI1085">
        <v>11</v>
      </c>
      <c r="BJ1085" t="s">
        <v>15988</v>
      </c>
      <c r="BK1085" t="s">
        <v>147</v>
      </c>
      <c r="BL1085" t="s">
        <v>15989</v>
      </c>
      <c r="BM1085" t="s">
        <v>18367</v>
      </c>
      <c r="BN1085" t="s">
        <v>74</v>
      </c>
      <c r="BO1085" t="s">
        <v>2482</v>
      </c>
      <c r="BP1085" t="s">
        <v>74</v>
      </c>
      <c r="BQ1085" t="s">
        <v>74</v>
      </c>
      <c r="BR1085" t="s">
        <v>97</v>
      </c>
      <c r="BS1085" t="s">
        <v>18368</v>
      </c>
      <c r="BT1085" t="str">
        <f>HYPERLINK("https%3A%2F%2Fwww.webofscience.com%2Fwos%2Fwoscc%2Ffull-record%2FWOS:000674576400002","View Full Record in Web of Science")</f>
        <v>View Full Record in Web of Science</v>
      </c>
    </row>
    <row r="1086" spans="1:72" x14ac:dyDescent="0.25">
      <c r="A1086" t="s">
        <v>72</v>
      </c>
      <c r="B1086" t="s">
        <v>18369</v>
      </c>
      <c r="C1086" t="s">
        <v>74</v>
      </c>
      <c r="D1086" t="s">
        <v>74</v>
      </c>
      <c r="E1086" t="s">
        <v>74</v>
      </c>
      <c r="F1086" t="s">
        <v>18370</v>
      </c>
      <c r="G1086" t="s">
        <v>74</v>
      </c>
      <c r="H1086" t="s">
        <v>74</v>
      </c>
      <c r="I1086" t="s">
        <v>18371</v>
      </c>
      <c r="J1086" t="s">
        <v>5442</v>
      </c>
      <c r="K1086" t="s">
        <v>74</v>
      </c>
      <c r="L1086" t="s">
        <v>74</v>
      </c>
      <c r="M1086" t="s">
        <v>77</v>
      </c>
      <c r="N1086" t="s">
        <v>10095</v>
      </c>
      <c r="O1086" t="s">
        <v>74</v>
      </c>
      <c r="P1086" t="s">
        <v>74</v>
      </c>
      <c r="Q1086" t="s">
        <v>74</v>
      </c>
      <c r="R1086" t="s">
        <v>74</v>
      </c>
      <c r="S1086" t="s">
        <v>74</v>
      </c>
      <c r="T1086" t="s">
        <v>18372</v>
      </c>
      <c r="U1086" t="s">
        <v>18373</v>
      </c>
      <c r="V1086" t="s">
        <v>18374</v>
      </c>
      <c r="W1086" t="s">
        <v>18375</v>
      </c>
      <c r="X1086" t="s">
        <v>18376</v>
      </c>
      <c r="Y1086" t="s">
        <v>18377</v>
      </c>
      <c r="Z1086" t="s">
        <v>18378</v>
      </c>
      <c r="AA1086" t="s">
        <v>18379</v>
      </c>
      <c r="AB1086" t="s">
        <v>18380</v>
      </c>
      <c r="AC1086" t="s">
        <v>74</v>
      </c>
      <c r="AD1086" t="s">
        <v>74</v>
      </c>
      <c r="AE1086" t="s">
        <v>74</v>
      </c>
      <c r="AF1086" t="s">
        <v>74</v>
      </c>
      <c r="AG1086">
        <v>66</v>
      </c>
      <c r="AH1086">
        <v>1</v>
      </c>
      <c r="AI1086">
        <v>1</v>
      </c>
      <c r="AJ1086">
        <v>9</v>
      </c>
      <c r="AK1086">
        <v>31</v>
      </c>
      <c r="AL1086" t="s">
        <v>5452</v>
      </c>
      <c r="AM1086" t="s">
        <v>5453</v>
      </c>
      <c r="AN1086" t="s">
        <v>5454</v>
      </c>
      <c r="AO1086" t="s">
        <v>5455</v>
      </c>
      <c r="AP1086" t="s">
        <v>5456</v>
      </c>
      <c r="AQ1086" t="s">
        <v>74</v>
      </c>
      <c r="AR1086" t="s">
        <v>5457</v>
      </c>
      <c r="AS1086" t="s">
        <v>5458</v>
      </c>
      <c r="AT1086" t="s">
        <v>74</v>
      </c>
      <c r="AU1086" t="s">
        <v>74</v>
      </c>
      <c r="AV1086" t="s">
        <v>74</v>
      </c>
      <c r="AW1086" t="s">
        <v>74</v>
      </c>
      <c r="AX1086" t="s">
        <v>74</v>
      </c>
      <c r="AY1086" t="s">
        <v>74</v>
      </c>
      <c r="AZ1086" t="s">
        <v>74</v>
      </c>
      <c r="BA1086" t="s">
        <v>74</v>
      </c>
      <c r="BB1086" t="s">
        <v>74</v>
      </c>
      <c r="BC1086" t="s">
        <v>74</v>
      </c>
      <c r="BD1086" t="s">
        <v>18381</v>
      </c>
      <c r="BE1086" t="s">
        <v>18382</v>
      </c>
      <c r="BF1086" t="str">
        <f>HYPERLINK("http://dx.doi.org/10.1017/jmo.2021.23","http://dx.doi.org/10.1017/jmo.2021.23")</f>
        <v>http://dx.doi.org/10.1017/jmo.2021.23</v>
      </c>
      <c r="BG1086" t="s">
        <v>74</v>
      </c>
      <c r="BH1086" t="s">
        <v>10620</v>
      </c>
      <c r="BI1086">
        <v>14</v>
      </c>
      <c r="BJ1086" t="s">
        <v>442</v>
      </c>
      <c r="BK1086" t="s">
        <v>94</v>
      </c>
      <c r="BL1086" t="s">
        <v>95</v>
      </c>
      <c r="BM1086" t="s">
        <v>18383</v>
      </c>
      <c r="BN1086" t="s">
        <v>74</v>
      </c>
      <c r="BO1086" t="s">
        <v>74</v>
      </c>
      <c r="BP1086" t="s">
        <v>74</v>
      </c>
      <c r="BQ1086" t="s">
        <v>74</v>
      </c>
      <c r="BR1086" t="s">
        <v>97</v>
      </c>
      <c r="BS1086" t="s">
        <v>18384</v>
      </c>
      <c r="BT1086" t="str">
        <f>HYPERLINK("https%3A%2F%2Fwww.webofscience.com%2Fwos%2Fwoscc%2Ffull-record%2FWOS:000774631500001","View Full Record in Web of Science")</f>
        <v>View Full Record in Web of Science</v>
      </c>
    </row>
    <row r="1087" spans="1:72" x14ac:dyDescent="0.25">
      <c r="A1087" t="s">
        <v>72</v>
      </c>
      <c r="B1087" t="s">
        <v>18385</v>
      </c>
      <c r="C1087" t="s">
        <v>74</v>
      </c>
      <c r="D1087" t="s">
        <v>74</v>
      </c>
      <c r="E1087" t="s">
        <v>74</v>
      </c>
      <c r="F1087" t="s">
        <v>18386</v>
      </c>
      <c r="G1087" t="s">
        <v>74</v>
      </c>
      <c r="H1087" t="s">
        <v>74</v>
      </c>
      <c r="I1087" t="s">
        <v>18387</v>
      </c>
      <c r="J1087" t="s">
        <v>7212</v>
      </c>
      <c r="K1087" t="s">
        <v>74</v>
      </c>
      <c r="L1087" t="s">
        <v>74</v>
      </c>
      <c r="M1087" t="s">
        <v>77</v>
      </c>
      <c r="N1087" t="s">
        <v>78</v>
      </c>
      <c r="O1087" t="s">
        <v>74</v>
      </c>
      <c r="P1087" t="s">
        <v>74</v>
      </c>
      <c r="Q1087" t="s">
        <v>74</v>
      </c>
      <c r="R1087" t="s">
        <v>74</v>
      </c>
      <c r="S1087" t="s">
        <v>74</v>
      </c>
      <c r="T1087" t="s">
        <v>18388</v>
      </c>
      <c r="U1087" t="s">
        <v>18389</v>
      </c>
      <c r="V1087" t="s">
        <v>18390</v>
      </c>
      <c r="W1087" t="s">
        <v>18391</v>
      </c>
      <c r="X1087" t="s">
        <v>745</v>
      </c>
      <c r="Y1087" t="s">
        <v>18392</v>
      </c>
      <c r="Z1087" t="s">
        <v>18393</v>
      </c>
      <c r="AA1087" t="s">
        <v>74</v>
      </c>
      <c r="AB1087" t="s">
        <v>18394</v>
      </c>
      <c r="AC1087" t="s">
        <v>74</v>
      </c>
      <c r="AD1087" t="s">
        <v>74</v>
      </c>
      <c r="AE1087" t="s">
        <v>74</v>
      </c>
      <c r="AF1087" t="s">
        <v>74</v>
      </c>
      <c r="AG1087">
        <v>108</v>
      </c>
      <c r="AH1087">
        <v>1</v>
      </c>
      <c r="AI1087">
        <v>1</v>
      </c>
      <c r="AJ1087">
        <v>2</v>
      </c>
      <c r="AK1087">
        <v>18</v>
      </c>
      <c r="AL1087" t="s">
        <v>4389</v>
      </c>
      <c r="AM1087" t="s">
        <v>541</v>
      </c>
      <c r="AN1087" t="s">
        <v>4390</v>
      </c>
      <c r="AO1087" t="s">
        <v>74</v>
      </c>
      <c r="AP1087" t="s">
        <v>7219</v>
      </c>
      <c r="AQ1087" t="s">
        <v>74</v>
      </c>
      <c r="AR1087" t="s">
        <v>7220</v>
      </c>
      <c r="AS1087" t="s">
        <v>7221</v>
      </c>
      <c r="AT1087" t="s">
        <v>16825</v>
      </c>
      <c r="AU1087">
        <v>2021</v>
      </c>
      <c r="AV1087">
        <v>21</v>
      </c>
      <c r="AW1087">
        <v>1</v>
      </c>
      <c r="AX1087" t="s">
        <v>74</v>
      </c>
      <c r="AY1087" t="s">
        <v>74</v>
      </c>
      <c r="AZ1087" t="s">
        <v>74</v>
      </c>
      <c r="BA1087" t="s">
        <v>74</v>
      </c>
      <c r="BB1087" t="s">
        <v>74</v>
      </c>
      <c r="BC1087" t="s">
        <v>74</v>
      </c>
      <c r="BD1087">
        <v>470</v>
      </c>
      <c r="BE1087" t="s">
        <v>18395</v>
      </c>
      <c r="BF1087" t="str">
        <f>HYPERLINK("http://dx.doi.org/10.1186/s12913-021-06505-1","http://dx.doi.org/10.1186/s12913-021-06505-1")</f>
        <v>http://dx.doi.org/10.1186/s12913-021-06505-1</v>
      </c>
      <c r="BG1087" t="s">
        <v>74</v>
      </c>
      <c r="BH1087" t="s">
        <v>74</v>
      </c>
      <c r="BI1087">
        <v>15</v>
      </c>
      <c r="BJ1087" t="s">
        <v>4027</v>
      </c>
      <c r="BK1087" t="s">
        <v>147</v>
      </c>
      <c r="BL1087" t="s">
        <v>4027</v>
      </c>
      <c r="BM1087" t="s">
        <v>18396</v>
      </c>
      <c r="BN1087">
        <v>34006270</v>
      </c>
      <c r="BO1087" t="s">
        <v>7522</v>
      </c>
      <c r="BP1087" t="s">
        <v>74</v>
      </c>
      <c r="BQ1087" t="s">
        <v>74</v>
      </c>
      <c r="BR1087" t="s">
        <v>97</v>
      </c>
      <c r="BS1087" t="s">
        <v>18397</v>
      </c>
      <c r="BT1087" t="str">
        <f>HYPERLINK("https%3A%2F%2Fwww.webofscience.com%2Fwos%2Fwoscc%2Ffull-record%2FWOS:000657750100003","View Full Record in Web of Science")</f>
        <v>View Full Record in Web of Science</v>
      </c>
    </row>
    <row r="1088" spans="1:72" x14ac:dyDescent="0.25">
      <c r="A1088" t="s">
        <v>72</v>
      </c>
      <c r="B1088" t="s">
        <v>18398</v>
      </c>
      <c r="C1088" t="s">
        <v>74</v>
      </c>
      <c r="D1088" t="s">
        <v>74</v>
      </c>
      <c r="E1088" t="s">
        <v>74</v>
      </c>
      <c r="F1088" t="s">
        <v>18399</v>
      </c>
      <c r="G1088" t="s">
        <v>74</v>
      </c>
      <c r="H1088" t="s">
        <v>74</v>
      </c>
      <c r="I1088" t="s">
        <v>18400</v>
      </c>
      <c r="J1088" t="s">
        <v>5705</v>
      </c>
      <c r="K1088" t="s">
        <v>74</v>
      </c>
      <c r="L1088" t="s">
        <v>74</v>
      </c>
      <c r="M1088" t="s">
        <v>77</v>
      </c>
      <c r="N1088" t="s">
        <v>78</v>
      </c>
      <c r="O1088" t="s">
        <v>74</v>
      </c>
      <c r="P1088" t="s">
        <v>74</v>
      </c>
      <c r="Q1088" t="s">
        <v>74</v>
      </c>
      <c r="R1088" t="s">
        <v>74</v>
      </c>
      <c r="S1088" t="s">
        <v>74</v>
      </c>
      <c r="T1088" t="s">
        <v>18401</v>
      </c>
      <c r="U1088" t="s">
        <v>18402</v>
      </c>
      <c r="V1088" t="s">
        <v>18403</v>
      </c>
      <c r="W1088" t="s">
        <v>18404</v>
      </c>
      <c r="X1088" t="s">
        <v>18405</v>
      </c>
      <c r="Y1088" t="s">
        <v>18406</v>
      </c>
      <c r="Z1088" t="s">
        <v>18407</v>
      </c>
      <c r="AA1088" t="s">
        <v>18408</v>
      </c>
      <c r="AB1088" t="s">
        <v>18409</v>
      </c>
      <c r="AC1088" t="s">
        <v>18410</v>
      </c>
      <c r="AD1088" t="s">
        <v>18411</v>
      </c>
      <c r="AE1088" t="s">
        <v>18412</v>
      </c>
      <c r="AF1088" t="s">
        <v>74</v>
      </c>
      <c r="AG1088">
        <v>73</v>
      </c>
      <c r="AH1088">
        <v>1</v>
      </c>
      <c r="AI1088">
        <v>1</v>
      </c>
      <c r="AJ1088">
        <v>4</v>
      </c>
      <c r="AK1088">
        <v>13</v>
      </c>
      <c r="AL1088" t="s">
        <v>194</v>
      </c>
      <c r="AM1088" t="s">
        <v>195</v>
      </c>
      <c r="AN1088" t="s">
        <v>196</v>
      </c>
      <c r="AO1088" t="s">
        <v>5718</v>
      </c>
      <c r="AP1088" t="s">
        <v>5719</v>
      </c>
      <c r="AQ1088" t="s">
        <v>74</v>
      </c>
      <c r="AR1088" t="s">
        <v>5720</v>
      </c>
      <c r="AS1088" t="s">
        <v>5721</v>
      </c>
      <c r="AT1088" t="s">
        <v>165</v>
      </c>
      <c r="AU1088">
        <v>2021</v>
      </c>
      <c r="AV1088">
        <v>135</v>
      </c>
      <c r="AW1088">
        <v>2</v>
      </c>
      <c r="AX1088" t="s">
        <v>74</v>
      </c>
      <c r="AY1088" t="s">
        <v>74</v>
      </c>
      <c r="AZ1088" t="s">
        <v>74</v>
      </c>
      <c r="BA1088" t="s">
        <v>74</v>
      </c>
      <c r="BB1088">
        <v>258</v>
      </c>
      <c r="BC1088">
        <v>265</v>
      </c>
      <c r="BD1088" t="s">
        <v>74</v>
      </c>
      <c r="BE1088" t="s">
        <v>18413</v>
      </c>
      <c r="BF1088" t="str">
        <f>HYPERLINK("http://dx.doi.org/10.1037/com0000264","http://dx.doi.org/10.1037/com0000264")</f>
        <v>http://dx.doi.org/10.1037/com0000264</v>
      </c>
      <c r="BG1088" t="s">
        <v>74</v>
      </c>
      <c r="BH1088" t="s">
        <v>74</v>
      </c>
      <c r="BI1088">
        <v>8</v>
      </c>
      <c r="BJ1088" t="s">
        <v>5723</v>
      </c>
      <c r="BK1088" t="s">
        <v>147</v>
      </c>
      <c r="BL1088" t="s">
        <v>5724</v>
      </c>
      <c r="BM1088" t="s">
        <v>18414</v>
      </c>
      <c r="BN1088">
        <v>33464107</v>
      </c>
      <c r="BO1088" t="s">
        <v>3476</v>
      </c>
      <c r="BP1088" t="s">
        <v>74</v>
      </c>
      <c r="BQ1088" t="s">
        <v>74</v>
      </c>
      <c r="BR1088" t="s">
        <v>97</v>
      </c>
      <c r="BS1088" t="s">
        <v>18415</v>
      </c>
      <c r="BT1088" t="str">
        <f>HYPERLINK("https%3A%2F%2Fwww.webofscience.com%2Fwos%2Fwoscc%2Ffull-record%2FWOS:000668221900012","View Full Record in Web of Science")</f>
        <v>View Full Record in Web of Science</v>
      </c>
    </row>
    <row r="1089" spans="1:72" x14ac:dyDescent="0.25">
      <c r="A1089" t="s">
        <v>72</v>
      </c>
      <c r="B1089" t="s">
        <v>18416</v>
      </c>
      <c r="C1089" t="s">
        <v>74</v>
      </c>
      <c r="D1089" t="s">
        <v>74</v>
      </c>
      <c r="E1089" t="s">
        <v>74</v>
      </c>
      <c r="F1089" t="s">
        <v>18417</v>
      </c>
      <c r="G1089" t="s">
        <v>74</v>
      </c>
      <c r="H1089" t="s">
        <v>74</v>
      </c>
      <c r="I1089" t="s">
        <v>18418</v>
      </c>
      <c r="J1089" t="s">
        <v>1600</v>
      </c>
      <c r="K1089" t="s">
        <v>74</v>
      </c>
      <c r="L1089" t="s">
        <v>74</v>
      </c>
      <c r="M1089" t="s">
        <v>77</v>
      </c>
      <c r="N1089" t="s">
        <v>78</v>
      </c>
      <c r="O1089" t="s">
        <v>74</v>
      </c>
      <c r="P1089" t="s">
        <v>74</v>
      </c>
      <c r="Q1089" t="s">
        <v>74</v>
      </c>
      <c r="R1089" t="s">
        <v>74</v>
      </c>
      <c r="S1089" t="s">
        <v>74</v>
      </c>
      <c r="T1089" t="s">
        <v>18419</v>
      </c>
      <c r="U1089" t="s">
        <v>18420</v>
      </c>
      <c r="V1089" t="s">
        <v>18421</v>
      </c>
      <c r="W1089" t="s">
        <v>18422</v>
      </c>
      <c r="X1089" t="s">
        <v>18423</v>
      </c>
      <c r="Y1089" t="s">
        <v>18424</v>
      </c>
      <c r="Z1089" t="s">
        <v>11004</v>
      </c>
      <c r="AA1089" t="s">
        <v>18425</v>
      </c>
      <c r="AB1089" t="s">
        <v>18426</v>
      </c>
      <c r="AC1089" t="s">
        <v>18427</v>
      </c>
      <c r="AD1089" t="s">
        <v>6558</v>
      </c>
      <c r="AE1089" t="s">
        <v>18428</v>
      </c>
      <c r="AF1089" t="s">
        <v>74</v>
      </c>
      <c r="AG1089">
        <v>81</v>
      </c>
      <c r="AH1089">
        <v>1</v>
      </c>
      <c r="AI1089">
        <v>1</v>
      </c>
      <c r="AJ1089">
        <v>7</v>
      </c>
      <c r="AK1089">
        <v>20</v>
      </c>
      <c r="AL1089" t="s">
        <v>1099</v>
      </c>
      <c r="AM1089" t="s">
        <v>305</v>
      </c>
      <c r="AN1089" t="s">
        <v>1100</v>
      </c>
      <c r="AO1089" t="s">
        <v>1610</v>
      </c>
      <c r="AP1089" t="s">
        <v>1611</v>
      </c>
      <c r="AQ1089" t="s">
        <v>74</v>
      </c>
      <c r="AR1089" t="s">
        <v>1612</v>
      </c>
      <c r="AS1089" t="s">
        <v>1613</v>
      </c>
      <c r="AT1089" t="s">
        <v>18429</v>
      </c>
      <c r="AU1089">
        <v>2022</v>
      </c>
      <c r="AV1089">
        <v>33</v>
      </c>
      <c r="AW1089">
        <v>17</v>
      </c>
      <c r="AX1089" t="s">
        <v>74</v>
      </c>
      <c r="AY1089" t="s">
        <v>74</v>
      </c>
      <c r="AZ1089" t="s">
        <v>74</v>
      </c>
      <c r="BA1089" t="s">
        <v>74</v>
      </c>
      <c r="BB1089">
        <v>3526</v>
      </c>
      <c r="BC1089">
        <v>3559</v>
      </c>
      <c r="BD1089" t="s">
        <v>74</v>
      </c>
      <c r="BE1089" t="s">
        <v>18430</v>
      </c>
      <c r="BF1089" t="str">
        <f>HYPERLINK("http://dx.doi.org/10.1080/09585192.2021.1913625","http://dx.doi.org/10.1080/09585192.2021.1913625")</f>
        <v>http://dx.doi.org/10.1080/09585192.2021.1913625</v>
      </c>
      <c r="BG1089" t="s">
        <v>74</v>
      </c>
      <c r="BH1089" t="s">
        <v>12091</v>
      </c>
      <c r="BI1089">
        <v>34</v>
      </c>
      <c r="BJ1089" t="s">
        <v>442</v>
      </c>
      <c r="BK1089" t="s">
        <v>94</v>
      </c>
      <c r="BL1089" t="s">
        <v>95</v>
      </c>
      <c r="BM1089" t="s">
        <v>18431</v>
      </c>
      <c r="BN1089" t="s">
        <v>74</v>
      </c>
      <c r="BO1089" t="s">
        <v>408</v>
      </c>
      <c r="BP1089" t="s">
        <v>74</v>
      </c>
      <c r="BQ1089" t="s">
        <v>74</v>
      </c>
      <c r="BR1089" t="s">
        <v>97</v>
      </c>
      <c r="BS1089" t="s">
        <v>18432</v>
      </c>
      <c r="BT1089" t="str">
        <f>HYPERLINK("https%3A%2F%2Fwww.webofscience.com%2Fwos%2Fwoscc%2Ffull-record%2FWOS:000642595100001","View Full Record in Web of Science")</f>
        <v>View Full Record in Web of Science</v>
      </c>
    </row>
    <row r="1090" spans="1:72" x14ac:dyDescent="0.25">
      <c r="A1090" t="s">
        <v>72</v>
      </c>
      <c r="B1090" t="s">
        <v>18433</v>
      </c>
      <c r="C1090" t="s">
        <v>74</v>
      </c>
      <c r="D1090" t="s">
        <v>74</v>
      </c>
      <c r="E1090" t="s">
        <v>74</v>
      </c>
      <c r="F1090" t="s">
        <v>18434</v>
      </c>
      <c r="G1090" t="s">
        <v>74</v>
      </c>
      <c r="H1090" t="s">
        <v>74</v>
      </c>
      <c r="I1090" t="s">
        <v>18435</v>
      </c>
      <c r="J1090" t="s">
        <v>2678</v>
      </c>
      <c r="K1090" t="s">
        <v>74</v>
      </c>
      <c r="L1090" t="s">
        <v>74</v>
      </c>
      <c r="M1090" t="s">
        <v>77</v>
      </c>
      <c r="N1090" t="s">
        <v>78</v>
      </c>
      <c r="O1090" t="s">
        <v>74</v>
      </c>
      <c r="P1090" t="s">
        <v>74</v>
      </c>
      <c r="Q1090" t="s">
        <v>74</v>
      </c>
      <c r="R1090" t="s">
        <v>74</v>
      </c>
      <c r="S1090" t="s">
        <v>74</v>
      </c>
      <c r="T1090" t="s">
        <v>74</v>
      </c>
      <c r="U1090" t="s">
        <v>18436</v>
      </c>
      <c r="V1090" t="s">
        <v>18437</v>
      </c>
      <c r="W1090" t="s">
        <v>18438</v>
      </c>
      <c r="X1090" t="s">
        <v>18439</v>
      </c>
      <c r="Y1090" t="s">
        <v>18440</v>
      </c>
      <c r="Z1090" t="s">
        <v>18441</v>
      </c>
      <c r="AA1090" t="s">
        <v>74</v>
      </c>
      <c r="AB1090" t="s">
        <v>18442</v>
      </c>
      <c r="AC1090" t="s">
        <v>74</v>
      </c>
      <c r="AD1090" t="s">
        <v>74</v>
      </c>
      <c r="AE1090" t="s">
        <v>74</v>
      </c>
      <c r="AF1090" t="s">
        <v>74</v>
      </c>
      <c r="AG1090">
        <v>84</v>
      </c>
      <c r="AH1090">
        <v>1</v>
      </c>
      <c r="AI1090">
        <v>1</v>
      </c>
      <c r="AJ1090">
        <v>1</v>
      </c>
      <c r="AK1090">
        <v>2</v>
      </c>
      <c r="AL1090" t="s">
        <v>1045</v>
      </c>
      <c r="AM1090" t="s">
        <v>1046</v>
      </c>
      <c r="AN1090" t="s">
        <v>1047</v>
      </c>
      <c r="AO1090" t="s">
        <v>2688</v>
      </c>
      <c r="AP1090" t="s">
        <v>74</v>
      </c>
      <c r="AQ1090" t="s">
        <v>74</v>
      </c>
      <c r="AR1090" t="s">
        <v>2678</v>
      </c>
      <c r="AS1090" t="s">
        <v>2689</v>
      </c>
      <c r="AT1090" t="s">
        <v>74</v>
      </c>
      <c r="AU1090">
        <v>2021</v>
      </c>
      <c r="AV1090">
        <v>16</v>
      </c>
      <c r="AW1090">
        <v>9</v>
      </c>
      <c r="AX1090" t="s">
        <v>74</v>
      </c>
      <c r="AY1090" t="s">
        <v>74</v>
      </c>
      <c r="AZ1090" t="s">
        <v>74</v>
      </c>
      <c r="BA1090" t="s">
        <v>74</v>
      </c>
      <c r="BB1090" t="s">
        <v>74</v>
      </c>
      <c r="BC1090" t="s">
        <v>74</v>
      </c>
      <c r="BD1090" t="s">
        <v>18443</v>
      </c>
      <c r="BE1090" t="s">
        <v>18444</v>
      </c>
      <c r="BF1090" t="str">
        <f>HYPERLINK("http://dx.doi.org/10.1371/journal.pone.0257730","http://dx.doi.org/10.1371/journal.pone.0257730")</f>
        <v>http://dx.doi.org/10.1371/journal.pone.0257730</v>
      </c>
      <c r="BG1090" t="s">
        <v>74</v>
      </c>
      <c r="BH1090" t="s">
        <v>74</v>
      </c>
      <c r="BI1090">
        <v>16</v>
      </c>
      <c r="BJ1090" t="s">
        <v>282</v>
      </c>
      <c r="BK1090" t="s">
        <v>147</v>
      </c>
      <c r="BL1090" t="s">
        <v>284</v>
      </c>
      <c r="BM1090" t="s">
        <v>18445</v>
      </c>
      <c r="BN1090">
        <v>34570831</v>
      </c>
      <c r="BO1090" t="s">
        <v>4398</v>
      </c>
      <c r="BP1090" t="s">
        <v>74</v>
      </c>
      <c r="BQ1090" t="s">
        <v>74</v>
      </c>
      <c r="BR1090" t="s">
        <v>97</v>
      </c>
      <c r="BS1090" t="s">
        <v>18446</v>
      </c>
      <c r="BT1090" t="str">
        <f>HYPERLINK("https%3A%2F%2Fwww.webofscience.com%2Fwos%2Fwoscc%2Ffull-record%2FWOS:000728983400040","View Full Record in Web of Science")</f>
        <v>View Full Record in Web of Science</v>
      </c>
    </row>
    <row r="1091" spans="1:72" x14ac:dyDescent="0.25">
      <c r="A1091" t="s">
        <v>72</v>
      </c>
      <c r="B1091" t="s">
        <v>18447</v>
      </c>
      <c r="C1091" t="s">
        <v>74</v>
      </c>
      <c r="D1091" t="s">
        <v>74</v>
      </c>
      <c r="E1091" t="s">
        <v>74</v>
      </c>
      <c r="F1091" t="s">
        <v>18448</v>
      </c>
      <c r="G1091" t="s">
        <v>74</v>
      </c>
      <c r="H1091" t="s">
        <v>74</v>
      </c>
      <c r="I1091" t="s">
        <v>18449</v>
      </c>
      <c r="J1091" t="s">
        <v>8851</v>
      </c>
      <c r="K1091" t="s">
        <v>74</v>
      </c>
      <c r="L1091" t="s">
        <v>74</v>
      </c>
      <c r="M1091" t="s">
        <v>77</v>
      </c>
      <c r="N1091" t="s">
        <v>78</v>
      </c>
      <c r="O1091" t="s">
        <v>74</v>
      </c>
      <c r="P1091" t="s">
        <v>74</v>
      </c>
      <c r="Q1091" t="s">
        <v>74</v>
      </c>
      <c r="R1091" t="s">
        <v>74</v>
      </c>
      <c r="S1091" t="s">
        <v>74</v>
      </c>
      <c r="T1091" t="s">
        <v>18450</v>
      </c>
      <c r="U1091" t="s">
        <v>18451</v>
      </c>
      <c r="V1091" t="s">
        <v>18452</v>
      </c>
      <c r="W1091" t="s">
        <v>18453</v>
      </c>
      <c r="X1091" t="s">
        <v>18454</v>
      </c>
      <c r="Y1091" t="s">
        <v>18455</v>
      </c>
      <c r="Z1091" t="s">
        <v>5968</v>
      </c>
      <c r="AA1091" t="s">
        <v>18456</v>
      </c>
      <c r="AB1091" t="s">
        <v>18457</v>
      </c>
      <c r="AC1091" t="s">
        <v>18458</v>
      </c>
      <c r="AD1091" t="s">
        <v>575</v>
      </c>
      <c r="AE1091" t="s">
        <v>18459</v>
      </c>
      <c r="AF1091" t="s">
        <v>74</v>
      </c>
      <c r="AG1091">
        <v>87</v>
      </c>
      <c r="AH1091">
        <v>1</v>
      </c>
      <c r="AI1091">
        <v>1</v>
      </c>
      <c r="AJ1091">
        <v>12</v>
      </c>
      <c r="AK1091">
        <v>44</v>
      </c>
      <c r="AL1091" t="s">
        <v>350</v>
      </c>
      <c r="AM1091" t="s">
        <v>351</v>
      </c>
      <c r="AN1091" t="s">
        <v>352</v>
      </c>
      <c r="AO1091" t="s">
        <v>8864</v>
      </c>
      <c r="AP1091" t="s">
        <v>74</v>
      </c>
      <c r="AQ1091" t="s">
        <v>74</v>
      </c>
      <c r="AR1091" t="s">
        <v>8851</v>
      </c>
      <c r="AS1091" t="s">
        <v>8865</v>
      </c>
      <c r="AT1091" t="s">
        <v>256</v>
      </c>
      <c r="AU1091">
        <v>2020</v>
      </c>
      <c r="AV1091">
        <v>10</v>
      </c>
      <c r="AW1091">
        <v>4</v>
      </c>
      <c r="AX1091" t="s">
        <v>74</v>
      </c>
      <c r="AY1091" t="s">
        <v>74</v>
      </c>
      <c r="AZ1091" t="s">
        <v>74</v>
      </c>
      <c r="BA1091" t="s">
        <v>74</v>
      </c>
      <c r="BB1091" t="s">
        <v>74</v>
      </c>
      <c r="BC1091" t="s">
        <v>74</v>
      </c>
      <c r="BD1091">
        <v>2158244020969382</v>
      </c>
      <c r="BE1091" t="s">
        <v>18460</v>
      </c>
      <c r="BF1091" t="str">
        <f>HYPERLINK("http://dx.doi.org/10.1177/2158244020969382","http://dx.doi.org/10.1177/2158244020969382")</f>
        <v>http://dx.doi.org/10.1177/2158244020969382</v>
      </c>
      <c r="BG1091" t="s">
        <v>74</v>
      </c>
      <c r="BH1091" t="s">
        <v>74</v>
      </c>
      <c r="BI1091">
        <v>15</v>
      </c>
      <c r="BJ1091" t="s">
        <v>8867</v>
      </c>
      <c r="BK1091" t="s">
        <v>94</v>
      </c>
      <c r="BL1091" t="s">
        <v>631</v>
      </c>
      <c r="BM1091" t="s">
        <v>18461</v>
      </c>
      <c r="BN1091" t="s">
        <v>74</v>
      </c>
      <c r="BO1091" t="s">
        <v>2482</v>
      </c>
      <c r="BP1091" t="s">
        <v>74</v>
      </c>
      <c r="BQ1091" t="s">
        <v>74</v>
      </c>
      <c r="BR1091" t="s">
        <v>97</v>
      </c>
      <c r="BS1091" t="s">
        <v>18462</v>
      </c>
      <c r="BT1091" t="str">
        <f>HYPERLINK("https%3A%2F%2Fwww.webofscience.com%2Fwos%2Fwoscc%2Ffull-record%2FWOS:000590572600001","View Full Record in Web of Science")</f>
        <v>View Full Record in Web of Science</v>
      </c>
    </row>
    <row r="1092" spans="1:72" x14ac:dyDescent="0.25">
      <c r="A1092" t="s">
        <v>72</v>
      </c>
      <c r="B1092" t="s">
        <v>18463</v>
      </c>
      <c r="C1092" t="s">
        <v>74</v>
      </c>
      <c r="D1092" t="s">
        <v>74</v>
      </c>
      <c r="E1092" t="s">
        <v>74</v>
      </c>
      <c r="F1092" t="s">
        <v>18464</v>
      </c>
      <c r="G1092" t="s">
        <v>74</v>
      </c>
      <c r="H1092" t="s">
        <v>74</v>
      </c>
      <c r="I1092" t="s">
        <v>18465</v>
      </c>
      <c r="J1092" t="s">
        <v>3164</v>
      </c>
      <c r="K1092" t="s">
        <v>74</v>
      </c>
      <c r="L1092" t="s">
        <v>74</v>
      </c>
      <c r="M1092" t="s">
        <v>77</v>
      </c>
      <c r="N1092" t="s">
        <v>78</v>
      </c>
      <c r="O1092" t="s">
        <v>74</v>
      </c>
      <c r="P1092" t="s">
        <v>74</v>
      </c>
      <c r="Q1092" t="s">
        <v>74</v>
      </c>
      <c r="R1092" t="s">
        <v>74</v>
      </c>
      <c r="S1092" t="s">
        <v>74</v>
      </c>
      <c r="T1092" t="s">
        <v>18466</v>
      </c>
      <c r="U1092" t="s">
        <v>18467</v>
      </c>
      <c r="V1092" t="s">
        <v>18468</v>
      </c>
      <c r="W1092" t="s">
        <v>18469</v>
      </c>
      <c r="X1092" t="s">
        <v>18470</v>
      </c>
      <c r="Y1092" t="s">
        <v>18471</v>
      </c>
      <c r="Z1092" t="s">
        <v>18472</v>
      </c>
      <c r="AA1092" t="s">
        <v>18473</v>
      </c>
      <c r="AB1092" t="s">
        <v>18474</v>
      </c>
      <c r="AC1092" t="s">
        <v>74</v>
      </c>
      <c r="AD1092" t="s">
        <v>74</v>
      </c>
      <c r="AE1092" t="s">
        <v>74</v>
      </c>
      <c r="AF1092" t="s">
        <v>74</v>
      </c>
      <c r="AG1092">
        <v>62</v>
      </c>
      <c r="AH1092">
        <v>1</v>
      </c>
      <c r="AI1092">
        <v>1</v>
      </c>
      <c r="AJ1092">
        <v>0</v>
      </c>
      <c r="AK1092">
        <v>20</v>
      </c>
      <c r="AL1092" t="s">
        <v>665</v>
      </c>
      <c r="AM1092" t="s">
        <v>666</v>
      </c>
      <c r="AN1092" t="s">
        <v>667</v>
      </c>
      <c r="AO1092" t="s">
        <v>3172</v>
      </c>
      <c r="AP1092" t="s">
        <v>3173</v>
      </c>
      <c r="AQ1092" t="s">
        <v>74</v>
      </c>
      <c r="AR1092" t="s">
        <v>3174</v>
      </c>
      <c r="AS1092" t="s">
        <v>3175</v>
      </c>
      <c r="AT1092" t="s">
        <v>18475</v>
      </c>
      <c r="AU1092">
        <v>2021</v>
      </c>
      <c r="AV1092">
        <v>32</v>
      </c>
      <c r="AW1092">
        <v>2</v>
      </c>
      <c r="AX1092" t="s">
        <v>74</v>
      </c>
      <c r="AY1092" t="s">
        <v>74</v>
      </c>
      <c r="AZ1092" t="s">
        <v>74</v>
      </c>
      <c r="BA1092" t="s">
        <v>74</v>
      </c>
      <c r="BB1092">
        <v>250</v>
      </c>
      <c r="BC1092">
        <v>265</v>
      </c>
      <c r="BD1092" t="s">
        <v>74</v>
      </c>
      <c r="BE1092" t="s">
        <v>18476</v>
      </c>
      <c r="BF1092" t="str">
        <f>HYPERLINK("http://dx.doi.org/10.1108/IJCMA-05-2020-0090","http://dx.doi.org/10.1108/IJCMA-05-2020-0090")</f>
        <v>http://dx.doi.org/10.1108/IJCMA-05-2020-0090</v>
      </c>
      <c r="BG1092" t="s">
        <v>74</v>
      </c>
      <c r="BH1092" t="s">
        <v>7030</v>
      </c>
      <c r="BI1092">
        <v>16</v>
      </c>
      <c r="BJ1092" t="s">
        <v>3177</v>
      </c>
      <c r="BK1092" t="s">
        <v>94</v>
      </c>
      <c r="BL1092" t="s">
        <v>3178</v>
      </c>
      <c r="BM1092" t="s">
        <v>18477</v>
      </c>
      <c r="BN1092" t="s">
        <v>74</v>
      </c>
      <c r="BO1092" t="s">
        <v>74</v>
      </c>
      <c r="BP1092" t="s">
        <v>74</v>
      </c>
      <c r="BQ1092" t="s">
        <v>74</v>
      </c>
      <c r="BR1092" t="s">
        <v>97</v>
      </c>
      <c r="BS1092" t="s">
        <v>18478</v>
      </c>
      <c r="BT1092" t="str">
        <f>HYPERLINK("https%3A%2F%2Fwww.webofscience.com%2Fwos%2Fwoscc%2Ffull-record%2FWOS:000563497900001","View Full Record in Web of Science")</f>
        <v>View Full Record in Web of Science</v>
      </c>
    </row>
    <row r="1093" spans="1:72" x14ac:dyDescent="0.25">
      <c r="A1093" t="s">
        <v>72</v>
      </c>
      <c r="B1093" t="s">
        <v>18479</v>
      </c>
      <c r="C1093" t="s">
        <v>74</v>
      </c>
      <c r="D1093" t="s">
        <v>74</v>
      </c>
      <c r="E1093" t="s">
        <v>74</v>
      </c>
      <c r="F1093" t="s">
        <v>18480</v>
      </c>
      <c r="G1093" t="s">
        <v>74</v>
      </c>
      <c r="H1093" t="s">
        <v>74</v>
      </c>
      <c r="I1093" t="s">
        <v>18481</v>
      </c>
      <c r="J1093" t="s">
        <v>18482</v>
      </c>
      <c r="K1093" t="s">
        <v>74</v>
      </c>
      <c r="L1093" t="s">
        <v>74</v>
      </c>
      <c r="M1093" t="s">
        <v>77</v>
      </c>
      <c r="N1093" t="s">
        <v>78</v>
      </c>
      <c r="O1093" t="s">
        <v>74</v>
      </c>
      <c r="P1093" t="s">
        <v>74</v>
      </c>
      <c r="Q1093" t="s">
        <v>74</v>
      </c>
      <c r="R1093" t="s">
        <v>74</v>
      </c>
      <c r="S1093" t="s">
        <v>74</v>
      </c>
      <c r="T1093" t="s">
        <v>18483</v>
      </c>
      <c r="U1093" t="s">
        <v>18484</v>
      </c>
      <c r="V1093" t="s">
        <v>18485</v>
      </c>
      <c r="W1093" t="s">
        <v>18486</v>
      </c>
      <c r="X1093" t="s">
        <v>18487</v>
      </c>
      <c r="Y1093" t="s">
        <v>18488</v>
      </c>
      <c r="Z1093" t="s">
        <v>18489</v>
      </c>
      <c r="AA1093" t="s">
        <v>74</v>
      </c>
      <c r="AB1093" t="s">
        <v>74</v>
      </c>
      <c r="AC1093" t="s">
        <v>74</v>
      </c>
      <c r="AD1093" t="s">
        <v>74</v>
      </c>
      <c r="AE1093" t="s">
        <v>74</v>
      </c>
      <c r="AF1093" t="s">
        <v>74</v>
      </c>
      <c r="AG1093">
        <v>23</v>
      </c>
      <c r="AH1093">
        <v>1</v>
      </c>
      <c r="AI1093">
        <v>1</v>
      </c>
      <c r="AJ1093">
        <v>2</v>
      </c>
      <c r="AK1093">
        <v>4</v>
      </c>
      <c r="AL1093" t="s">
        <v>2351</v>
      </c>
      <c r="AM1093" t="s">
        <v>541</v>
      </c>
      <c r="AN1093" t="s">
        <v>2352</v>
      </c>
      <c r="AO1093" t="s">
        <v>18490</v>
      </c>
      <c r="AP1093" t="s">
        <v>18491</v>
      </c>
      <c r="AQ1093" t="s">
        <v>74</v>
      </c>
      <c r="AR1093" t="s">
        <v>18492</v>
      </c>
      <c r="AS1093" t="s">
        <v>18493</v>
      </c>
      <c r="AT1093" t="s">
        <v>792</v>
      </c>
      <c r="AU1093">
        <v>2022</v>
      </c>
      <c r="AV1093">
        <v>52</v>
      </c>
      <c r="AW1093">
        <v>3</v>
      </c>
      <c r="AX1093" t="s">
        <v>74</v>
      </c>
      <c r="AY1093" t="s">
        <v>74</v>
      </c>
      <c r="AZ1093" t="s">
        <v>74</v>
      </c>
      <c r="BA1093" t="s">
        <v>74</v>
      </c>
      <c r="BB1093">
        <v>372</v>
      </c>
      <c r="BC1093">
        <v>382</v>
      </c>
      <c r="BD1093">
        <v>20731420941459</v>
      </c>
      <c r="BE1093" t="s">
        <v>18494</v>
      </c>
      <c r="BF1093" t="str">
        <f>HYPERLINK("http://dx.doi.org/10.1177/0020731420941459","http://dx.doi.org/10.1177/0020731420941459")</f>
        <v>http://dx.doi.org/10.1177/0020731420941459</v>
      </c>
      <c r="BG1093" t="s">
        <v>74</v>
      </c>
      <c r="BH1093" t="s">
        <v>4876</v>
      </c>
      <c r="BI1093">
        <v>11</v>
      </c>
      <c r="BJ1093" t="s">
        <v>4026</v>
      </c>
      <c r="BK1093" t="s">
        <v>147</v>
      </c>
      <c r="BL1093" t="s">
        <v>4027</v>
      </c>
      <c r="BM1093" t="s">
        <v>18495</v>
      </c>
      <c r="BN1093">
        <v>32660305</v>
      </c>
      <c r="BO1093" t="s">
        <v>74</v>
      </c>
      <c r="BP1093" t="s">
        <v>74</v>
      </c>
      <c r="BQ1093" t="s">
        <v>74</v>
      </c>
      <c r="BR1093" t="s">
        <v>97</v>
      </c>
      <c r="BS1093" t="s">
        <v>18496</v>
      </c>
      <c r="BT1093" t="str">
        <f>HYPERLINK("https%3A%2F%2Fwww.webofscience.com%2Fwos%2Fwoscc%2Ffull-record%2FWOS:000548876500001","View Full Record in Web of Science")</f>
        <v>View Full Record in Web of Science</v>
      </c>
    </row>
    <row r="1094" spans="1:72" x14ac:dyDescent="0.25">
      <c r="A1094" t="s">
        <v>72</v>
      </c>
      <c r="B1094" t="s">
        <v>18497</v>
      </c>
      <c r="C1094" t="s">
        <v>74</v>
      </c>
      <c r="D1094" t="s">
        <v>74</v>
      </c>
      <c r="E1094" t="s">
        <v>74</v>
      </c>
      <c r="F1094" t="s">
        <v>18498</v>
      </c>
      <c r="G1094" t="s">
        <v>74</v>
      </c>
      <c r="H1094" t="s">
        <v>74</v>
      </c>
      <c r="I1094" t="s">
        <v>18499</v>
      </c>
      <c r="J1094" t="s">
        <v>4915</v>
      </c>
      <c r="K1094" t="s">
        <v>74</v>
      </c>
      <c r="L1094" t="s">
        <v>74</v>
      </c>
      <c r="M1094" t="s">
        <v>77</v>
      </c>
      <c r="N1094" t="s">
        <v>78</v>
      </c>
      <c r="O1094" t="s">
        <v>74</v>
      </c>
      <c r="P1094" t="s">
        <v>74</v>
      </c>
      <c r="Q1094" t="s">
        <v>74</v>
      </c>
      <c r="R1094" t="s">
        <v>74</v>
      </c>
      <c r="S1094" t="s">
        <v>74</v>
      </c>
      <c r="T1094" t="s">
        <v>18500</v>
      </c>
      <c r="U1094" t="s">
        <v>18501</v>
      </c>
      <c r="V1094" t="s">
        <v>18502</v>
      </c>
      <c r="W1094" t="s">
        <v>18503</v>
      </c>
      <c r="X1094" t="s">
        <v>74</v>
      </c>
      <c r="Y1094" t="s">
        <v>18504</v>
      </c>
      <c r="Z1094" t="s">
        <v>18505</v>
      </c>
      <c r="AA1094" t="s">
        <v>18506</v>
      </c>
      <c r="AB1094" t="s">
        <v>18507</v>
      </c>
      <c r="AC1094" t="s">
        <v>74</v>
      </c>
      <c r="AD1094" t="s">
        <v>74</v>
      </c>
      <c r="AE1094" t="s">
        <v>74</v>
      </c>
      <c r="AF1094" t="s">
        <v>74</v>
      </c>
      <c r="AG1094">
        <v>53</v>
      </c>
      <c r="AH1094">
        <v>1</v>
      </c>
      <c r="AI1094">
        <v>1</v>
      </c>
      <c r="AJ1094">
        <v>2</v>
      </c>
      <c r="AK1094">
        <v>10</v>
      </c>
      <c r="AL1094" t="s">
        <v>766</v>
      </c>
      <c r="AM1094" t="s">
        <v>330</v>
      </c>
      <c r="AN1094" t="s">
        <v>1452</v>
      </c>
      <c r="AO1094" t="s">
        <v>4925</v>
      </c>
      <c r="AP1094" t="s">
        <v>4926</v>
      </c>
      <c r="AQ1094" t="s">
        <v>74</v>
      </c>
      <c r="AR1094" t="s">
        <v>4927</v>
      </c>
      <c r="AS1094" t="s">
        <v>4928</v>
      </c>
      <c r="AT1094" t="s">
        <v>792</v>
      </c>
      <c r="AU1094">
        <v>2020</v>
      </c>
      <c r="AV1094">
        <v>30</v>
      </c>
      <c r="AW1094">
        <v>3</v>
      </c>
      <c r="AX1094" t="s">
        <v>74</v>
      </c>
      <c r="AY1094" t="s">
        <v>74</v>
      </c>
      <c r="AZ1094" t="s">
        <v>74</v>
      </c>
      <c r="BA1094" t="s">
        <v>74</v>
      </c>
      <c r="BB1094">
        <v>773</v>
      </c>
      <c r="BC1094">
        <v>791</v>
      </c>
      <c r="BD1094" t="s">
        <v>74</v>
      </c>
      <c r="BE1094" t="s">
        <v>18508</v>
      </c>
      <c r="BF1094" t="str">
        <f>HYPERLINK("http://dx.doi.org/10.1007/s00191-020-00668-6","http://dx.doi.org/10.1007/s00191-020-00668-6")</f>
        <v>http://dx.doi.org/10.1007/s00191-020-00668-6</v>
      </c>
      <c r="BG1094" t="s">
        <v>74</v>
      </c>
      <c r="BH1094" t="s">
        <v>74</v>
      </c>
      <c r="BI1094">
        <v>19</v>
      </c>
      <c r="BJ1094" t="s">
        <v>2599</v>
      </c>
      <c r="BK1094" t="s">
        <v>94</v>
      </c>
      <c r="BL1094" t="s">
        <v>95</v>
      </c>
      <c r="BM1094" t="s">
        <v>18509</v>
      </c>
      <c r="BN1094" t="s">
        <v>74</v>
      </c>
      <c r="BO1094" t="s">
        <v>74</v>
      </c>
      <c r="BP1094" t="s">
        <v>74</v>
      </c>
      <c r="BQ1094" t="s">
        <v>74</v>
      </c>
      <c r="BR1094" t="s">
        <v>97</v>
      </c>
      <c r="BS1094" t="s">
        <v>18510</v>
      </c>
      <c r="BT1094" t="str">
        <f>HYPERLINK("https%3A%2F%2Fwww.webofscience.com%2Fwos%2Fwoscc%2Ffull-record%2FWOS:000552684800006","View Full Record in Web of Science")</f>
        <v>View Full Record in Web of Science</v>
      </c>
    </row>
    <row r="1095" spans="1:72" x14ac:dyDescent="0.25">
      <c r="A1095" t="s">
        <v>72</v>
      </c>
      <c r="B1095" t="s">
        <v>18511</v>
      </c>
      <c r="C1095" t="s">
        <v>74</v>
      </c>
      <c r="D1095" t="s">
        <v>74</v>
      </c>
      <c r="E1095" t="s">
        <v>74</v>
      </c>
      <c r="F1095" t="s">
        <v>18512</v>
      </c>
      <c r="G1095" t="s">
        <v>74</v>
      </c>
      <c r="H1095" t="s">
        <v>74</v>
      </c>
      <c r="I1095" t="s">
        <v>18513</v>
      </c>
      <c r="J1095" t="s">
        <v>14026</v>
      </c>
      <c r="K1095" t="s">
        <v>74</v>
      </c>
      <c r="L1095" t="s">
        <v>74</v>
      </c>
      <c r="M1095" t="s">
        <v>77</v>
      </c>
      <c r="N1095" t="s">
        <v>78</v>
      </c>
      <c r="O1095" t="s">
        <v>74</v>
      </c>
      <c r="P1095" t="s">
        <v>74</v>
      </c>
      <c r="Q1095" t="s">
        <v>74</v>
      </c>
      <c r="R1095" t="s">
        <v>74</v>
      </c>
      <c r="S1095" t="s">
        <v>74</v>
      </c>
      <c r="T1095" t="s">
        <v>18514</v>
      </c>
      <c r="U1095" t="s">
        <v>18515</v>
      </c>
      <c r="V1095" t="s">
        <v>18516</v>
      </c>
      <c r="W1095" t="s">
        <v>18517</v>
      </c>
      <c r="X1095" t="s">
        <v>18518</v>
      </c>
      <c r="Y1095" t="s">
        <v>18519</v>
      </c>
      <c r="Z1095" t="s">
        <v>18520</v>
      </c>
      <c r="AA1095" t="s">
        <v>74</v>
      </c>
      <c r="AB1095" t="s">
        <v>74</v>
      </c>
      <c r="AC1095" t="s">
        <v>18521</v>
      </c>
      <c r="AD1095" t="s">
        <v>18521</v>
      </c>
      <c r="AE1095" t="s">
        <v>18522</v>
      </c>
      <c r="AF1095" t="s">
        <v>74</v>
      </c>
      <c r="AG1095">
        <v>92</v>
      </c>
      <c r="AH1095">
        <v>1</v>
      </c>
      <c r="AI1095">
        <v>1</v>
      </c>
      <c r="AJ1095">
        <v>4</v>
      </c>
      <c r="AK1095">
        <v>33</v>
      </c>
      <c r="AL1095" t="s">
        <v>665</v>
      </c>
      <c r="AM1095" t="s">
        <v>666</v>
      </c>
      <c r="AN1095" t="s">
        <v>667</v>
      </c>
      <c r="AO1095" t="s">
        <v>14034</v>
      </c>
      <c r="AP1095" t="s">
        <v>14035</v>
      </c>
      <c r="AQ1095" t="s">
        <v>74</v>
      </c>
      <c r="AR1095" t="s">
        <v>14036</v>
      </c>
      <c r="AS1095" t="s">
        <v>14037</v>
      </c>
      <c r="AT1095" t="s">
        <v>18523</v>
      </c>
      <c r="AU1095">
        <v>2020</v>
      </c>
      <c r="AV1095">
        <v>26</v>
      </c>
      <c r="AW1095">
        <v>4</v>
      </c>
      <c r="AX1095" t="s">
        <v>74</v>
      </c>
      <c r="AY1095" t="s">
        <v>74</v>
      </c>
      <c r="AZ1095" t="s">
        <v>74</v>
      </c>
      <c r="BA1095" t="s">
        <v>74</v>
      </c>
      <c r="BB1095">
        <v>749</v>
      </c>
      <c r="BC1095">
        <v>770</v>
      </c>
      <c r="BD1095" t="s">
        <v>74</v>
      </c>
      <c r="BE1095" t="s">
        <v>18524</v>
      </c>
      <c r="BF1095" t="str">
        <f>HYPERLINK("http://dx.doi.org/10.1108/IJEBR-02-2019-0100","http://dx.doi.org/10.1108/IJEBR-02-2019-0100")</f>
        <v>http://dx.doi.org/10.1108/IJEBR-02-2019-0100</v>
      </c>
      <c r="BG1095" t="s">
        <v>74</v>
      </c>
      <c r="BH1095" t="s">
        <v>6160</v>
      </c>
      <c r="BI1095">
        <v>22</v>
      </c>
      <c r="BJ1095" t="s">
        <v>93</v>
      </c>
      <c r="BK1095" t="s">
        <v>94</v>
      </c>
      <c r="BL1095" t="s">
        <v>95</v>
      </c>
      <c r="BM1095" t="s">
        <v>18525</v>
      </c>
      <c r="BN1095" t="s">
        <v>74</v>
      </c>
      <c r="BO1095" t="s">
        <v>74</v>
      </c>
      <c r="BP1095" t="s">
        <v>74</v>
      </c>
      <c r="BQ1095" t="s">
        <v>74</v>
      </c>
      <c r="BR1095" t="s">
        <v>97</v>
      </c>
      <c r="BS1095" t="s">
        <v>18526</v>
      </c>
      <c r="BT1095" t="str">
        <f>HYPERLINK("https%3A%2F%2Fwww.webofscience.com%2Fwos%2Fwoscc%2Ffull-record%2FWOS:000522029300001","View Full Record in Web of Science")</f>
        <v>View Full Record in Web of Science</v>
      </c>
    </row>
    <row r="1096" spans="1:72" x14ac:dyDescent="0.25">
      <c r="A1096" t="s">
        <v>72</v>
      </c>
      <c r="B1096" t="s">
        <v>18527</v>
      </c>
      <c r="C1096" t="s">
        <v>74</v>
      </c>
      <c r="D1096" t="s">
        <v>74</v>
      </c>
      <c r="E1096" t="s">
        <v>74</v>
      </c>
      <c r="F1096" t="s">
        <v>18528</v>
      </c>
      <c r="G1096" t="s">
        <v>74</v>
      </c>
      <c r="H1096" t="s">
        <v>74</v>
      </c>
      <c r="I1096" t="s">
        <v>18529</v>
      </c>
      <c r="J1096" t="s">
        <v>18530</v>
      </c>
      <c r="K1096" t="s">
        <v>74</v>
      </c>
      <c r="L1096" t="s">
        <v>74</v>
      </c>
      <c r="M1096" t="s">
        <v>77</v>
      </c>
      <c r="N1096" t="s">
        <v>78</v>
      </c>
      <c r="O1096" t="s">
        <v>74</v>
      </c>
      <c r="P1096" t="s">
        <v>74</v>
      </c>
      <c r="Q1096" t="s">
        <v>74</v>
      </c>
      <c r="R1096" t="s">
        <v>74</v>
      </c>
      <c r="S1096" t="s">
        <v>74</v>
      </c>
      <c r="T1096" t="s">
        <v>18531</v>
      </c>
      <c r="U1096" t="s">
        <v>18532</v>
      </c>
      <c r="V1096" t="s">
        <v>18533</v>
      </c>
      <c r="W1096" t="s">
        <v>18534</v>
      </c>
      <c r="X1096" t="s">
        <v>18535</v>
      </c>
      <c r="Y1096" t="s">
        <v>18536</v>
      </c>
      <c r="Z1096" t="s">
        <v>18537</v>
      </c>
      <c r="AA1096" t="s">
        <v>18538</v>
      </c>
      <c r="AB1096" t="s">
        <v>18539</v>
      </c>
      <c r="AC1096" t="s">
        <v>74</v>
      </c>
      <c r="AD1096" t="s">
        <v>74</v>
      </c>
      <c r="AE1096" t="s">
        <v>74</v>
      </c>
      <c r="AF1096" t="s">
        <v>74</v>
      </c>
      <c r="AG1096">
        <v>30</v>
      </c>
      <c r="AH1096">
        <v>1</v>
      </c>
      <c r="AI1096">
        <v>1</v>
      </c>
      <c r="AJ1096">
        <v>0</v>
      </c>
      <c r="AK1096">
        <v>10</v>
      </c>
      <c r="AL1096" t="s">
        <v>350</v>
      </c>
      <c r="AM1096" t="s">
        <v>351</v>
      </c>
      <c r="AN1096" t="s">
        <v>352</v>
      </c>
      <c r="AO1096" t="s">
        <v>18540</v>
      </c>
      <c r="AP1096" t="s">
        <v>18541</v>
      </c>
      <c r="AQ1096" t="s">
        <v>74</v>
      </c>
      <c r="AR1096" t="s">
        <v>18542</v>
      </c>
      <c r="AS1096" t="s">
        <v>18543</v>
      </c>
      <c r="AT1096" t="s">
        <v>200</v>
      </c>
      <c r="AU1096">
        <v>2020</v>
      </c>
      <c r="AV1096">
        <v>27</v>
      </c>
      <c r="AW1096">
        <v>1</v>
      </c>
      <c r="AX1096" t="s">
        <v>74</v>
      </c>
      <c r="AY1096" t="s">
        <v>74</v>
      </c>
      <c r="AZ1096" t="s">
        <v>74</v>
      </c>
      <c r="BA1096" t="s">
        <v>74</v>
      </c>
      <c r="BB1096">
        <v>33</v>
      </c>
      <c r="BC1096">
        <v>40</v>
      </c>
      <c r="BD1096" t="s">
        <v>74</v>
      </c>
      <c r="BE1096" t="s">
        <v>18544</v>
      </c>
      <c r="BF1096" t="str">
        <f>HYPERLINK("http://dx.doi.org/10.1177/1757975918768442","http://dx.doi.org/10.1177/1757975918768442")</f>
        <v>http://dx.doi.org/10.1177/1757975918768442</v>
      </c>
      <c r="BG1096" t="s">
        <v>74</v>
      </c>
      <c r="BH1096" t="s">
        <v>74</v>
      </c>
      <c r="BI1096">
        <v>8</v>
      </c>
      <c r="BJ1096" t="s">
        <v>8184</v>
      </c>
      <c r="BK1096" t="s">
        <v>94</v>
      </c>
      <c r="BL1096" t="s">
        <v>8184</v>
      </c>
      <c r="BM1096" t="s">
        <v>18545</v>
      </c>
      <c r="BN1096">
        <v>29809105</v>
      </c>
      <c r="BO1096" t="s">
        <v>229</v>
      </c>
      <c r="BP1096" t="s">
        <v>74</v>
      </c>
      <c r="BQ1096" t="s">
        <v>74</v>
      </c>
      <c r="BR1096" t="s">
        <v>97</v>
      </c>
      <c r="BS1096" t="s">
        <v>18546</v>
      </c>
      <c r="BT1096" t="str">
        <f>HYPERLINK("https%3A%2F%2Fwww.webofscience.com%2Fwos%2Fwoscc%2Ffull-record%2FWOS:000524186200005","View Full Record in Web of Science")</f>
        <v>View Full Record in Web of Science</v>
      </c>
    </row>
    <row r="1097" spans="1:72" x14ac:dyDescent="0.25">
      <c r="A1097" t="s">
        <v>72</v>
      </c>
      <c r="B1097" t="s">
        <v>18547</v>
      </c>
      <c r="C1097" t="s">
        <v>74</v>
      </c>
      <c r="D1097" t="s">
        <v>74</v>
      </c>
      <c r="E1097" t="s">
        <v>74</v>
      </c>
      <c r="F1097" t="s">
        <v>18548</v>
      </c>
      <c r="G1097" t="s">
        <v>74</v>
      </c>
      <c r="H1097" t="s">
        <v>74</v>
      </c>
      <c r="I1097" t="s">
        <v>18549</v>
      </c>
      <c r="J1097" t="s">
        <v>18550</v>
      </c>
      <c r="K1097" t="s">
        <v>74</v>
      </c>
      <c r="L1097" t="s">
        <v>74</v>
      </c>
      <c r="M1097" t="s">
        <v>77</v>
      </c>
      <c r="N1097" t="s">
        <v>78</v>
      </c>
      <c r="O1097" t="s">
        <v>74</v>
      </c>
      <c r="P1097" t="s">
        <v>74</v>
      </c>
      <c r="Q1097" t="s">
        <v>74</v>
      </c>
      <c r="R1097" t="s">
        <v>74</v>
      </c>
      <c r="S1097" t="s">
        <v>74</v>
      </c>
      <c r="T1097" t="s">
        <v>18551</v>
      </c>
      <c r="U1097" t="s">
        <v>18552</v>
      </c>
      <c r="V1097" t="s">
        <v>18553</v>
      </c>
      <c r="W1097" t="s">
        <v>18554</v>
      </c>
      <c r="X1097" t="s">
        <v>18555</v>
      </c>
      <c r="Y1097" t="s">
        <v>18556</v>
      </c>
      <c r="Z1097" t="s">
        <v>18557</v>
      </c>
      <c r="AA1097" t="s">
        <v>74</v>
      </c>
      <c r="AB1097" t="s">
        <v>74</v>
      </c>
      <c r="AC1097" t="s">
        <v>74</v>
      </c>
      <c r="AD1097" t="s">
        <v>74</v>
      </c>
      <c r="AE1097" t="s">
        <v>74</v>
      </c>
      <c r="AF1097" t="s">
        <v>74</v>
      </c>
      <c r="AG1097">
        <v>26</v>
      </c>
      <c r="AH1097">
        <v>1</v>
      </c>
      <c r="AI1097">
        <v>1</v>
      </c>
      <c r="AJ1097">
        <v>0</v>
      </c>
      <c r="AK1097">
        <v>3</v>
      </c>
      <c r="AL1097" t="s">
        <v>138</v>
      </c>
      <c r="AM1097" t="s">
        <v>139</v>
      </c>
      <c r="AN1097" t="s">
        <v>140</v>
      </c>
      <c r="AO1097" t="s">
        <v>18558</v>
      </c>
      <c r="AP1097" t="s">
        <v>18559</v>
      </c>
      <c r="AQ1097" t="s">
        <v>74</v>
      </c>
      <c r="AR1097" t="s">
        <v>18560</v>
      </c>
      <c r="AS1097" t="s">
        <v>18561</v>
      </c>
      <c r="AT1097" t="s">
        <v>1562</v>
      </c>
      <c r="AU1097">
        <v>2020</v>
      </c>
      <c r="AV1097">
        <v>42</v>
      </c>
      <c r="AW1097">
        <v>1</v>
      </c>
      <c r="AX1097" t="s">
        <v>74</v>
      </c>
      <c r="AY1097" t="s">
        <v>74</v>
      </c>
      <c r="AZ1097" t="s">
        <v>74</v>
      </c>
      <c r="BA1097" t="s">
        <v>74</v>
      </c>
      <c r="BB1097">
        <v>19</v>
      </c>
      <c r="BC1097">
        <v>26</v>
      </c>
      <c r="BD1097" t="s">
        <v>74</v>
      </c>
      <c r="BE1097" t="s">
        <v>18562</v>
      </c>
      <c r="BF1097" t="str">
        <f>HYPERLINK("http://dx.doi.org/10.1097/JHQ.0000000000000176","http://dx.doi.org/10.1097/JHQ.0000000000000176")</f>
        <v>http://dx.doi.org/10.1097/JHQ.0000000000000176</v>
      </c>
      <c r="BG1097" t="s">
        <v>74</v>
      </c>
      <c r="BH1097" t="s">
        <v>74</v>
      </c>
      <c r="BI1097">
        <v>8</v>
      </c>
      <c r="BJ1097" t="s">
        <v>4026</v>
      </c>
      <c r="BK1097" t="s">
        <v>147</v>
      </c>
      <c r="BL1097" t="s">
        <v>4027</v>
      </c>
      <c r="BM1097" t="s">
        <v>18563</v>
      </c>
      <c r="BN1097">
        <v>30649002</v>
      </c>
      <c r="BO1097" t="s">
        <v>74</v>
      </c>
      <c r="BP1097" t="s">
        <v>74</v>
      </c>
      <c r="BQ1097" t="s">
        <v>74</v>
      </c>
      <c r="BR1097" t="s">
        <v>97</v>
      </c>
      <c r="BS1097" t="s">
        <v>18564</v>
      </c>
      <c r="BT1097" t="str">
        <f>HYPERLINK("https%3A%2F%2Fwww.webofscience.com%2Fwos%2Fwoscc%2Ffull-record%2FWOS:000526692000005","View Full Record in Web of Science")</f>
        <v>View Full Record in Web of Science</v>
      </c>
    </row>
    <row r="1098" spans="1:72" x14ac:dyDescent="0.25">
      <c r="A1098" t="s">
        <v>72</v>
      </c>
      <c r="B1098" t="s">
        <v>18565</v>
      </c>
      <c r="C1098" t="s">
        <v>74</v>
      </c>
      <c r="D1098" t="s">
        <v>74</v>
      </c>
      <c r="E1098" t="s">
        <v>74</v>
      </c>
      <c r="F1098" t="s">
        <v>18566</v>
      </c>
      <c r="G1098" t="s">
        <v>74</v>
      </c>
      <c r="H1098" t="s">
        <v>74</v>
      </c>
      <c r="I1098" t="s">
        <v>18567</v>
      </c>
      <c r="J1098" t="s">
        <v>18568</v>
      </c>
      <c r="K1098" t="s">
        <v>74</v>
      </c>
      <c r="L1098" t="s">
        <v>74</v>
      </c>
      <c r="M1098" t="s">
        <v>77</v>
      </c>
      <c r="N1098" t="s">
        <v>78</v>
      </c>
      <c r="O1098" t="s">
        <v>74</v>
      </c>
      <c r="P1098" t="s">
        <v>74</v>
      </c>
      <c r="Q1098" t="s">
        <v>74</v>
      </c>
      <c r="R1098" t="s">
        <v>74</v>
      </c>
      <c r="S1098" t="s">
        <v>74</v>
      </c>
      <c r="T1098" t="s">
        <v>18569</v>
      </c>
      <c r="U1098" t="s">
        <v>18570</v>
      </c>
      <c r="V1098" t="s">
        <v>18571</v>
      </c>
      <c r="W1098" t="s">
        <v>18572</v>
      </c>
      <c r="X1098" t="s">
        <v>18573</v>
      </c>
      <c r="Y1098" t="s">
        <v>18574</v>
      </c>
      <c r="Z1098" t="s">
        <v>18575</v>
      </c>
      <c r="AA1098" t="s">
        <v>18576</v>
      </c>
      <c r="AB1098" t="s">
        <v>18577</v>
      </c>
      <c r="AC1098" t="s">
        <v>74</v>
      </c>
      <c r="AD1098" t="s">
        <v>74</v>
      </c>
      <c r="AE1098" t="s">
        <v>74</v>
      </c>
      <c r="AF1098" t="s">
        <v>74</v>
      </c>
      <c r="AG1098">
        <v>85</v>
      </c>
      <c r="AH1098">
        <v>1</v>
      </c>
      <c r="AI1098">
        <v>1</v>
      </c>
      <c r="AJ1098">
        <v>4</v>
      </c>
      <c r="AK1098">
        <v>11</v>
      </c>
      <c r="AL1098" t="s">
        <v>2473</v>
      </c>
      <c r="AM1098" t="s">
        <v>2102</v>
      </c>
      <c r="AN1098" t="s">
        <v>2474</v>
      </c>
      <c r="AO1098" t="s">
        <v>74</v>
      </c>
      <c r="AP1098" t="s">
        <v>18578</v>
      </c>
      <c r="AQ1098" t="s">
        <v>74</v>
      </c>
      <c r="AR1098" t="s">
        <v>18579</v>
      </c>
      <c r="AS1098" t="s">
        <v>18580</v>
      </c>
      <c r="AT1098" t="s">
        <v>18581</v>
      </c>
      <c r="AU1098">
        <v>2019</v>
      </c>
      <c r="AV1098">
        <v>9</v>
      </c>
      <c r="AW1098">
        <v>6</v>
      </c>
      <c r="AX1098" t="s">
        <v>74</v>
      </c>
      <c r="AY1098" t="s">
        <v>74</v>
      </c>
      <c r="AZ1098" t="s">
        <v>74</v>
      </c>
      <c r="BA1098" t="s">
        <v>74</v>
      </c>
      <c r="BB1098" t="s">
        <v>74</v>
      </c>
      <c r="BC1098" t="s">
        <v>74</v>
      </c>
      <c r="BD1098">
        <v>1263</v>
      </c>
      <c r="BE1098" t="s">
        <v>18582</v>
      </c>
      <c r="BF1098" t="str">
        <f>HYPERLINK("http://dx.doi.org/10.3390/app9061263","http://dx.doi.org/10.3390/app9061263")</f>
        <v>http://dx.doi.org/10.3390/app9061263</v>
      </c>
      <c r="BG1098" t="s">
        <v>74</v>
      </c>
      <c r="BH1098" t="s">
        <v>74</v>
      </c>
      <c r="BI1098">
        <v>19</v>
      </c>
      <c r="BJ1098" t="s">
        <v>18583</v>
      </c>
      <c r="BK1098" t="s">
        <v>147</v>
      </c>
      <c r="BL1098" t="s">
        <v>18584</v>
      </c>
      <c r="BM1098" t="s">
        <v>18585</v>
      </c>
      <c r="BN1098" t="s">
        <v>74</v>
      </c>
      <c r="BO1098" t="s">
        <v>13715</v>
      </c>
      <c r="BP1098" t="s">
        <v>74</v>
      </c>
      <c r="BQ1098" t="s">
        <v>74</v>
      </c>
      <c r="BR1098" t="s">
        <v>97</v>
      </c>
      <c r="BS1098" t="s">
        <v>18586</v>
      </c>
      <c r="BT1098" t="str">
        <f>HYPERLINK("https%3A%2F%2Fwww.webofscience.com%2Fwos%2Fwoscc%2Ffull-record%2FWOS:000464376500003","View Full Record in Web of Science")</f>
        <v>View Full Record in Web of Science</v>
      </c>
    </row>
    <row r="1099" spans="1:72" x14ac:dyDescent="0.25">
      <c r="A1099" t="s">
        <v>72</v>
      </c>
      <c r="B1099" t="s">
        <v>18587</v>
      </c>
      <c r="C1099" t="s">
        <v>74</v>
      </c>
      <c r="D1099" t="s">
        <v>74</v>
      </c>
      <c r="E1099" t="s">
        <v>74</v>
      </c>
      <c r="F1099" t="s">
        <v>18588</v>
      </c>
      <c r="G1099" t="s">
        <v>74</v>
      </c>
      <c r="H1099" t="s">
        <v>74</v>
      </c>
      <c r="I1099" t="s">
        <v>18589</v>
      </c>
      <c r="J1099" t="s">
        <v>18590</v>
      </c>
      <c r="K1099" t="s">
        <v>74</v>
      </c>
      <c r="L1099" t="s">
        <v>74</v>
      </c>
      <c r="M1099" t="s">
        <v>77</v>
      </c>
      <c r="N1099" t="s">
        <v>78</v>
      </c>
      <c r="O1099" t="s">
        <v>74</v>
      </c>
      <c r="P1099" t="s">
        <v>74</v>
      </c>
      <c r="Q1099" t="s">
        <v>74</v>
      </c>
      <c r="R1099" t="s">
        <v>74</v>
      </c>
      <c r="S1099" t="s">
        <v>74</v>
      </c>
      <c r="T1099" t="s">
        <v>18591</v>
      </c>
      <c r="U1099" t="s">
        <v>18592</v>
      </c>
      <c r="V1099" t="s">
        <v>18593</v>
      </c>
      <c r="W1099" t="s">
        <v>18594</v>
      </c>
      <c r="X1099" t="s">
        <v>18595</v>
      </c>
      <c r="Y1099" t="s">
        <v>18596</v>
      </c>
      <c r="Z1099" t="s">
        <v>18597</v>
      </c>
      <c r="AA1099" t="s">
        <v>74</v>
      </c>
      <c r="AB1099" t="s">
        <v>74</v>
      </c>
      <c r="AC1099" t="s">
        <v>74</v>
      </c>
      <c r="AD1099" t="s">
        <v>74</v>
      </c>
      <c r="AE1099" t="s">
        <v>74</v>
      </c>
      <c r="AF1099" t="s">
        <v>74</v>
      </c>
      <c r="AG1099">
        <v>161</v>
      </c>
      <c r="AH1099">
        <v>1</v>
      </c>
      <c r="AI1099">
        <v>1</v>
      </c>
      <c r="AJ1099">
        <v>1</v>
      </c>
      <c r="AK1099">
        <v>22</v>
      </c>
      <c r="AL1099" t="s">
        <v>350</v>
      </c>
      <c r="AM1099" t="s">
        <v>351</v>
      </c>
      <c r="AN1099" t="s">
        <v>352</v>
      </c>
      <c r="AO1099" t="s">
        <v>18598</v>
      </c>
      <c r="AP1099" t="s">
        <v>18599</v>
      </c>
      <c r="AQ1099" t="s">
        <v>74</v>
      </c>
      <c r="AR1099" t="s">
        <v>18600</v>
      </c>
      <c r="AS1099" t="s">
        <v>18601</v>
      </c>
      <c r="AT1099" t="s">
        <v>256</v>
      </c>
      <c r="AU1099">
        <v>2018</v>
      </c>
      <c r="AV1099">
        <v>49</v>
      </c>
      <c r="AW1099">
        <v>5</v>
      </c>
      <c r="AX1099" t="s">
        <v>74</v>
      </c>
      <c r="AY1099" t="s">
        <v>74</v>
      </c>
      <c r="AZ1099" t="s">
        <v>74</v>
      </c>
      <c r="BA1099" t="s">
        <v>74</v>
      </c>
      <c r="BB1099">
        <v>64</v>
      </c>
      <c r="BC1099">
        <v>84</v>
      </c>
      <c r="BD1099" t="s">
        <v>74</v>
      </c>
      <c r="BE1099" t="s">
        <v>18602</v>
      </c>
      <c r="BF1099" t="str">
        <f>HYPERLINK("http://dx.doi.org/10.1177/8756972818788773","http://dx.doi.org/10.1177/8756972818788773")</f>
        <v>http://dx.doi.org/10.1177/8756972818788773</v>
      </c>
      <c r="BG1099" t="s">
        <v>74</v>
      </c>
      <c r="BH1099" t="s">
        <v>74</v>
      </c>
      <c r="BI1099">
        <v>21</v>
      </c>
      <c r="BJ1099" t="s">
        <v>442</v>
      </c>
      <c r="BK1099" t="s">
        <v>94</v>
      </c>
      <c r="BL1099" t="s">
        <v>95</v>
      </c>
      <c r="BM1099" t="s">
        <v>18603</v>
      </c>
      <c r="BN1099" t="s">
        <v>74</v>
      </c>
      <c r="BO1099" t="s">
        <v>74</v>
      </c>
      <c r="BP1099" t="s">
        <v>74</v>
      </c>
      <c r="BQ1099" t="s">
        <v>74</v>
      </c>
      <c r="BR1099" t="s">
        <v>97</v>
      </c>
      <c r="BS1099" t="s">
        <v>18604</v>
      </c>
      <c r="BT1099" t="str">
        <f>HYPERLINK("https%3A%2F%2Fwww.webofscience.com%2Fwos%2Fwoscc%2Ffull-record%2FWOS:000444490900006","View Full Record in Web of Science")</f>
        <v>View Full Record in Web of Science</v>
      </c>
    </row>
    <row r="1100" spans="1:72" x14ac:dyDescent="0.25">
      <c r="A1100" t="s">
        <v>72</v>
      </c>
      <c r="B1100" t="s">
        <v>18605</v>
      </c>
      <c r="C1100" t="s">
        <v>74</v>
      </c>
      <c r="D1100" t="s">
        <v>74</v>
      </c>
      <c r="E1100" t="s">
        <v>74</v>
      </c>
      <c r="F1100" t="s">
        <v>18606</v>
      </c>
      <c r="G1100" t="s">
        <v>74</v>
      </c>
      <c r="H1100" t="s">
        <v>74</v>
      </c>
      <c r="I1100" t="s">
        <v>18607</v>
      </c>
      <c r="J1100" t="s">
        <v>10390</v>
      </c>
      <c r="K1100" t="s">
        <v>74</v>
      </c>
      <c r="L1100" t="s">
        <v>74</v>
      </c>
      <c r="M1100" t="s">
        <v>77</v>
      </c>
      <c r="N1100" t="s">
        <v>78</v>
      </c>
      <c r="O1100" t="s">
        <v>74</v>
      </c>
      <c r="P1100" t="s">
        <v>74</v>
      </c>
      <c r="Q1100" t="s">
        <v>74</v>
      </c>
      <c r="R1100" t="s">
        <v>74</v>
      </c>
      <c r="S1100" t="s">
        <v>74</v>
      </c>
      <c r="T1100" t="s">
        <v>74</v>
      </c>
      <c r="U1100" t="s">
        <v>18608</v>
      </c>
      <c r="V1100" t="s">
        <v>18609</v>
      </c>
      <c r="W1100" t="s">
        <v>18610</v>
      </c>
      <c r="X1100" t="s">
        <v>387</v>
      </c>
      <c r="Y1100" t="s">
        <v>18611</v>
      </c>
      <c r="Z1100" t="s">
        <v>18612</v>
      </c>
      <c r="AA1100" t="s">
        <v>74</v>
      </c>
      <c r="AB1100" t="s">
        <v>74</v>
      </c>
      <c r="AC1100" t="s">
        <v>18613</v>
      </c>
      <c r="AD1100" t="s">
        <v>18614</v>
      </c>
      <c r="AE1100" t="s">
        <v>18615</v>
      </c>
      <c r="AF1100" t="s">
        <v>74</v>
      </c>
      <c r="AG1100">
        <v>16</v>
      </c>
      <c r="AH1100">
        <v>1</v>
      </c>
      <c r="AI1100">
        <v>1</v>
      </c>
      <c r="AJ1100">
        <v>1</v>
      </c>
      <c r="AK1100">
        <v>8</v>
      </c>
      <c r="AL1100" t="s">
        <v>2833</v>
      </c>
      <c r="AM1100" t="s">
        <v>541</v>
      </c>
      <c r="AN1100" t="s">
        <v>2834</v>
      </c>
      <c r="AO1100" t="s">
        <v>10402</v>
      </c>
      <c r="AP1100" t="s">
        <v>74</v>
      </c>
      <c r="AQ1100" t="s">
        <v>74</v>
      </c>
      <c r="AR1100" t="s">
        <v>10403</v>
      </c>
      <c r="AS1100" t="s">
        <v>10404</v>
      </c>
      <c r="AT1100" t="s">
        <v>18616</v>
      </c>
      <c r="AU1100">
        <v>2018</v>
      </c>
      <c r="AV1100">
        <v>8</v>
      </c>
      <c r="AW1100" t="s">
        <v>74</v>
      </c>
      <c r="AX1100" t="s">
        <v>74</v>
      </c>
      <c r="AY1100" t="s">
        <v>74</v>
      </c>
      <c r="AZ1100" t="s">
        <v>74</v>
      </c>
      <c r="BA1100" t="s">
        <v>74</v>
      </c>
      <c r="BB1100" t="s">
        <v>74</v>
      </c>
      <c r="BC1100" t="s">
        <v>74</v>
      </c>
      <c r="BD1100">
        <v>12900</v>
      </c>
      <c r="BE1100" t="s">
        <v>18617</v>
      </c>
      <c r="BF1100" t="str">
        <f>HYPERLINK("http://dx.doi.org/10.1038/s41598-018-31331-7","http://dx.doi.org/10.1038/s41598-018-31331-7")</f>
        <v>http://dx.doi.org/10.1038/s41598-018-31331-7</v>
      </c>
      <c r="BG1100" t="s">
        <v>74</v>
      </c>
      <c r="BH1100" t="s">
        <v>74</v>
      </c>
      <c r="BI1100">
        <v>6</v>
      </c>
      <c r="BJ1100" t="s">
        <v>282</v>
      </c>
      <c r="BK1100" t="s">
        <v>147</v>
      </c>
      <c r="BL1100" t="s">
        <v>284</v>
      </c>
      <c r="BM1100" t="s">
        <v>18618</v>
      </c>
      <c r="BN1100">
        <v>30150738</v>
      </c>
      <c r="BO1100" t="s">
        <v>4398</v>
      </c>
      <c r="BP1100" t="s">
        <v>74</v>
      </c>
      <c r="BQ1100" t="s">
        <v>74</v>
      </c>
      <c r="BR1100" t="s">
        <v>97</v>
      </c>
      <c r="BS1100" t="s">
        <v>18619</v>
      </c>
      <c r="BT1100" t="str">
        <f>HYPERLINK("https%3A%2F%2Fwww.webofscience.com%2Fwos%2Fwoscc%2Ffull-record%2FWOS:000442870300078","View Full Record in Web of Science")</f>
        <v>View Full Record in Web of Science</v>
      </c>
    </row>
    <row r="1101" spans="1:72" x14ac:dyDescent="0.25">
      <c r="A1101" t="s">
        <v>72</v>
      </c>
      <c r="B1101" t="s">
        <v>18620</v>
      </c>
      <c r="C1101" t="s">
        <v>74</v>
      </c>
      <c r="D1101" t="s">
        <v>74</v>
      </c>
      <c r="E1101" t="s">
        <v>74</v>
      </c>
      <c r="F1101" t="s">
        <v>18621</v>
      </c>
      <c r="G1101" t="s">
        <v>74</v>
      </c>
      <c r="H1101" t="s">
        <v>74</v>
      </c>
      <c r="I1101" t="s">
        <v>18622</v>
      </c>
      <c r="J1101" t="s">
        <v>18623</v>
      </c>
      <c r="K1101" t="s">
        <v>74</v>
      </c>
      <c r="L1101" t="s">
        <v>74</v>
      </c>
      <c r="M1101" t="s">
        <v>77</v>
      </c>
      <c r="N1101" t="s">
        <v>78</v>
      </c>
      <c r="O1101" t="s">
        <v>74</v>
      </c>
      <c r="P1101" t="s">
        <v>74</v>
      </c>
      <c r="Q1101" t="s">
        <v>74</v>
      </c>
      <c r="R1101" t="s">
        <v>74</v>
      </c>
      <c r="S1101" t="s">
        <v>74</v>
      </c>
      <c r="T1101" t="s">
        <v>74</v>
      </c>
      <c r="U1101" t="s">
        <v>18624</v>
      </c>
      <c r="V1101" t="s">
        <v>18625</v>
      </c>
      <c r="W1101" t="s">
        <v>18626</v>
      </c>
      <c r="X1101" t="s">
        <v>3056</v>
      </c>
      <c r="Y1101" t="s">
        <v>18627</v>
      </c>
      <c r="Z1101" t="s">
        <v>18628</v>
      </c>
      <c r="AA1101" t="s">
        <v>9085</v>
      </c>
      <c r="AB1101" t="s">
        <v>9086</v>
      </c>
      <c r="AC1101" t="s">
        <v>18629</v>
      </c>
      <c r="AD1101" t="s">
        <v>18630</v>
      </c>
      <c r="AE1101" t="s">
        <v>18631</v>
      </c>
      <c r="AF1101" t="s">
        <v>74</v>
      </c>
      <c r="AG1101">
        <v>68</v>
      </c>
      <c r="AH1101">
        <v>1</v>
      </c>
      <c r="AI1101">
        <v>1</v>
      </c>
      <c r="AJ1101">
        <v>0</v>
      </c>
      <c r="AK1101">
        <v>10</v>
      </c>
      <c r="AL1101" t="s">
        <v>18632</v>
      </c>
      <c r="AM1101" t="s">
        <v>18633</v>
      </c>
      <c r="AN1101" t="s">
        <v>18634</v>
      </c>
      <c r="AO1101" t="s">
        <v>18635</v>
      </c>
      <c r="AP1101" t="s">
        <v>18636</v>
      </c>
      <c r="AQ1101" t="s">
        <v>74</v>
      </c>
      <c r="AR1101" t="s">
        <v>18637</v>
      </c>
      <c r="AS1101" t="s">
        <v>18638</v>
      </c>
      <c r="AT1101" t="s">
        <v>584</v>
      </c>
      <c r="AU1101">
        <v>2017</v>
      </c>
      <c r="AV1101">
        <v>15</v>
      </c>
      <c r="AW1101">
        <v>4</v>
      </c>
      <c r="AX1101" t="s">
        <v>74</v>
      </c>
      <c r="AY1101" t="s">
        <v>74</v>
      </c>
      <c r="AZ1101" t="s">
        <v>74</v>
      </c>
      <c r="BA1101" t="s">
        <v>74</v>
      </c>
      <c r="BB1101">
        <v>179</v>
      </c>
      <c r="BC1101">
        <v>203</v>
      </c>
      <c r="BD1101" t="s">
        <v>74</v>
      </c>
      <c r="BE1101" t="s">
        <v>74</v>
      </c>
      <c r="BF1101" t="s">
        <v>74</v>
      </c>
      <c r="BG1101" t="s">
        <v>74</v>
      </c>
      <c r="BH1101" t="s">
        <v>74</v>
      </c>
      <c r="BI1101">
        <v>25</v>
      </c>
      <c r="BJ1101" t="s">
        <v>18639</v>
      </c>
      <c r="BK1101" t="s">
        <v>94</v>
      </c>
      <c r="BL1101" t="s">
        <v>18639</v>
      </c>
      <c r="BM1101" t="s">
        <v>18640</v>
      </c>
      <c r="BN1101" t="s">
        <v>74</v>
      </c>
      <c r="BO1101" t="s">
        <v>74</v>
      </c>
      <c r="BP1101" t="s">
        <v>74</v>
      </c>
      <c r="BQ1101" t="s">
        <v>74</v>
      </c>
      <c r="BR1101" t="s">
        <v>97</v>
      </c>
      <c r="BS1101" t="s">
        <v>18641</v>
      </c>
      <c r="BT1101" t="str">
        <f>HYPERLINK("https%3A%2F%2Fwww.webofscience.com%2Fwos%2Fwoscc%2Ffull-record%2FWOS:000416340500009","View Full Record in Web of Science")</f>
        <v>View Full Record in Web of Science</v>
      </c>
    </row>
    <row r="1102" spans="1:72" x14ac:dyDescent="0.25">
      <c r="A1102" t="s">
        <v>72</v>
      </c>
      <c r="B1102" t="s">
        <v>18642</v>
      </c>
      <c r="C1102" t="s">
        <v>74</v>
      </c>
      <c r="D1102" t="s">
        <v>74</v>
      </c>
      <c r="E1102" t="s">
        <v>74</v>
      </c>
      <c r="F1102" t="s">
        <v>18643</v>
      </c>
      <c r="G1102" t="s">
        <v>74</v>
      </c>
      <c r="H1102" t="s">
        <v>74</v>
      </c>
      <c r="I1102" t="s">
        <v>18644</v>
      </c>
      <c r="J1102" t="s">
        <v>6081</v>
      </c>
      <c r="K1102" t="s">
        <v>74</v>
      </c>
      <c r="L1102" t="s">
        <v>74</v>
      </c>
      <c r="M1102" t="s">
        <v>77</v>
      </c>
      <c r="N1102" t="s">
        <v>78</v>
      </c>
      <c r="O1102" t="s">
        <v>74</v>
      </c>
      <c r="P1102" t="s">
        <v>74</v>
      </c>
      <c r="Q1102" t="s">
        <v>74</v>
      </c>
      <c r="R1102" t="s">
        <v>74</v>
      </c>
      <c r="S1102" t="s">
        <v>74</v>
      </c>
      <c r="T1102" t="s">
        <v>18645</v>
      </c>
      <c r="U1102" t="s">
        <v>18646</v>
      </c>
      <c r="V1102" t="s">
        <v>18647</v>
      </c>
      <c r="W1102" t="s">
        <v>18648</v>
      </c>
      <c r="X1102" t="s">
        <v>18649</v>
      </c>
      <c r="Y1102" t="s">
        <v>18650</v>
      </c>
      <c r="Z1102" t="s">
        <v>18651</v>
      </c>
      <c r="AA1102" t="s">
        <v>18652</v>
      </c>
      <c r="AB1102" t="s">
        <v>18653</v>
      </c>
      <c r="AC1102" t="s">
        <v>18654</v>
      </c>
      <c r="AD1102" t="s">
        <v>18655</v>
      </c>
      <c r="AE1102" t="s">
        <v>18656</v>
      </c>
      <c r="AF1102" t="s">
        <v>74</v>
      </c>
      <c r="AG1102">
        <v>23</v>
      </c>
      <c r="AH1102">
        <v>1</v>
      </c>
      <c r="AI1102">
        <v>1</v>
      </c>
      <c r="AJ1102">
        <v>0</v>
      </c>
      <c r="AK1102">
        <v>5</v>
      </c>
      <c r="AL1102" t="s">
        <v>1533</v>
      </c>
      <c r="AM1102" t="s">
        <v>1534</v>
      </c>
      <c r="AN1102" t="s">
        <v>1535</v>
      </c>
      <c r="AO1102" t="s">
        <v>6094</v>
      </c>
      <c r="AP1102" t="s">
        <v>6095</v>
      </c>
      <c r="AQ1102" t="s">
        <v>74</v>
      </c>
      <c r="AR1102" t="s">
        <v>6096</v>
      </c>
      <c r="AS1102" t="s">
        <v>6097</v>
      </c>
      <c r="AT1102" t="s">
        <v>91</v>
      </c>
      <c r="AU1102">
        <v>2017</v>
      </c>
      <c r="AV1102">
        <v>20</v>
      </c>
      <c r="AW1102">
        <v>2</v>
      </c>
      <c r="AX1102" t="s">
        <v>74</v>
      </c>
      <c r="AY1102" t="s">
        <v>74</v>
      </c>
      <c r="AZ1102" t="s">
        <v>74</v>
      </c>
      <c r="BA1102" t="s">
        <v>74</v>
      </c>
      <c r="BB1102">
        <v>191</v>
      </c>
      <c r="BC1102">
        <v>195</v>
      </c>
      <c r="BD1102" t="s">
        <v>74</v>
      </c>
      <c r="BE1102" t="s">
        <v>18657</v>
      </c>
      <c r="BF1102" t="str">
        <f>HYPERLINK("http://dx.doi.org/10.1007/s10211-017-0254-7","http://dx.doi.org/10.1007/s10211-017-0254-7")</f>
        <v>http://dx.doi.org/10.1007/s10211-017-0254-7</v>
      </c>
      <c r="BG1102" t="s">
        <v>74</v>
      </c>
      <c r="BH1102" t="s">
        <v>74</v>
      </c>
      <c r="BI1102">
        <v>5</v>
      </c>
      <c r="BJ1102" t="s">
        <v>6099</v>
      </c>
      <c r="BK1102" t="s">
        <v>283</v>
      </c>
      <c r="BL1102" t="s">
        <v>6099</v>
      </c>
      <c r="BM1102" t="s">
        <v>18658</v>
      </c>
      <c r="BN1102">
        <v>28553009</v>
      </c>
      <c r="BO1102" t="s">
        <v>4225</v>
      </c>
      <c r="BP1102" t="s">
        <v>74</v>
      </c>
      <c r="BQ1102" t="s">
        <v>74</v>
      </c>
      <c r="BR1102" t="s">
        <v>97</v>
      </c>
      <c r="BS1102" t="s">
        <v>18659</v>
      </c>
      <c r="BT1102" t="str">
        <f>HYPERLINK("https%3A%2F%2Fwww.webofscience.com%2Fwos%2Fwoscc%2Ffull-record%2FWOS:000401462700012","View Full Record in Web of Science")</f>
        <v>View Full Record in Web of Science</v>
      </c>
    </row>
    <row r="1103" spans="1:72" x14ac:dyDescent="0.25">
      <c r="A1103" t="s">
        <v>72</v>
      </c>
      <c r="B1103" t="s">
        <v>18660</v>
      </c>
      <c r="C1103" t="s">
        <v>74</v>
      </c>
      <c r="D1103" t="s">
        <v>74</v>
      </c>
      <c r="E1103" t="s">
        <v>74</v>
      </c>
      <c r="F1103" t="s">
        <v>18661</v>
      </c>
      <c r="G1103" t="s">
        <v>74</v>
      </c>
      <c r="H1103" t="s">
        <v>74</v>
      </c>
      <c r="I1103" t="s">
        <v>18662</v>
      </c>
      <c r="J1103" t="s">
        <v>5262</v>
      </c>
      <c r="K1103" t="s">
        <v>74</v>
      </c>
      <c r="L1103" t="s">
        <v>74</v>
      </c>
      <c r="M1103" t="s">
        <v>77</v>
      </c>
      <c r="N1103" t="s">
        <v>78</v>
      </c>
      <c r="O1103" t="s">
        <v>74</v>
      </c>
      <c r="P1103" t="s">
        <v>74</v>
      </c>
      <c r="Q1103" t="s">
        <v>74</v>
      </c>
      <c r="R1103" t="s">
        <v>74</v>
      </c>
      <c r="S1103" t="s">
        <v>74</v>
      </c>
      <c r="T1103" t="s">
        <v>18663</v>
      </c>
      <c r="U1103" t="s">
        <v>18664</v>
      </c>
      <c r="V1103" t="s">
        <v>18665</v>
      </c>
      <c r="W1103" t="s">
        <v>18666</v>
      </c>
      <c r="X1103" t="s">
        <v>14926</v>
      </c>
      <c r="Y1103" t="s">
        <v>18667</v>
      </c>
      <c r="Z1103" t="s">
        <v>18668</v>
      </c>
      <c r="AA1103" t="s">
        <v>74</v>
      </c>
      <c r="AB1103" t="s">
        <v>74</v>
      </c>
      <c r="AC1103" t="s">
        <v>74</v>
      </c>
      <c r="AD1103" t="s">
        <v>74</v>
      </c>
      <c r="AE1103" t="s">
        <v>74</v>
      </c>
      <c r="AF1103" t="s">
        <v>74</v>
      </c>
      <c r="AG1103">
        <v>54</v>
      </c>
      <c r="AH1103">
        <v>1</v>
      </c>
      <c r="AI1103">
        <v>2</v>
      </c>
      <c r="AJ1103">
        <v>3</v>
      </c>
      <c r="AK1103">
        <v>27</v>
      </c>
      <c r="AL1103" t="s">
        <v>665</v>
      </c>
      <c r="AM1103" t="s">
        <v>666</v>
      </c>
      <c r="AN1103" t="s">
        <v>667</v>
      </c>
      <c r="AO1103" t="s">
        <v>5274</v>
      </c>
      <c r="AP1103" t="s">
        <v>5275</v>
      </c>
      <c r="AQ1103" t="s">
        <v>74</v>
      </c>
      <c r="AR1103" t="s">
        <v>5276</v>
      </c>
      <c r="AS1103" t="s">
        <v>5277</v>
      </c>
      <c r="AT1103" t="s">
        <v>74</v>
      </c>
      <c r="AU1103">
        <v>2017</v>
      </c>
      <c r="AV1103">
        <v>30</v>
      </c>
      <c r="AW1103">
        <v>6</v>
      </c>
      <c r="AX1103" t="s">
        <v>74</v>
      </c>
      <c r="AY1103" t="s">
        <v>74</v>
      </c>
      <c r="AZ1103" t="s">
        <v>74</v>
      </c>
      <c r="BA1103" t="s">
        <v>74</v>
      </c>
      <c r="BB1103">
        <v>872</v>
      </c>
      <c r="BC1103">
        <v>887</v>
      </c>
      <c r="BD1103" t="s">
        <v>74</v>
      </c>
      <c r="BE1103" t="s">
        <v>18669</v>
      </c>
      <c r="BF1103" t="str">
        <f>HYPERLINK("http://dx.doi.org/10.1108/JOCM-10-2016-0199","http://dx.doi.org/10.1108/JOCM-10-2016-0199")</f>
        <v>http://dx.doi.org/10.1108/JOCM-10-2016-0199</v>
      </c>
      <c r="BG1103" t="s">
        <v>74</v>
      </c>
      <c r="BH1103" t="s">
        <v>74</v>
      </c>
      <c r="BI1103">
        <v>16</v>
      </c>
      <c r="BJ1103" t="s">
        <v>442</v>
      </c>
      <c r="BK1103" t="s">
        <v>94</v>
      </c>
      <c r="BL1103" t="s">
        <v>95</v>
      </c>
      <c r="BM1103" t="s">
        <v>18670</v>
      </c>
      <c r="BN1103" t="s">
        <v>74</v>
      </c>
      <c r="BO1103" t="s">
        <v>74</v>
      </c>
      <c r="BP1103" t="s">
        <v>74</v>
      </c>
      <c r="BQ1103" t="s">
        <v>74</v>
      </c>
      <c r="BR1103" t="s">
        <v>97</v>
      </c>
      <c r="BS1103" t="s">
        <v>18671</v>
      </c>
      <c r="BT1103" t="str">
        <f>HYPERLINK("https%3A%2F%2Fwww.webofscience.com%2Fwos%2Fwoscc%2Ffull-record%2FWOS:000412285900004","View Full Record in Web of Science")</f>
        <v>View Full Record in Web of Science</v>
      </c>
    </row>
    <row r="1104" spans="1:72" x14ac:dyDescent="0.25">
      <c r="A1104" t="s">
        <v>72</v>
      </c>
      <c r="B1104" t="s">
        <v>18672</v>
      </c>
      <c r="C1104" t="s">
        <v>74</v>
      </c>
      <c r="D1104" t="s">
        <v>74</v>
      </c>
      <c r="E1104" t="s">
        <v>74</v>
      </c>
      <c r="F1104" t="s">
        <v>18673</v>
      </c>
      <c r="G1104" t="s">
        <v>74</v>
      </c>
      <c r="H1104" t="s">
        <v>74</v>
      </c>
      <c r="I1104" t="s">
        <v>18674</v>
      </c>
      <c r="J1104" t="s">
        <v>2059</v>
      </c>
      <c r="K1104" t="s">
        <v>74</v>
      </c>
      <c r="L1104" t="s">
        <v>74</v>
      </c>
      <c r="M1104" t="s">
        <v>77</v>
      </c>
      <c r="N1104" t="s">
        <v>78</v>
      </c>
      <c r="O1104" t="s">
        <v>74</v>
      </c>
      <c r="P1104" t="s">
        <v>74</v>
      </c>
      <c r="Q1104" t="s">
        <v>74</v>
      </c>
      <c r="R1104" t="s">
        <v>74</v>
      </c>
      <c r="S1104" t="s">
        <v>74</v>
      </c>
      <c r="T1104" t="s">
        <v>18675</v>
      </c>
      <c r="U1104" t="s">
        <v>18676</v>
      </c>
      <c r="V1104" t="s">
        <v>18677</v>
      </c>
      <c r="W1104" t="s">
        <v>18678</v>
      </c>
      <c r="X1104" t="s">
        <v>18679</v>
      </c>
      <c r="Y1104" t="s">
        <v>18680</v>
      </c>
      <c r="Z1104" t="s">
        <v>18681</v>
      </c>
      <c r="AA1104" t="s">
        <v>74</v>
      </c>
      <c r="AB1104" t="s">
        <v>74</v>
      </c>
      <c r="AC1104" t="s">
        <v>18682</v>
      </c>
      <c r="AD1104" t="s">
        <v>11342</v>
      </c>
      <c r="AE1104" t="s">
        <v>18683</v>
      </c>
      <c r="AF1104" t="s">
        <v>74</v>
      </c>
      <c r="AG1104">
        <v>25</v>
      </c>
      <c r="AH1104">
        <v>1</v>
      </c>
      <c r="AI1104">
        <v>1</v>
      </c>
      <c r="AJ1104">
        <v>2</v>
      </c>
      <c r="AK1104">
        <v>28</v>
      </c>
      <c r="AL1104" t="s">
        <v>2067</v>
      </c>
      <c r="AM1104" t="s">
        <v>2068</v>
      </c>
      <c r="AN1104" t="s">
        <v>2069</v>
      </c>
      <c r="AO1104" t="s">
        <v>2070</v>
      </c>
      <c r="AP1104" t="s">
        <v>2071</v>
      </c>
      <c r="AQ1104" t="s">
        <v>74</v>
      </c>
      <c r="AR1104" t="s">
        <v>2072</v>
      </c>
      <c r="AS1104" t="s">
        <v>2073</v>
      </c>
      <c r="AT1104" t="s">
        <v>74</v>
      </c>
      <c r="AU1104">
        <v>2017</v>
      </c>
      <c r="AV1104">
        <v>45</v>
      </c>
      <c r="AW1104">
        <v>4</v>
      </c>
      <c r="AX1104" t="s">
        <v>74</v>
      </c>
      <c r="AY1104" t="s">
        <v>74</v>
      </c>
      <c r="AZ1104" t="s">
        <v>74</v>
      </c>
      <c r="BA1104" t="s">
        <v>74</v>
      </c>
      <c r="BB1104">
        <v>657</v>
      </c>
      <c r="BC1104">
        <v>668</v>
      </c>
      <c r="BD1104" t="s">
        <v>74</v>
      </c>
      <c r="BE1104" t="s">
        <v>18684</v>
      </c>
      <c r="BF1104" t="str">
        <f>HYPERLINK("http://dx.doi.org/10.2224/sbp.5934","http://dx.doi.org/10.2224/sbp.5934")</f>
        <v>http://dx.doi.org/10.2224/sbp.5934</v>
      </c>
      <c r="BG1104" t="s">
        <v>74</v>
      </c>
      <c r="BH1104" t="s">
        <v>74</v>
      </c>
      <c r="BI1104">
        <v>12</v>
      </c>
      <c r="BJ1104" t="s">
        <v>459</v>
      </c>
      <c r="BK1104" t="s">
        <v>94</v>
      </c>
      <c r="BL1104" t="s">
        <v>460</v>
      </c>
      <c r="BM1104" t="s">
        <v>18685</v>
      </c>
      <c r="BN1104" t="s">
        <v>74</v>
      </c>
      <c r="BO1104" t="s">
        <v>74</v>
      </c>
      <c r="BP1104" t="s">
        <v>74</v>
      </c>
      <c r="BQ1104" t="s">
        <v>74</v>
      </c>
      <c r="BR1104" t="s">
        <v>97</v>
      </c>
      <c r="BS1104" t="s">
        <v>18686</v>
      </c>
      <c r="BT1104" t="str">
        <f>HYPERLINK("https%3A%2F%2Fwww.webofscience.com%2Fwos%2Fwoscc%2Ffull-record%2FWOS:000401330600012","View Full Record in Web of Science")</f>
        <v>View Full Record in Web of Science</v>
      </c>
    </row>
    <row r="1105" spans="1:72" x14ac:dyDescent="0.25">
      <c r="A1105" t="s">
        <v>72</v>
      </c>
      <c r="B1105" t="s">
        <v>18687</v>
      </c>
      <c r="C1105" t="s">
        <v>74</v>
      </c>
      <c r="D1105" t="s">
        <v>74</v>
      </c>
      <c r="E1105" t="s">
        <v>74</v>
      </c>
      <c r="F1105" t="s">
        <v>18688</v>
      </c>
      <c r="G1105" t="s">
        <v>74</v>
      </c>
      <c r="H1105" t="s">
        <v>74</v>
      </c>
      <c r="I1105" t="s">
        <v>18689</v>
      </c>
      <c r="J1105" t="s">
        <v>18690</v>
      </c>
      <c r="K1105" t="s">
        <v>74</v>
      </c>
      <c r="L1105" t="s">
        <v>74</v>
      </c>
      <c r="M1105" t="s">
        <v>77</v>
      </c>
      <c r="N1105" t="s">
        <v>78</v>
      </c>
      <c r="O1105" t="s">
        <v>74</v>
      </c>
      <c r="P1105" t="s">
        <v>74</v>
      </c>
      <c r="Q1105" t="s">
        <v>74</v>
      </c>
      <c r="R1105" t="s">
        <v>74</v>
      </c>
      <c r="S1105" t="s">
        <v>74</v>
      </c>
      <c r="T1105" t="s">
        <v>74</v>
      </c>
      <c r="U1105" t="s">
        <v>18691</v>
      </c>
      <c r="V1105" t="s">
        <v>74</v>
      </c>
      <c r="W1105" t="s">
        <v>18692</v>
      </c>
      <c r="X1105" t="s">
        <v>18693</v>
      </c>
      <c r="Y1105" t="s">
        <v>18694</v>
      </c>
      <c r="Z1105" t="s">
        <v>18695</v>
      </c>
      <c r="AA1105" t="s">
        <v>18696</v>
      </c>
      <c r="AB1105" t="s">
        <v>18697</v>
      </c>
      <c r="AC1105" t="s">
        <v>74</v>
      </c>
      <c r="AD1105" t="s">
        <v>74</v>
      </c>
      <c r="AE1105" t="s">
        <v>74</v>
      </c>
      <c r="AF1105" t="s">
        <v>74</v>
      </c>
      <c r="AG1105">
        <v>8</v>
      </c>
      <c r="AH1105">
        <v>1</v>
      </c>
      <c r="AI1105">
        <v>1</v>
      </c>
      <c r="AJ1105">
        <v>0</v>
      </c>
      <c r="AK1105">
        <v>16</v>
      </c>
      <c r="AL1105" t="s">
        <v>18698</v>
      </c>
      <c r="AM1105" t="s">
        <v>18699</v>
      </c>
      <c r="AN1105" t="s">
        <v>18700</v>
      </c>
      <c r="AO1105" t="s">
        <v>18701</v>
      </c>
      <c r="AP1105" t="s">
        <v>18702</v>
      </c>
      <c r="AQ1105" t="s">
        <v>74</v>
      </c>
      <c r="AR1105" t="s">
        <v>18690</v>
      </c>
      <c r="AS1105" t="s">
        <v>18703</v>
      </c>
      <c r="AT1105" t="s">
        <v>4815</v>
      </c>
      <c r="AU1105">
        <v>2016</v>
      </c>
      <c r="AV1105">
        <v>33</v>
      </c>
      <c r="AW1105">
        <v>5</v>
      </c>
      <c r="AX1105" t="s">
        <v>74</v>
      </c>
      <c r="AY1105" t="s">
        <v>74</v>
      </c>
      <c r="AZ1105" t="s">
        <v>74</v>
      </c>
      <c r="BA1105" t="s">
        <v>74</v>
      </c>
      <c r="BB1105">
        <v>106</v>
      </c>
      <c r="BC1105">
        <v>109</v>
      </c>
      <c r="BD1105" t="s">
        <v>74</v>
      </c>
      <c r="BE1105" t="s">
        <v>18704</v>
      </c>
      <c r="BF1105" t="str">
        <f>HYPERLINK("http://dx.doi.org/10.1109/MS.2016.120","http://dx.doi.org/10.1109/MS.2016.120")</f>
        <v>http://dx.doi.org/10.1109/MS.2016.120</v>
      </c>
      <c r="BG1105" t="s">
        <v>74</v>
      </c>
      <c r="BH1105" t="s">
        <v>74</v>
      </c>
      <c r="BI1105">
        <v>4</v>
      </c>
      <c r="BJ1105" t="s">
        <v>18112</v>
      </c>
      <c r="BK1105" t="s">
        <v>147</v>
      </c>
      <c r="BL1105" t="s">
        <v>2786</v>
      </c>
      <c r="BM1105" t="s">
        <v>18705</v>
      </c>
      <c r="BN1105" t="s">
        <v>74</v>
      </c>
      <c r="BO1105" t="s">
        <v>111</v>
      </c>
      <c r="BP1105" t="s">
        <v>74</v>
      </c>
      <c r="BQ1105" t="s">
        <v>74</v>
      </c>
      <c r="BR1105" t="s">
        <v>97</v>
      </c>
      <c r="BS1105" t="s">
        <v>18706</v>
      </c>
      <c r="BT1105" t="str">
        <f>HYPERLINK("https%3A%2F%2Fwww.webofscience.com%2Fwos%2Fwoscc%2Ffull-record%2FWOS:000383095900018","View Full Record in Web of Science")</f>
        <v>View Full Record in Web of Science</v>
      </c>
    </row>
    <row r="1106" spans="1:72" x14ac:dyDescent="0.25">
      <c r="A1106" t="s">
        <v>72</v>
      </c>
      <c r="B1106" t="s">
        <v>18707</v>
      </c>
      <c r="C1106" t="s">
        <v>74</v>
      </c>
      <c r="D1106" t="s">
        <v>74</v>
      </c>
      <c r="E1106" t="s">
        <v>74</v>
      </c>
      <c r="F1106" t="s">
        <v>18708</v>
      </c>
      <c r="G1106" t="s">
        <v>74</v>
      </c>
      <c r="H1106" t="s">
        <v>74</v>
      </c>
      <c r="I1106" t="s">
        <v>18709</v>
      </c>
      <c r="J1106" t="s">
        <v>18710</v>
      </c>
      <c r="K1106" t="s">
        <v>74</v>
      </c>
      <c r="L1106" t="s">
        <v>74</v>
      </c>
      <c r="M1106" t="s">
        <v>18711</v>
      </c>
      <c r="N1106" t="s">
        <v>78</v>
      </c>
      <c r="O1106" t="s">
        <v>74</v>
      </c>
      <c r="P1106" t="s">
        <v>74</v>
      </c>
      <c r="Q1106" t="s">
        <v>74</v>
      </c>
      <c r="R1106" t="s">
        <v>74</v>
      </c>
      <c r="S1106" t="s">
        <v>74</v>
      </c>
      <c r="T1106" t="s">
        <v>18712</v>
      </c>
      <c r="U1106" t="s">
        <v>74</v>
      </c>
      <c r="V1106" t="s">
        <v>18713</v>
      </c>
      <c r="W1106" t="s">
        <v>18714</v>
      </c>
      <c r="X1106" t="s">
        <v>18715</v>
      </c>
      <c r="Y1106" t="s">
        <v>18716</v>
      </c>
      <c r="Z1106" t="s">
        <v>18717</v>
      </c>
      <c r="AA1106" t="s">
        <v>18718</v>
      </c>
      <c r="AB1106" t="s">
        <v>74</v>
      </c>
      <c r="AC1106" t="s">
        <v>74</v>
      </c>
      <c r="AD1106" t="s">
        <v>74</v>
      </c>
      <c r="AE1106" t="s">
        <v>74</v>
      </c>
      <c r="AF1106" t="s">
        <v>74</v>
      </c>
      <c r="AG1106">
        <v>14</v>
      </c>
      <c r="AH1106">
        <v>1</v>
      </c>
      <c r="AI1106">
        <v>1</v>
      </c>
      <c r="AJ1106">
        <v>0</v>
      </c>
      <c r="AK1106">
        <v>8</v>
      </c>
      <c r="AL1106" t="s">
        <v>18719</v>
      </c>
      <c r="AM1106" t="s">
        <v>16935</v>
      </c>
      <c r="AN1106" t="s">
        <v>18720</v>
      </c>
      <c r="AO1106" t="s">
        <v>18721</v>
      </c>
      <c r="AP1106" t="s">
        <v>74</v>
      </c>
      <c r="AQ1106" t="s">
        <v>74</v>
      </c>
      <c r="AR1106" t="s">
        <v>18722</v>
      </c>
      <c r="AS1106" t="s">
        <v>18723</v>
      </c>
      <c r="AT1106" t="s">
        <v>74</v>
      </c>
      <c r="AU1106">
        <v>2015</v>
      </c>
      <c r="AV1106" t="s">
        <v>74</v>
      </c>
      <c r="AW1106">
        <v>6</v>
      </c>
      <c r="AX1106" t="s">
        <v>74</v>
      </c>
      <c r="AY1106" t="s">
        <v>74</v>
      </c>
      <c r="AZ1106" t="s">
        <v>74</v>
      </c>
      <c r="BA1106" t="s">
        <v>74</v>
      </c>
      <c r="BB1106">
        <v>86</v>
      </c>
      <c r="BC1106" t="s">
        <v>2838</v>
      </c>
      <c r="BD1106" t="s">
        <v>74</v>
      </c>
      <c r="BE1106" t="s">
        <v>74</v>
      </c>
      <c r="BF1106" t="s">
        <v>74</v>
      </c>
      <c r="BG1106" t="s">
        <v>74</v>
      </c>
      <c r="BH1106" t="s">
        <v>74</v>
      </c>
      <c r="BI1106">
        <v>6</v>
      </c>
      <c r="BJ1106" t="s">
        <v>3492</v>
      </c>
      <c r="BK1106" t="s">
        <v>94</v>
      </c>
      <c r="BL1106" t="s">
        <v>3492</v>
      </c>
      <c r="BM1106" t="s">
        <v>18724</v>
      </c>
      <c r="BN1106" t="s">
        <v>74</v>
      </c>
      <c r="BO1106" t="s">
        <v>74</v>
      </c>
      <c r="BP1106" t="s">
        <v>74</v>
      </c>
      <c r="BQ1106" t="s">
        <v>74</v>
      </c>
      <c r="BR1106" t="s">
        <v>97</v>
      </c>
      <c r="BS1106" t="s">
        <v>18725</v>
      </c>
      <c r="BT1106" t="str">
        <f>HYPERLINK("https%3A%2F%2Fwww.webofscience.com%2Fwos%2Fwoscc%2Ffull-record%2FWOS:000358559100011","View Full Record in Web of Science")</f>
        <v>View Full Record in Web of Science</v>
      </c>
    </row>
    <row r="1107" spans="1:72" x14ac:dyDescent="0.25">
      <c r="A1107" t="s">
        <v>72</v>
      </c>
      <c r="B1107" t="s">
        <v>18726</v>
      </c>
      <c r="C1107" t="s">
        <v>74</v>
      </c>
      <c r="D1107" t="s">
        <v>74</v>
      </c>
      <c r="E1107" t="s">
        <v>74</v>
      </c>
      <c r="F1107" t="s">
        <v>18727</v>
      </c>
      <c r="G1107" t="s">
        <v>74</v>
      </c>
      <c r="H1107" t="s">
        <v>74</v>
      </c>
      <c r="I1107" t="s">
        <v>18728</v>
      </c>
      <c r="J1107" t="s">
        <v>18729</v>
      </c>
      <c r="K1107" t="s">
        <v>74</v>
      </c>
      <c r="L1107" t="s">
        <v>74</v>
      </c>
      <c r="M1107" t="s">
        <v>77</v>
      </c>
      <c r="N1107" t="s">
        <v>78</v>
      </c>
      <c r="O1107" t="s">
        <v>74</v>
      </c>
      <c r="P1107" t="s">
        <v>74</v>
      </c>
      <c r="Q1107" t="s">
        <v>74</v>
      </c>
      <c r="R1107" t="s">
        <v>74</v>
      </c>
      <c r="S1107" t="s">
        <v>74</v>
      </c>
      <c r="T1107" t="s">
        <v>18730</v>
      </c>
      <c r="U1107" t="s">
        <v>18731</v>
      </c>
      <c r="V1107" t="s">
        <v>18732</v>
      </c>
      <c r="W1107" t="s">
        <v>18733</v>
      </c>
      <c r="X1107" t="s">
        <v>1242</v>
      </c>
      <c r="Y1107" t="s">
        <v>18734</v>
      </c>
      <c r="Z1107" t="s">
        <v>18735</v>
      </c>
      <c r="AA1107" t="s">
        <v>18736</v>
      </c>
      <c r="AB1107" t="s">
        <v>18737</v>
      </c>
      <c r="AC1107" t="s">
        <v>18738</v>
      </c>
      <c r="AD1107" t="s">
        <v>18738</v>
      </c>
      <c r="AE1107" t="s">
        <v>18739</v>
      </c>
      <c r="AF1107" t="s">
        <v>74</v>
      </c>
      <c r="AG1107">
        <v>16</v>
      </c>
      <c r="AH1107">
        <v>1</v>
      </c>
      <c r="AI1107">
        <v>1</v>
      </c>
      <c r="AJ1107">
        <v>1</v>
      </c>
      <c r="AK1107">
        <v>7</v>
      </c>
      <c r="AL1107" t="s">
        <v>786</v>
      </c>
      <c r="AM1107" t="s">
        <v>787</v>
      </c>
      <c r="AN1107" t="s">
        <v>788</v>
      </c>
      <c r="AO1107" t="s">
        <v>18740</v>
      </c>
      <c r="AP1107" t="s">
        <v>74</v>
      </c>
      <c r="AQ1107" t="s">
        <v>74</v>
      </c>
      <c r="AR1107" t="s">
        <v>18741</v>
      </c>
      <c r="AS1107" t="s">
        <v>18742</v>
      </c>
      <c r="AT1107" t="s">
        <v>91</v>
      </c>
      <c r="AU1107">
        <v>2011</v>
      </c>
      <c r="AV1107">
        <v>72</v>
      </c>
      <c r="AW1107">
        <v>4</v>
      </c>
      <c r="AX1107" t="s">
        <v>74</v>
      </c>
      <c r="AY1107" t="s">
        <v>74</v>
      </c>
      <c r="AZ1107" t="s">
        <v>74</v>
      </c>
      <c r="BA1107" t="s">
        <v>74</v>
      </c>
      <c r="BB1107">
        <v>299</v>
      </c>
      <c r="BC1107">
        <v>304</v>
      </c>
      <c r="BD1107" t="s">
        <v>74</v>
      </c>
      <c r="BE1107" t="s">
        <v>18743</v>
      </c>
      <c r="BF1107" t="str">
        <f>HYPERLINK("http://dx.doi.org/10.1002/ddr.20437","http://dx.doi.org/10.1002/ddr.20437")</f>
        <v>http://dx.doi.org/10.1002/ddr.20437</v>
      </c>
      <c r="BG1107" t="s">
        <v>74</v>
      </c>
      <c r="BH1107" t="s">
        <v>74</v>
      </c>
      <c r="BI1107">
        <v>6</v>
      </c>
      <c r="BJ1107" t="s">
        <v>18744</v>
      </c>
      <c r="BK1107" t="s">
        <v>147</v>
      </c>
      <c r="BL1107" t="s">
        <v>18745</v>
      </c>
      <c r="BM1107" t="s">
        <v>18746</v>
      </c>
      <c r="BN1107" t="s">
        <v>74</v>
      </c>
      <c r="BO1107" t="s">
        <v>74</v>
      </c>
      <c r="BP1107" t="s">
        <v>74</v>
      </c>
      <c r="BQ1107" t="s">
        <v>74</v>
      </c>
      <c r="BR1107" t="s">
        <v>97</v>
      </c>
      <c r="BS1107" t="s">
        <v>18747</v>
      </c>
      <c r="BT1107" t="str">
        <f>HYPERLINK("https%3A%2F%2Fwww.webofscience.com%2Fwos%2Fwoscc%2Ffull-record%2FWOS:000292194600001","View Full Record in Web of Science")</f>
        <v>View Full Record in Web of Science</v>
      </c>
    </row>
    <row r="1108" spans="1:72" x14ac:dyDescent="0.25">
      <c r="A1108" t="s">
        <v>72</v>
      </c>
      <c r="B1108" t="s">
        <v>18748</v>
      </c>
      <c r="C1108" t="s">
        <v>74</v>
      </c>
      <c r="D1108" t="s">
        <v>74</v>
      </c>
      <c r="E1108" t="s">
        <v>74</v>
      </c>
      <c r="F1108" t="s">
        <v>18749</v>
      </c>
      <c r="G1108" t="s">
        <v>74</v>
      </c>
      <c r="H1108" t="s">
        <v>74</v>
      </c>
      <c r="I1108" t="s">
        <v>18750</v>
      </c>
      <c r="J1108" t="s">
        <v>18751</v>
      </c>
      <c r="K1108" t="s">
        <v>74</v>
      </c>
      <c r="L1108" t="s">
        <v>74</v>
      </c>
      <c r="M1108" t="s">
        <v>77</v>
      </c>
      <c r="N1108" t="s">
        <v>78</v>
      </c>
      <c r="O1108" t="s">
        <v>74</v>
      </c>
      <c r="P1108" t="s">
        <v>74</v>
      </c>
      <c r="Q1108" t="s">
        <v>74</v>
      </c>
      <c r="R1108" t="s">
        <v>74</v>
      </c>
      <c r="S1108" t="s">
        <v>74</v>
      </c>
      <c r="T1108" t="s">
        <v>18752</v>
      </c>
      <c r="U1108" t="s">
        <v>74</v>
      </c>
      <c r="V1108" t="s">
        <v>18753</v>
      </c>
      <c r="W1108" t="s">
        <v>18754</v>
      </c>
      <c r="X1108" t="s">
        <v>18755</v>
      </c>
      <c r="Y1108" t="s">
        <v>18756</v>
      </c>
      <c r="Z1108" t="s">
        <v>18757</v>
      </c>
      <c r="AA1108" t="s">
        <v>74</v>
      </c>
      <c r="AB1108" t="s">
        <v>18758</v>
      </c>
      <c r="AC1108" t="s">
        <v>18759</v>
      </c>
      <c r="AD1108" t="s">
        <v>18760</v>
      </c>
      <c r="AE1108" t="s">
        <v>18761</v>
      </c>
      <c r="AF1108" t="s">
        <v>74</v>
      </c>
      <c r="AG1108">
        <v>6</v>
      </c>
      <c r="AH1108">
        <v>1</v>
      </c>
      <c r="AI1108">
        <v>2</v>
      </c>
      <c r="AJ1108">
        <v>0</v>
      </c>
      <c r="AK1108">
        <v>11</v>
      </c>
      <c r="AL1108" t="s">
        <v>18762</v>
      </c>
      <c r="AM1108" t="s">
        <v>18763</v>
      </c>
      <c r="AN1108" t="s">
        <v>18764</v>
      </c>
      <c r="AO1108" t="s">
        <v>18765</v>
      </c>
      <c r="AP1108" t="s">
        <v>74</v>
      </c>
      <c r="AQ1108" t="s">
        <v>74</v>
      </c>
      <c r="AR1108" t="s">
        <v>18766</v>
      </c>
      <c r="AS1108" t="s">
        <v>18767</v>
      </c>
      <c r="AT1108" t="s">
        <v>892</v>
      </c>
      <c r="AU1108">
        <v>2011</v>
      </c>
      <c r="AV1108">
        <v>29</v>
      </c>
      <c r="AW1108">
        <v>1</v>
      </c>
      <c r="AX1108" t="s">
        <v>74</v>
      </c>
      <c r="AY1108" t="s">
        <v>74</v>
      </c>
      <c r="AZ1108" t="s">
        <v>74</v>
      </c>
      <c r="BA1108" t="s">
        <v>74</v>
      </c>
      <c r="BB1108">
        <v>187</v>
      </c>
      <c r="BC1108">
        <v>189</v>
      </c>
      <c r="BD1108" t="s">
        <v>74</v>
      </c>
      <c r="BE1108" t="s">
        <v>18768</v>
      </c>
      <c r="BF1108" t="str">
        <f>HYPERLINK("http://dx.doi.org/10.1007/s10164-010-0234-0","http://dx.doi.org/10.1007/s10164-010-0234-0")</f>
        <v>http://dx.doi.org/10.1007/s10164-010-0234-0</v>
      </c>
      <c r="BG1108" t="s">
        <v>74</v>
      </c>
      <c r="BH1108" t="s">
        <v>74</v>
      </c>
      <c r="BI1108">
        <v>3</v>
      </c>
      <c r="BJ1108" t="s">
        <v>6099</v>
      </c>
      <c r="BK1108" t="s">
        <v>283</v>
      </c>
      <c r="BL1108" t="s">
        <v>6099</v>
      </c>
      <c r="BM1108" t="s">
        <v>18769</v>
      </c>
      <c r="BN1108">
        <v>23280047</v>
      </c>
      <c r="BO1108" t="s">
        <v>378</v>
      </c>
      <c r="BP1108" t="s">
        <v>74</v>
      </c>
      <c r="BQ1108" t="s">
        <v>74</v>
      </c>
      <c r="BR1108" t="s">
        <v>97</v>
      </c>
      <c r="BS1108" t="s">
        <v>18770</v>
      </c>
      <c r="BT1108" t="str">
        <f>HYPERLINK("https%3A%2F%2Fwww.webofscience.com%2Fwos%2Fwoscc%2Ffull-record%2FWOS:000285754300026","View Full Record in Web of Science")</f>
        <v>View Full Record in Web of Science</v>
      </c>
    </row>
    <row r="1109" spans="1:72" x14ac:dyDescent="0.25">
      <c r="A1109" t="s">
        <v>72</v>
      </c>
      <c r="B1109" t="s">
        <v>18771</v>
      </c>
      <c r="C1109" t="s">
        <v>74</v>
      </c>
      <c r="D1109" t="s">
        <v>74</v>
      </c>
      <c r="E1109" t="s">
        <v>74</v>
      </c>
      <c r="F1109" t="s">
        <v>18772</v>
      </c>
      <c r="G1109" t="s">
        <v>74</v>
      </c>
      <c r="H1109" t="s">
        <v>74</v>
      </c>
      <c r="I1109" t="s">
        <v>18773</v>
      </c>
      <c r="J1109" t="s">
        <v>4915</v>
      </c>
      <c r="K1109" t="s">
        <v>74</v>
      </c>
      <c r="L1109" t="s">
        <v>74</v>
      </c>
      <c r="M1109" t="s">
        <v>77</v>
      </c>
      <c r="N1109" t="s">
        <v>319</v>
      </c>
      <c r="O1109" t="s">
        <v>18774</v>
      </c>
      <c r="P1109" t="s">
        <v>18775</v>
      </c>
      <c r="Q1109" t="s">
        <v>18776</v>
      </c>
      <c r="R1109" t="s">
        <v>18777</v>
      </c>
      <c r="S1109" t="s">
        <v>74</v>
      </c>
      <c r="T1109" t="s">
        <v>18778</v>
      </c>
      <c r="U1109" t="s">
        <v>74</v>
      </c>
      <c r="V1109" t="s">
        <v>18779</v>
      </c>
      <c r="W1109" t="s">
        <v>18780</v>
      </c>
      <c r="X1109" t="s">
        <v>18781</v>
      </c>
      <c r="Y1109" t="s">
        <v>18782</v>
      </c>
      <c r="Z1109" t="s">
        <v>18783</v>
      </c>
      <c r="AA1109" t="s">
        <v>18784</v>
      </c>
      <c r="AB1109" t="s">
        <v>18785</v>
      </c>
      <c r="AC1109" t="s">
        <v>74</v>
      </c>
      <c r="AD1109" t="s">
        <v>74</v>
      </c>
      <c r="AE1109" t="s">
        <v>74</v>
      </c>
      <c r="AF1109" t="s">
        <v>74</v>
      </c>
      <c r="AG1109">
        <v>36</v>
      </c>
      <c r="AH1109">
        <v>1</v>
      </c>
      <c r="AI1109">
        <v>1</v>
      </c>
      <c r="AJ1109">
        <v>0</v>
      </c>
      <c r="AK1109">
        <v>7</v>
      </c>
      <c r="AL1109" t="s">
        <v>766</v>
      </c>
      <c r="AM1109" t="s">
        <v>330</v>
      </c>
      <c r="AN1109" t="s">
        <v>1452</v>
      </c>
      <c r="AO1109" t="s">
        <v>4925</v>
      </c>
      <c r="AP1109" t="s">
        <v>4926</v>
      </c>
      <c r="AQ1109" t="s">
        <v>74</v>
      </c>
      <c r="AR1109" t="s">
        <v>4927</v>
      </c>
      <c r="AS1109" t="s">
        <v>4928</v>
      </c>
      <c r="AT1109" t="s">
        <v>122</v>
      </c>
      <c r="AU1109">
        <v>2008</v>
      </c>
      <c r="AV1109">
        <v>18</v>
      </c>
      <c r="AW1109">
        <v>2</v>
      </c>
      <c r="AX1109" t="s">
        <v>74</v>
      </c>
      <c r="AY1109" t="s">
        <v>74</v>
      </c>
      <c r="AZ1109" t="s">
        <v>74</v>
      </c>
      <c r="BA1109" t="s">
        <v>74</v>
      </c>
      <c r="BB1109">
        <v>275</v>
      </c>
      <c r="BC1109">
        <v>289</v>
      </c>
      <c r="BD1109" t="s">
        <v>74</v>
      </c>
      <c r="BE1109" t="s">
        <v>18786</v>
      </c>
      <c r="BF1109" t="str">
        <f>HYPERLINK("http://dx.doi.org/10.1007/s00191-007-0086-0","http://dx.doi.org/10.1007/s00191-007-0086-0")</f>
        <v>http://dx.doi.org/10.1007/s00191-007-0086-0</v>
      </c>
      <c r="BG1109" t="s">
        <v>74</v>
      </c>
      <c r="BH1109" t="s">
        <v>74</v>
      </c>
      <c r="BI1109">
        <v>15</v>
      </c>
      <c r="BJ1109" t="s">
        <v>2599</v>
      </c>
      <c r="BK1109" t="s">
        <v>338</v>
      </c>
      <c r="BL1109" t="s">
        <v>95</v>
      </c>
      <c r="BM1109" t="s">
        <v>18787</v>
      </c>
      <c r="BN1109" t="s">
        <v>74</v>
      </c>
      <c r="BO1109" t="s">
        <v>74</v>
      </c>
      <c r="BP1109" t="s">
        <v>74</v>
      </c>
      <c r="BQ1109" t="s">
        <v>74</v>
      </c>
      <c r="BR1109" t="s">
        <v>97</v>
      </c>
      <c r="BS1109" t="s">
        <v>18788</v>
      </c>
      <c r="BT1109" t="str">
        <f>HYPERLINK("https%3A%2F%2Fwww.webofscience.com%2Fwos%2Fwoscc%2Ffull-record%2FWOS:000254960100012","View Full Record in Web of Science")</f>
        <v>View Full Record in Web of Science</v>
      </c>
    </row>
    <row r="1110" spans="1:72" x14ac:dyDescent="0.25">
      <c r="A1110" t="s">
        <v>72</v>
      </c>
      <c r="B1110" t="s">
        <v>18789</v>
      </c>
      <c r="C1110" t="s">
        <v>74</v>
      </c>
      <c r="D1110" t="s">
        <v>74</v>
      </c>
      <c r="E1110" t="s">
        <v>74</v>
      </c>
      <c r="F1110" t="s">
        <v>18790</v>
      </c>
      <c r="G1110" t="s">
        <v>74</v>
      </c>
      <c r="H1110" t="s">
        <v>74</v>
      </c>
      <c r="I1110" t="s">
        <v>18791</v>
      </c>
      <c r="J1110" t="s">
        <v>2365</v>
      </c>
      <c r="K1110" t="s">
        <v>74</v>
      </c>
      <c r="L1110" t="s">
        <v>74</v>
      </c>
      <c r="M1110" t="s">
        <v>77</v>
      </c>
      <c r="N1110" t="s">
        <v>78</v>
      </c>
      <c r="O1110" t="s">
        <v>74</v>
      </c>
      <c r="P1110" t="s">
        <v>74</v>
      </c>
      <c r="Q1110" t="s">
        <v>74</v>
      </c>
      <c r="R1110" t="s">
        <v>74</v>
      </c>
      <c r="S1110" t="s">
        <v>74</v>
      </c>
      <c r="T1110" t="s">
        <v>18792</v>
      </c>
      <c r="U1110" t="s">
        <v>18793</v>
      </c>
      <c r="V1110" t="s">
        <v>18794</v>
      </c>
      <c r="W1110" t="s">
        <v>18795</v>
      </c>
      <c r="X1110" t="s">
        <v>18796</v>
      </c>
      <c r="Y1110" t="s">
        <v>18797</v>
      </c>
      <c r="Z1110" t="s">
        <v>18798</v>
      </c>
      <c r="AA1110" t="s">
        <v>74</v>
      </c>
      <c r="AB1110" t="s">
        <v>18799</v>
      </c>
      <c r="AC1110" t="s">
        <v>74</v>
      </c>
      <c r="AD1110" t="s">
        <v>74</v>
      </c>
      <c r="AE1110" t="s">
        <v>74</v>
      </c>
      <c r="AF1110" t="s">
        <v>74</v>
      </c>
      <c r="AG1110">
        <v>35</v>
      </c>
      <c r="AH1110">
        <v>1</v>
      </c>
      <c r="AI1110">
        <v>1</v>
      </c>
      <c r="AJ1110">
        <v>1</v>
      </c>
      <c r="AK1110">
        <v>14</v>
      </c>
      <c r="AL1110" t="s">
        <v>329</v>
      </c>
      <c r="AM1110" t="s">
        <v>330</v>
      </c>
      <c r="AN1110" t="s">
        <v>730</v>
      </c>
      <c r="AO1110" t="s">
        <v>2375</v>
      </c>
      <c r="AP1110" t="s">
        <v>74</v>
      </c>
      <c r="AQ1110" t="s">
        <v>74</v>
      </c>
      <c r="AR1110" t="s">
        <v>2377</v>
      </c>
      <c r="AS1110" t="s">
        <v>2378</v>
      </c>
      <c r="AT1110" t="s">
        <v>200</v>
      </c>
      <c r="AU1110">
        <v>2008</v>
      </c>
      <c r="AV1110">
        <v>75</v>
      </c>
      <c r="AW1110">
        <v>3</v>
      </c>
      <c r="AX1110" t="s">
        <v>74</v>
      </c>
      <c r="AY1110" t="s">
        <v>74</v>
      </c>
      <c r="AZ1110" t="s">
        <v>74</v>
      </c>
      <c r="BA1110" t="s">
        <v>74</v>
      </c>
      <c r="BB1110">
        <v>416</v>
      </c>
      <c r="BC1110">
        <v>437</v>
      </c>
      <c r="BD1110" t="s">
        <v>74</v>
      </c>
      <c r="BE1110" t="s">
        <v>18800</v>
      </c>
      <c r="BF1110" t="str">
        <f>HYPERLINK("http://dx.doi.org/10.1016/j.techfore.2007.03.005","http://dx.doi.org/10.1016/j.techfore.2007.03.005")</f>
        <v>http://dx.doi.org/10.1016/j.techfore.2007.03.005</v>
      </c>
      <c r="BG1110" t="s">
        <v>74</v>
      </c>
      <c r="BH1110" t="s">
        <v>74</v>
      </c>
      <c r="BI1110">
        <v>22</v>
      </c>
      <c r="BJ1110" t="s">
        <v>2380</v>
      </c>
      <c r="BK1110" t="s">
        <v>94</v>
      </c>
      <c r="BL1110" t="s">
        <v>2246</v>
      </c>
      <c r="BM1110" t="s">
        <v>18801</v>
      </c>
      <c r="BN1110" t="s">
        <v>74</v>
      </c>
      <c r="BO1110" t="s">
        <v>74</v>
      </c>
      <c r="BP1110" t="s">
        <v>74</v>
      </c>
      <c r="BQ1110" t="s">
        <v>74</v>
      </c>
      <c r="BR1110" t="s">
        <v>97</v>
      </c>
      <c r="BS1110" t="s">
        <v>18802</v>
      </c>
      <c r="BT1110" t="str">
        <f>HYPERLINK("https%3A%2F%2Fwww.webofscience.com%2Fwos%2Fwoscc%2Ffull-record%2FWOS:000254597600007","View Full Record in Web of Science")</f>
        <v>View Full Record in Web of Science</v>
      </c>
    </row>
    <row r="1111" spans="1:72" x14ac:dyDescent="0.25">
      <c r="A1111" t="s">
        <v>72</v>
      </c>
      <c r="B1111" t="s">
        <v>3389</v>
      </c>
      <c r="C1111" t="s">
        <v>74</v>
      </c>
      <c r="D1111" t="s">
        <v>74</v>
      </c>
      <c r="E1111" t="s">
        <v>74</v>
      </c>
      <c r="F1111" t="s">
        <v>3390</v>
      </c>
      <c r="G1111" t="s">
        <v>74</v>
      </c>
      <c r="H1111" t="s">
        <v>74</v>
      </c>
      <c r="I1111" t="s">
        <v>18803</v>
      </c>
      <c r="J1111" t="s">
        <v>18245</v>
      </c>
      <c r="K1111" t="s">
        <v>74</v>
      </c>
      <c r="L1111" t="s">
        <v>74</v>
      </c>
      <c r="M1111" t="s">
        <v>11465</v>
      </c>
      <c r="N1111" t="s">
        <v>78</v>
      </c>
      <c r="O1111" t="s">
        <v>74</v>
      </c>
      <c r="P1111" t="s">
        <v>74</v>
      </c>
      <c r="Q1111" t="s">
        <v>74</v>
      </c>
      <c r="R1111" t="s">
        <v>74</v>
      </c>
      <c r="S1111" t="s">
        <v>74</v>
      </c>
      <c r="T1111" t="s">
        <v>18804</v>
      </c>
      <c r="U1111" t="s">
        <v>18805</v>
      </c>
      <c r="V1111" t="s">
        <v>18806</v>
      </c>
      <c r="W1111" t="s">
        <v>18807</v>
      </c>
      <c r="X1111" t="s">
        <v>3395</v>
      </c>
      <c r="Y1111" t="s">
        <v>18808</v>
      </c>
      <c r="Z1111" t="s">
        <v>3397</v>
      </c>
      <c r="AA1111" t="s">
        <v>74</v>
      </c>
      <c r="AB1111" t="s">
        <v>74</v>
      </c>
      <c r="AC1111" t="s">
        <v>74</v>
      </c>
      <c r="AD1111" t="s">
        <v>74</v>
      </c>
      <c r="AE1111" t="s">
        <v>74</v>
      </c>
      <c r="AF1111" t="s">
        <v>74</v>
      </c>
      <c r="AG1111">
        <v>43</v>
      </c>
      <c r="AH1111">
        <v>1</v>
      </c>
      <c r="AI1111">
        <v>1</v>
      </c>
      <c r="AJ1111">
        <v>1</v>
      </c>
      <c r="AK1111">
        <v>24</v>
      </c>
      <c r="AL1111" t="s">
        <v>2652</v>
      </c>
      <c r="AM1111" t="s">
        <v>2653</v>
      </c>
      <c r="AN1111" t="s">
        <v>14631</v>
      </c>
      <c r="AO1111" t="s">
        <v>18256</v>
      </c>
      <c r="AP1111" t="s">
        <v>74</v>
      </c>
      <c r="AQ1111" t="s">
        <v>74</v>
      </c>
      <c r="AR1111" t="s">
        <v>18258</v>
      </c>
      <c r="AS1111" t="s">
        <v>18259</v>
      </c>
      <c r="AT1111" t="s">
        <v>74</v>
      </c>
      <c r="AU1111">
        <v>2008</v>
      </c>
      <c r="AV1111">
        <v>52</v>
      </c>
      <c r="AW1111">
        <v>2</v>
      </c>
      <c r="AX1111" t="s">
        <v>74</v>
      </c>
      <c r="AY1111" t="s">
        <v>74</v>
      </c>
      <c r="AZ1111" t="s">
        <v>74</v>
      </c>
      <c r="BA1111" t="s">
        <v>74</v>
      </c>
      <c r="BB1111">
        <v>61</v>
      </c>
      <c r="BC1111">
        <v>69</v>
      </c>
      <c r="BD1111" t="s">
        <v>74</v>
      </c>
      <c r="BE1111" t="s">
        <v>18809</v>
      </c>
      <c r="BF1111" t="str">
        <f>HYPERLINK("http://dx.doi.org/10.1026/0932-4089.52.2.61","http://dx.doi.org/10.1026/0932-4089.52.2.61")</f>
        <v>http://dx.doi.org/10.1026/0932-4089.52.2.61</v>
      </c>
      <c r="BG1111" t="s">
        <v>74</v>
      </c>
      <c r="BH1111" t="s">
        <v>74</v>
      </c>
      <c r="BI1111">
        <v>9</v>
      </c>
      <c r="BJ1111" t="s">
        <v>692</v>
      </c>
      <c r="BK1111" t="s">
        <v>94</v>
      </c>
      <c r="BL1111" t="s">
        <v>460</v>
      </c>
      <c r="BM1111" t="s">
        <v>18810</v>
      </c>
      <c r="BN1111" t="s">
        <v>74</v>
      </c>
      <c r="BO1111" t="s">
        <v>74</v>
      </c>
      <c r="BP1111" t="s">
        <v>74</v>
      </c>
      <c r="BQ1111" t="s">
        <v>74</v>
      </c>
      <c r="BR1111" t="s">
        <v>97</v>
      </c>
      <c r="BS1111" t="s">
        <v>18811</v>
      </c>
      <c r="BT1111" t="str">
        <f>HYPERLINK("https%3A%2F%2Fwww.webofscience.com%2Fwos%2Fwoscc%2Ffull-record%2FWOS:000255340600001","View Full Record in Web of Science")</f>
        <v>View Full Record in Web of Science</v>
      </c>
    </row>
    <row r="1112" spans="1:72" x14ac:dyDescent="0.25">
      <c r="A1112" t="s">
        <v>72</v>
      </c>
      <c r="B1112" t="s">
        <v>18812</v>
      </c>
      <c r="C1112" t="s">
        <v>74</v>
      </c>
      <c r="D1112" t="s">
        <v>74</v>
      </c>
      <c r="E1112" t="s">
        <v>74</v>
      </c>
      <c r="F1112" t="s">
        <v>18812</v>
      </c>
      <c r="G1112" t="s">
        <v>74</v>
      </c>
      <c r="H1112" t="s">
        <v>74</v>
      </c>
      <c r="I1112" t="s">
        <v>18813</v>
      </c>
      <c r="J1112" t="s">
        <v>18814</v>
      </c>
      <c r="K1112" t="s">
        <v>74</v>
      </c>
      <c r="L1112" t="s">
        <v>74</v>
      </c>
      <c r="M1112" t="s">
        <v>77</v>
      </c>
      <c r="N1112" t="s">
        <v>78</v>
      </c>
      <c r="O1112" t="s">
        <v>74</v>
      </c>
      <c r="P1112" t="s">
        <v>74</v>
      </c>
      <c r="Q1112" t="s">
        <v>74</v>
      </c>
      <c r="R1112" t="s">
        <v>74</v>
      </c>
      <c r="S1112" t="s">
        <v>74</v>
      </c>
      <c r="T1112" t="s">
        <v>74</v>
      </c>
      <c r="U1112" t="s">
        <v>18815</v>
      </c>
      <c r="V1112" t="s">
        <v>18816</v>
      </c>
      <c r="W1112" t="s">
        <v>18817</v>
      </c>
      <c r="X1112" t="s">
        <v>18818</v>
      </c>
      <c r="Y1112" t="s">
        <v>18819</v>
      </c>
      <c r="Z1112" t="s">
        <v>74</v>
      </c>
      <c r="AA1112" t="s">
        <v>74</v>
      </c>
      <c r="AB1112" t="s">
        <v>74</v>
      </c>
      <c r="AC1112" t="s">
        <v>74</v>
      </c>
      <c r="AD1112" t="s">
        <v>74</v>
      </c>
      <c r="AE1112" t="s">
        <v>74</v>
      </c>
      <c r="AF1112" t="s">
        <v>74</v>
      </c>
      <c r="AG1112">
        <v>53</v>
      </c>
      <c r="AH1112">
        <v>1</v>
      </c>
      <c r="AI1112">
        <v>2</v>
      </c>
      <c r="AJ1112">
        <v>0</v>
      </c>
      <c r="AK1112">
        <v>7</v>
      </c>
      <c r="AL1112" t="s">
        <v>6878</v>
      </c>
      <c r="AM1112" t="s">
        <v>541</v>
      </c>
      <c r="AN1112" t="s">
        <v>6879</v>
      </c>
      <c r="AO1112" t="s">
        <v>18820</v>
      </c>
      <c r="AP1112" t="s">
        <v>74</v>
      </c>
      <c r="AQ1112" t="s">
        <v>74</v>
      </c>
      <c r="AR1112" t="s">
        <v>18821</v>
      </c>
      <c r="AS1112" t="s">
        <v>18822</v>
      </c>
      <c r="AT1112" t="s">
        <v>256</v>
      </c>
      <c r="AU1112">
        <v>2003</v>
      </c>
      <c r="AV1112">
        <v>29</v>
      </c>
      <c r="AW1112">
        <v>4</v>
      </c>
      <c r="AX1112" t="s">
        <v>74</v>
      </c>
      <c r="AY1112" t="s">
        <v>74</v>
      </c>
      <c r="AZ1112" t="s">
        <v>74</v>
      </c>
      <c r="BA1112" t="s">
        <v>74</v>
      </c>
      <c r="BB1112">
        <v>599</v>
      </c>
      <c r="BC1112">
        <v>617</v>
      </c>
      <c r="BD1112" t="s">
        <v>74</v>
      </c>
      <c r="BE1112" t="s">
        <v>18823</v>
      </c>
      <c r="BF1112" t="str">
        <f>HYPERLINK("http://dx.doi.org/10.1006/jhge.2002.0415","http://dx.doi.org/10.1006/jhge.2002.0415")</f>
        <v>http://dx.doi.org/10.1006/jhge.2002.0415</v>
      </c>
      <c r="BG1112" t="s">
        <v>74</v>
      </c>
      <c r="BH1112" t="s">
        <v>74</v>
      </c>
      <c r="BI1112">
        <v>19</v>
      </c>
      <c r="BJ1112" t="s">
        <v>18824</v>
      </c>
      <c r="BK1112" t="s">
        <v>94</v>
      </c>
      <c r="BL1112" t="s">
        <v>18825</v>
      </c>
      <c r="BM1112" t="s">
        <v>18826</v>
      </c>
      <c r="BN1112" t="s">
        <v>74</v>
      </c>
      <c r="BO1112" t="s">
        <v>74</v>
      </c>
      <c r="BP1112" t="s">
        <v>74</v>
      </c>
      <c r="BQ1112" t="s">
        <v>74</v>
      </c>
      <c r="BR1112" t="s">
        <v>97</v>
      </c>
      <c r="BS1112" t="s">
        <v>18827</v>
      </c>
      <c r="BT1112" t="str">
        <f>HYPERLINK("https%3A%2F%2Fwww.webofscience.com%2Fwos%2Fwoscc%2Ffull-record%2FWOS:000187396500007","View Full Record in Web of Science")</f>
        <v>View Full Record in Web of Science</v>
      </c>
    </row>
    <row r="1113" spans="1:72" x14ac:dyDescent="0.25">
      <c r="A1113" t="s">
        <v>72</v>
      </c>
      <c r="B1113" t="s">
        <v>18828</v>
      </c>
      <c r="C1113" t="s">
        <v>74</v>
      </c>
      <c r="D1113" t="s">
        <v>74</v>
      </c>
      <c r="E1113" t="s">
        <v>74</v>
      </c>
      <c r="F1113" t="s">
        <v>18828</v>
      </c>
      <c r="G1113" t="s">
        <v>74</v>
      </c>
      <c r="H1113" t="s">
        <v>74</v>
      </c>
      <c r="I1113" t="s">
        <v>18829</v>
      </c>
      <c r="J1113" t="s">
        <v>18830</v>
      </c>
      <c r="K1113" t="s">
        <v>74</v>
      </c>
      <c r="L1113" t="s">
        <v>74</v>
      </c>
      <c r="M1113" t="s">
        <v>77</v>
      </c>
      <c r="N1113" t="s">
        <v>319</v>
      </c>
      <c r="O1113" t="s">
        <v>18831</v>
      </c>
      <c r="P1113" t="s">
        <v>18832</v>
      </c>
      <c r="Q1113" t="s">
        <v>18833</v>
      </c>
      <c r="R1113" t="s">
        <v>74</v>
      </c>
      <c r="S1113" t="s">
        <v>74</v>
      </c>
      <c r="T1113" t="s">
        <v>74</v>
      </c>
      <c r="U1113" t="s">
        <v>18834</v>
      </c>
      <c r="V1113" t="s">
        <v>18835</v>
      </c>
      <c r="W1113" t="s">
        <v>18836</v>
      </c>
      <c r="X1113" t="s">
        <v>18837</v>
      </c>
      <c r="Y1113" t="s">
        <v>18838</v>
      </c>
      <c r="Z1113" t="s">
        <v>74</v>
      </c>
      <c r="AA1113" t="s">
        <v>74</v>
      </c>
      <c r="AB1113" t="s">
        <v>74</v>
      </c>
      <c r="AC1113" t="s">
        <v>74</v>
      </c>
      <c r="AD1113" t="s">
        <v>74</v>
      </c>
      <c r="AE1113" t="s">
        <v>74</v>
      </c>
      <c r="AF1113" t="s">
        <v>74</v>
      </c>
      <c r="AG1113">
        <v>3</v>
      </c>
      <c r="AH1113">
        <v>1</v>
      </c>
      <c r="AI1113">
        <v>1</v>
      </c>
      <c r="AJ1113">
        <v>0</v>
      </c>
      <c r="AK1113">
        <v>1</v>
      </c>
      <c r="AL1113" t="s">
        <v>18839</v>
      </c>
      <c r="AM1113" t="s">
        <v>18840</v>
      </c>
      <c r="AN1113" t="s">
        <v>18841</v>
      </c>
      <c r="AO1113" t="s">
        <v>18842</v>
      </c>
      <c r="AP1113" t="s">
        <v>74</v>
      </c>
      <c r="AQ1113" t="s">
        <v>74</v>
      </c>
      <c r="AR1113" t="s">
        <v>18843</v>
      </c>
      <c r="AS1113" t="s">
        <v>18844</v>
      </c>
      <c r="AT1113" t="s">
        <v>74</v>
      </c>
      <c r="AU1113">
        <v>2003</v>
      </c>
      <c r="AV1113">
        <v>64</v>
      </c>
      <c r="AW1113" t="s">
        <v>74</v>
      </c>
      <c r="AX1113" t="s">
        <v>74</v>
      </c>
      <c r="AY1113">
        <v>17</v>
      </c>
      <c r="AZ1113" t="s">
        <v>74</v>
      </c>
      <c r="BA1113" t="s">
        <v>74</v>
      </c>
      <c r="BB1113">
        <v>29</v>
      </c>
      <c r="BC1113">
        <v>32</v>
      </c>
      <c r="BD1113" t="s">
        <v>74</v>
      </c>
      <c r="BE1113" t="s">
        <v>74</v>
      </c>
      <c r="BF1113" t="s">
        <v>74</v>
      </c>
      <c r="BG1113" t="s">
        <v>74</v>
      </c>
      <c r="BH1113" t="s">
        <v>74</v>
      </c>
      <c r="BI1113">
        <v>4</v>
      </c>
      <c r="BJ1113" t="s">
        <v>18845</v>
      </c>
      <c r="BK1113" t="s">
        <v>18846</v>
      </c>
      <c r="BL1113" t="s">
        <v>6415</v>
      </c>
      <c r="BM1113" t="s">
        <v>18847</v>
      </c>
      <c r="BN1113">
        <v>14680425</v>
      </c>
      <c r="BO1113" t="s">
        <v>74</v>
      </c>
      <c r="BP1113" t="s">
        <v>74</v>
      </c>
      <c r="BQ1113" t="s">
        <v>74</v>
      </c>
      <c r="BR1113" t="s">
        <v>97</v>
      </c>
      <c r="BS1113" t="s">
        <v>18848</v>
      </c>
      <c r="BT1113" t="str">
        <f>HYPERLINK("https%3A%2F%2Fwww.webofscience.com%2Fwos%2Fwoscc%2Ffull-record%2FWOS:000187635000007","View Full Record in Web of Science")</f>
        <v>View Full Record in Web of Science</v>
      </c>
    </row>
    <row r="1114" spans="1:72" x14ac:dyDescent="0.25">
      <c r="A1114" t="s">
        <v>72</v>
      </c>
      <c r="B1114" t="s">
        <v>18849</v>
      </c>
      <c r="C1114" t="s">
        <v>74</v>
      </c>
      <c r="D1114" t="s">
        <v>74</v>
      </c>
      <c r="E1114" t="s">
        <v>74</v>
      </c>
      <c r="F1114" t="s">
        <v>18849</v>
      </c>
      <c r="G1114" t="s">
        <v>74</v>
      </c>
      <c r="H1114" t="s">
        <v>74</v>
      </c>
      <c r="I1114" t="s">
        <v>18850</v>
      </c>
      <c r="J1114" t="s">
        <v>5418</v>
      </c>
      <c r="K1114" t="s">
        <v>74</v>
      </c>
      <c r="L1114" t="s">
        <v>74</v>
      </c>
      <c r="M1114" t="s">
        <v>77</v>
      </c>
      <c r="N1114" t="s">
        <v>78</v>
      </c>
      <c r="O1114" t="s">
        <v>74</v>
      </c>
      <c r="P1114" t="s">
        <v>74</v>
      </c>
      <c r="Q1114" t="s">
        <v>74</v>
      </c>
      <c r="R1114" t="s">
        <v>74</v>
      </c>
      <c r="S1114" t="s">
        <v>74</v>
      </c>
      <c r="T1114" t="s">
        <v>74</v>
      </c>
      <c r="U1114" t="s">
        <v>74</v>
      </c>
      <c r="V1114" t="s">
        <v>18851</v>
      </c>
      <c r="W1114" t="s">
        <v>74</v>
      </c>
      <c r="X1114" t="s">
        <v>74</v>
      </c>
      <c r="Y1114" t="s">
        <v>18852</v>
      </c>
      <c r="Z1114" t="s">
        <v>74</v>
      </c>
      <c r="AA1114" t="s">
        <v>74</v>
      </c>
      <c r="AB1114" t="s">
        <v>74</v>
      </c>
      <c r="AC1114" t="s">
        <v>74</v>
      </c>
      <c r="AD1114" t="s">
        <v>74</v>
      </c>
      <c r="AE1114" t="s">
        <v>74</v>
      </c>
      <c r="AF1114" t="s">
        <v>74</v>
      </c>
      <c r="AG1114">
        <v>10</v>
      </c>
      <c r="AH1114">
        <v>1</v>
      </c>
      <c r="AI1114">
        <v>1</v>
      </c>
      <c r="AJ1114">
        <v>0</v>
      </c>
      <c r="AK1114">
        <v>2</v>
      </c>
      <c r="AL1114" t="s">
        <v>602</v>
      </c>
      <c r="AM1114" t="s">
        <v>160</v>
      </c>
      <c r="AN1114" t="s">
        <v>2329</v>
      </c>
      <c r="AO1114" t="s">
        <v>5430</v>
      </c>
      <c r="AP1114" t="s">
        <v>74</v>
      </c>
      <c r="AQ1114" t="s">
        <v>74</v>
      </c>
      <c r="AR1114" t="s">
        <v>5432</v>
      </c>
      <c r="AS1114" t="s">
        <v>5433</v>
      </c>
      <c r="AT1114" t="s">
        <v>200</v>
      </c>
      <c r="AU1114">
        <v>1998</v>
      </c>
      <c r="AV1114">
        <v>56</v>
      </c>
      <c r="AW1114">
        <v>3</v>
      </c>
      <c r="AX1114" t="s">
        <v>74</v>
      </c>
      <c r="AY1114" t="s">
        <v>74</v>
      </c>
      <c r="AZ1114" t="s">
        <v>74</v>
      </c>
      <c r="BA1114" t="s">
        <v>74</v>
      </c>
      <c r="BB1114">
        <v>289</v>
      </c>
      <c r="BC1114">
        <v>304</v>
      </c>
      <c r="BD1114" t="s">
        <v>74</v>
      </c>
      <c r="BE1114" t="s">
        <v>18853</v>
      </c>
      <c r="BF1114" t="str">
        <f>HYPERLINK("http://dx.doi.org/10.1016/S0308-521X(97)00051-6","http://dx.doi.org/10.1016/S0308-521X(97)00051-6")</f>
        <v>http://dx.doi.org/10.1016/S0308-521X(97)00051-6</v>
      </c>
      <c r="BG1114" t="s">
        <v>74</v>
      </c>
      <c r="BH1114" t="s">
        <v>74</v>
      </c>
      <c r="BI1114">
        <v>16</v>
      </c>
      <c r="BJ1114" t="s">
        <v>5435</v>
      </c>
      <c r="BK1114" t="s">
        <v>283</v>
      </c>
      <c r="BL1114" t="s">
        <v>5436</v>
      </c>
      <c r="BM1114" t="s">
        <v>18854</v>
      </c>
      <c r="BN1114" t="s">
        <v>74</v>
      </c>
      <c r="BO1114" t="s">
        <v>74</v>
      </c>
      <c r="BP1114" t="s">
        <v>74</v>
      </c>
      <c r="BQ1114" t="s">
        <v>74</v>
      </c>
      <c r="BR1114" t="s">
        <v>97</v>
      </c>
      <c r="BS1114" t="s">
        <v>18855</v>
      </c>
      <c r="BT1114" t="str">
        <f>HYPERLINK("https%3A%2F%2Fwww.webofscience.com%2Fwos%2Fwoscc%2Ffull-record%2FWOS:A1998YG77500002","View Full Record in Web of Science")</f>
        <v>View Full Record in Web of Science</v>
      </c>
    </row>
    <row r="1115" spans="1:72" x14ac:dyDescent="0.25">
      <c r="A1115" t="s">
        <v>72</v>
      </c>
      <c r="B1115" t="s">
        <v>18856</v>
      </c>
      <c r="C1115" t="s">
        <v>74</v>
      </c>
      <c r="D1115" t="s">
        <v>74</v>
      </c>
      <c r="E1115" t="s">
        <v>74</v>
      </c>
      <c r="F1115" t="s">
        <v>18857</v>
      </c>
      <c r="G1115" t="s">
        <v>74</v>
      </c>
      <c r="H1115" t="s">
        <v>74</v>
      </c>
      <c r="I1115" t="s">
        <v>18858</v>
      </c>
      <c r="J1115" t="s">
        <v>3931</v>
      </c>
      <c r="K1115" t="s">
        <v>74</v>
      </c>
      <c r="L1115" t="s">
        <v>74</v>
      </c>
      <c r="M1115" t="s">
        <v>77</v>
      </c>
      <c r="N1115" t="s">
        <v>10095</v>
      </c>
      <c r="O1115" t="s">
        <v>74</v>
      </c>
      <c r="P1115" t="s">
        <v>74</v>
      </c>
      <c r="Q1115" t="s">
        <v>74</v>
      </c>
      <c r="R1115" t="s">
        <v>74</v>
      </c>
      <c r="S1115" t="s">
        <v>74</v>
      </c>
      <c r="T1115" t="s">
        <v>18859</v>
      </c>
      <c r="U1115" t="s">
        <v>18860</v>
      </c>
      <c r="V1115" t="s">
        <v>18861</v>
      </c>
      <c r="W1115" t="s">
        <v>18862</v>
      </c>
      <c r="X1115" t="s">
        <v>18863</v>
      </c>
      <c r="Y1115" t="s">
        <v>18864</v>
      </c>
      <c r="Z1115" t="s">
        <v>18865</v>
      </c>
      <c r="AA1115" t="s">
        <v>74</v>
      </c>
      <c r="AB1115" t="s">
        <v>18866</v>
      </c>
      <c r="AC1115" t="s">
        <v>18867</v>
      </c>
      <c r="AD1115" t="s">
        <v>18868</v>
      </c>
      <c r="AE1115" t="s">
        <v>18869</v>
      </c>
      <c r="AF1115" t="s">
        <v>74</v>
      </c>
      <c r="AG1115">
        <v>56</v>
      </c>
      <c r="AH1115">
        <v>0</v>
      </c>
      <c r="AI1115">
        <v>0</v>
      </c>
      <c r="AJ1115">
        <v>4</v>
      </c>
      <c r="AK1115">
        <v>4</v>
      </c>
      <c r="AL1115" t="s">
        <v>665</v>
      </c>
      <c r="AM1115" t="s">
        <v>666</v>
      </c>
      <c r="AN1115" t="s">
        <v>667</v>
      </c>
      <c r="AO1115" t="s">
        <v>3939</v>
      </c>
      <c r="AP1115" t="s">
        <v>3940</v>
      </c>
      <c r="AQ1115" t="s">
        <v>74</v>
      </c>
      <c r="AR1115" t="s">
        <v>3941</v>
      </c>
      <c r="AS1115" t="s">
        <v>3942</v>
      </c>
      <c r="AT1115" t="s">
        <v>74</v>
      </c>
      <c r="AU1115" t="s">
        <v>74</v>
      </c>
      <c r="AV1115" t="s">
        <v>74</v>
      </c>
      <c r="AW1115" t="s">
        <v>74</v>
      </c>
      <c r="AX1115" t="s">
        <v>74</v>
      </c>
      <c r="AY1115" t="s">
        <v>74</v>
      </c>
      <c r="AZ1115" t="s">
        <v>74</v>
      </c>
      <c r="BA1115" t="s">
        <v>74</v>
      </c>
      <c r="BB1115" t="s">
        <v>74</v>
      </c>
      <c r="BC1115" t="s">
        <v>74</v>
      </c>
      <c r="BD1115" t="s">
        <v>74</v>
      </c>
      <c r="BE1115" t="s">
        <v>18870</v>
      </c>
      <c r="BF1115" t="str">
        <f>HYPERLINK("http://dx.doi.org/10.1108/LODJ-04-2022-0200","http://dx.doi.org/10.1108/LODJ-04-2022-0200")</f>
        <v>http://dx.doi.org/10.1108/LODJ-04-2022-0200</v>
      </c>
      <c r="BG1115" t="s">
        <v>74</v>
      </c>
      <c r="BH1115" t="s">
        <v>18871</v>
      </c>
      <c r="BI1115">
        <v>16</v>
      </c>
      <c r="BJ1115" t="s">
        <v>442</v>
      </c>
      <c r="BK1115" t="s">
        <v>94</v>
      </c>
      <c r="BL1115" t="s">
        <v>95</v>
      </c>
      <c r="BM1115" t="s">
        <v>18872</v>
      </c>
      <c r="BN1115" t="s">
        <v>74</v>
      </c>
      <c r="BO1115" t="s">
        <v>74</v>
      </c>
      <c r="BP1115" t="s">
        <v>74</v>
      </c>
      <c r="BQ1115" t="s">
        <v>74</v>
      </c>
      <c r="BR1115" t="s">
        <v>97</v>
      </c>
      <c r="BS1115" t="s">
        <v>18873</v>
      </c>
      <c r="BT1115" t="str">
        <f>HYPERLINK("https%3A%2F%2Fwww.webofscience.com%2Fwos%2Fwoscc%2Ffull-record%2FWOS:000972679200001","View Full Record in Web of Science")</f>
        <v>View Full Record in Web of Science</v>
      </c>
    </row>
    <row r="1116" spans="1:72" x14ac:dyDescent="0.25">
      <c r="A1116" t="s">
        <v>72</v>
      </c>
      <c r="B1116" t="s">
        <v>18874</v>
      </c>
      <c r="C1116" t="s">
        <v>74</v>
      </c>
      <c r="D1116" t="s">
        <v>74</v>
      </c>
      <c r="E1116" t="s">
        <v>74</v>
      </c>
      <c r="F1116" t="s">
        <v>18875</v>
      </c>
      <c r="G1116" t="s">
        <v>74</v>
      </c>
      <c r="H1116" t="s">
        <v>74</v>
      </c>
      <c r="I1116" t="s">
        <v>18876</v>
      </c>
      <c r="J1116" t="s">
        <v>15430</v>
      </c>
      <c r="K1116" t="s">
        <v>74</v>
      </c>
      <c r="L1116" t="s">
        <v>74</v>
      </c>
      <c r="M1116" t="s">
        <v>77</v>
      </c>
      <c r="N1116" t="s">
        <v>10095</v>
      </c>
      <c r="O1116" t="s">
        <v>74</v>
      </c>
      <c r="P1116" t="s">
        <v>74</v>
      </c>
      <c r="Q1116" t="s">
        <v>74</v>
      </c>
      <c r="R1116" t="s">
        <v>74</v>
      </c>
      <c r="S1116" t="s">
        <v>74</v>
      </c>
      <c r="T1116" t="s">
        <v>18877</v>
      </c>
      <c r="U1116" t="s">
        <v>18878</v>
      </c>
      <c r="V1116" t="s">
        <v>18879</v>
      </c>
      <c r="W1116" t="s">
        <v>18880</v>
      </c>
      <c r="X1116" t="s">
        <v>18881</v>
      </c>
      <c r="Y1116" t="s">
        <v>18882</v>
      </c>
      <c r="Z1116" t="s">
        <v>18883</v>
      </c>
      <c r="AA1116" t="s">
        <v>74</v>
      </c>
      <c r="AB1116" t="s">
        <v>74</v>
      </c>
      <c r="AC1116" t="s">
        <v>74</v>
      </c>
      <c r="AD1116" t="s">
        <v>74</v>
      </c>
      <c r="AE1116" t="s">
        <v>74</v>
      </c>
      <c r="AF1116" t="s">
        <v>74</v>
      </c>
      <c r="AG1116">
        <v>72</v>
      </c>
      <c r="AH1116">
        <v>0</v>
      </c>
      <c r="AI1116">
        <v>0</v>
      </c>
      <c r="AJ1116">
        <v>0</v>
      </c>
      <c r="AK1116">
        <v>0</v>
      </c>
      <c r="AL1116" t="s">
        <v>766</v>
      </c>
      <c r="AM1116" t="s">
        <v>330</v>
      </c>
      <c r="AN1116" t="s">
        <v>1452</v>
      </c>
      <c r="AO1116" t="s">
        <v>15438</v>
      </c>
      <c r="AP1116" t="s">
        <v>15439</v>
      </c>
      <c r="AQ1116" t="s">
        <v>74</v>
      </c>
      <c r="AR1116" t="s">
        <v>15440</v>
      </c>
      <c r="AS1116" t="s">
        <v>15441</v>
      </c>
      <c r="AT1116" t="s">
        <v>74</v>
      </c>
      <c r="AU1116" t="s">
        <v>74</v>
      </c>
      <c r="AV1116" t="s">
        <v>74</v>
      </c>
      <c r="AW1116" t="s">
        <v>74</v>
      </c>
      <c r="AX1116" t="s">
        <v>74</v>
      </c>
      <c r="AY1116" t="s">
        <v>74</v>
      </c>
      <c r="AZ1116" t="s">
        <v>74</v>
      </c>
      <c r="BA1116" t="s">
        <v>74</v>
      </c>
      <c r="BB1116" t="s">
        <v>74</v>
      </c>
      <c r="BC1116" t="s">
        <v>74</v>
      </c>
      <c r="BD1116" t="s">
        <v>74</v>
      </c>
      <c r="BE1116" t="s">
        <v>18884</v>
      </c>
      <c r="BF1116" t="str">
        <f>HYPERLINK("http://dx.doi.org/10.1007/s11365-023-00865-2","http://dx.doi.org/10.1007/s11365-023-00865-2")</f>
        <v>http://dx.doi.org/10.1007/s11365-023-00865-2</v>
      </c>
      <c r="BG1116" t="s">
        <v>74</v>
      </c>
      <c r="BH1116" t="s">
        <v>18871</v>
      </c>
      <c r="BI1116">
        <v>18</v>
      </c>
      <c r="BJ1116" t="s">
        <v>93</v>
      </c>
      <c r="BK1116" t="s">
        <v>94</v>
      </c>
      <c r="BL1116" t="s">
        <v>95</v>
      </c>
      <c r="BM1116" t="s">
        <v>18885</v>
      </c>
      <c r="BN1116" t="s">
        <v>74</v>
      </c>
      <c r="BO1116" t="s">
        <v>74</v>
      </c>
      <c r="BP1116" t="s">
        <v>74</v>
      </c>
      <c r="BQ1116" t="s">
        <v>74</v>
      </c>
      <c r="BR1116" t="s">
        <v>97</v>
      </c>
      <c r="BS1116" t="s">
        <v>18886</v>
      </c>
      <c r="BT1116" t="str">
        <f>HYPERLINK("https%3A%2F%2Fwww.webofscience.com%2Fwos%2Fwoscc%2Ffull-record%2FWOS:000971377500002","View Full Record in Web of Science")</f>
        <v>View Full Record in Web of Science</v>
      </c>
    </row>
    <row r="1117" spans="1:72" x14ac:dyDescent="0.25">
      <c r="A1117" t="s">
        <v>72</v>
      </c>
      <c r="B1117" t="s">
        <v>18887</v>
      </c>
      <c r="C1117" t="s">
        <v>74</v>
      </c>
      <c r="D1117" t="s">
        <v>74</v>
      </c>
      <c r="E1117" t="s">
        <v>74</v>
      </c>
      <c r="F1117" t="s">
        <v>18888</v>
      </c>
      <c r="G1117" t="s">
        <v>74</v>
      </c>
      <c r="H1117" t="s">
        <v>74</v>
      </c>
      <c r="I1117" t="s">
        <v>18889</v>
      </c>
      <c r="J1117" t="s">
        <v>18890</v>
      </c>
      <c r="K1117" t="s">
        <v>74</v>
      </c>
      <c r="L1117" t="s">
        <v>74</v>
      </c>
      <c r="M1117" t="s">
        <v>77</v>
      </c>
      <c r="N1117" t="s">
        <v>78</v>
      </c>
      <c r="O1117" t="s">
        <v>74</v>
      </c>
      <c r="P1117" t="s">
        <v>74</v>
      </c>
      <c r="Q1117" t="s">
        <v>74</v>
      </c>
      <c r="R1117" t="s">
        <v>74</v>
      </c>
      <c r="S1117" t="s">
        <v>74</v>
      </c>
      <c r="T1117" t="s">
        <v>18891</v>
      </c>
      <c r="U1117" t="s">
        <v>18892</v>
      </c>
      <c r="V1117" t="s">
        <v>18893</v>
      </c>
      <c r="W1117" t="s">
        <v>18894</v>
      </c>
      <c r="X1117" t="s">
        <v>18895</v>
      </c>
      <c r="Y1117" t="s">
        <v>18896</v>
      </c>
      <c r="Z1117" t="s">
        <v>18897</v>
      </c>
      <c r="AA1117" t="s">
        <v>74</v>
      </c>
      <c r="AB1117" t="s">
        <v>74</v>
      </c>
      <c r="AC1117" t="s">
        <v>18898</v>
      </c>
      <c r="AD1117" t="s">
        <v>18899</v>
      </c>
      <c r="AE1117" t="s">
        <v>18900</v>
      </c>
      <c r="AF1117" t="s">
        <v>74</v>
      </c>
      <c r="AG1117">
        <v>89</v>
      </c>
      <c r="AH1117">
        <v>0</v>
      </c>
      <c r="AI1117">
        <v>0</v>
      </c>
      <c r="AJ1117">
        <v>0</v>
      </c>
      <c r="AK1117">
        <v>0</v>
      </c>
      <c r="AL1117" t="s">
        <v>3195</v>
      </c>
      <c r="AM1117" t="s">
        <v>3196</v>
      </c>
      <c r="AN1117" t="s">
        <v>3197</v>
      </c>
      <c r="AO1117" t="s">
        <v>74</v>
      </c>
      <c r="AP1117" t="s">
        <v>18901</v>
      </c>
      <c r="AQ1117" t="s">
        <v>74</v>
      </c>
      <c r="AR1117" t="s">
        <v>18902</v>
      </c>
      <c r="AS1117" t="s">
        <v>18903</v>
      </c>
      <c r="AT1117" t="s">
        <v>18904</v>
      </c>
      <c r="AU1117">
        <v>2023</v>
      </c>
      <c r="AV1117">
        <v>11</v>
      </c>
      <c r="AW1117" t="s">
        <v>74</v>
      </c>
      <c r="AX1117" t="s">
        <v>74</v>
      </c>
      <c r="AY1117" t="s">
        <v>74</v>
      </c>
      <c r="AZ1117" t="s">
        <v>74</v>
      </c>
      <c r="BA1117" t="s">
        <v>74</v>
      </c>
      <c r="BB1117" t="s">
        <v>74</v>
      </c>
      <c r="BC1117" t="s">
        <v>74</v>
      </c>
      <c r="BD1117">
        <v>1176804</v>
      </c>
      <c r="BE1117" t="s">
        <v>18905</v>
      </c>
      <c r="BF1117" t="str">
        <f>HYPERLINK("http://dx.doi.org/10.3389/fenvs.2023.1176804","http://dx.doi.org/10.3389/fenvs.2023.1176804")</f>
        <v>http://dx.doi.org/10.3389/fenvs.2023.1176804</v>
      </c>
      <c r="BG1117" t="s">
        <v>74</v>
      </c>
      <c r="BH1117" t="s">
        <v>74</v>
      </c>
      <c r="BI1117">
        <v>12</v>
      </c>
      <c r="BJ1117" t="s">
        <v>5336</v>
      </c>
      <c r="BK1117" t="s">
        <v>283</v>
      </c>
      <c r="BL1117" t="s">
        <v>5337</v>
      </c>
      <c r="BM1117" t="s">
        <v>18906</v>
      </c>
      <c r="BN1117" t="s">
        <v>74</v>
      </c>
      <c r="BO1117" t="s">
        <v>2482</v>
      </c>
      <c r="BP1117" t="s">
        <v>74</v>
      </c>
      <c r="BQ1117" t="s">
        <v>74</v>
      </c>
      <c r="BR1117" t="s">
        <v>97</v>
      </c>
      <c r="BS1117" t="s">
        <v>18907</v>
      </c>
      <c r="BT1117" t="str">
        <f>HYPERLINK("https%3A%2F%2Fwww.webofscience.com%2Fwos%2Fwoscc%2Ffull-record%2FWOS:000976132000001","View Full Record in Web of Science")</f>
        <v>View Full Record in Web of Science</v>
      </c>
    </row>
    <row r="1118" spans="1:72" x14ac:dyDescent="0.25">
      <c r="A1118" t="s">
        <v>72</v>
      </c>
      <c r="B1118" t="s">
        <v>18908</v>
      </c>
      <c r="C1118" t="s">
        <v>74</v>
      </c>
      <c r="D1118" t="s">
        <v>74</v>
      </c>
      <c r="E1118" t="s">
        <v>74</v>
      </c>
      <c r="F1118" t="s">
        <v>18909</v>
      </c>
      <c r="G1118" t="s">
        <v>74</v>
      </c>
      <c r="H1118" t="s">
        <v>74</v>
      </c>
      <c r="I1118" t="s">
        <v>18910</v>
      </c>
      <c r="J1118" t="s">
        <v>1916</v>
      </c>
      <c r="K1118" t="s">
        <v>74</v>
      </c>
      <c r="L1118" t="s">
        <v>74</v>
      </c>
      <c r="M1118" t="s">
        <v>77</v>
      </c>
      <c r="N1118" t="s">
        <v>10095</v>
      </c>
      <c r="O1118" t="s">
        <v>74</v>
      </c>
      <c r="P1118" t="s">
        <v>74</v>
      </c>
      <c r="Q1118" t="s">
        <v>74</v>
      </c>
      <c r="R1118" t="s">
        <v>74</v>
      </c>
      <c r="S1118" t="s">
        <v>74</v>
      </c>
      <c r="T1118" t="s">
        <v>18911</v>
      </c>
      <c r="U1118" t="s">
        <v>18912</v>
      </c>
      <c r="V1118" t="s">
        <v>18913</v>
      </c>
      <c r="W1118" t="s">
        <v>18914</v>
      </c>
      <c r="X1118" t="s">
        <v>18915</v>
      </c>
      <c r="Y1118" t="s">
        <v>18916</v>
      </c>
      <c r="Z1118" t="s">
        <v>18917</v>
      </c>
      <c r="AA1118" t="s">
        <v>74</v>
      </c>
      <c r="AB1118" t="s">
        <v>18918</v>
      </c>
      <c r="AC1118" t="s">
        <v>74</v>
      </c>
      <c r="AD1118" t="s">
        <v>74</v>
      </c>
      <c r="AE1118" t="s">
        <v>74</v>
      </c>
      <c r="AF1118" t="s">
        <v>74</v>
      </c>
      <c r="AG1118">
        <v>107</v>
      </c>
      <c r="AH1118">
        <v>0</v>
      </c>
      <c r="AI1118">
        <v>0</v>
      </c>
      <c r="AJ1118">
        <v>3</v>
      </c>
      <c r="AK1118">
        <v>3</v>
      </c>
      <c r="AL1118" t="s">
        <v>665</v>
      </c>
      <c r="AM1118" t="s">
        <v>666</v>
      </c>
      <c r="AN1118" t="s">
        <v>667</v>
      </c>
      <c r="AO1118" t="s">
        <v>1926</v>
      </c>
      <c r="AP1118" t="s">
        <v>1927</v>
      </c>
      <c r="AQ1118" t="s">
        <v>74</v>
      </c>
      <c r="AR1118" t="s">
        <v>1928</v>
      </c>
      <c r="AS1118" t="s">
        <v>1929</v>
      </c>
      <c r="AT1118" t="s">
        <v>74</v>
      </c>
      <c r="AU1118" t="s">
        <v>74</v>
      </c>
      <c r="AV1118" t="s">
        <v>74</v>
      </c>
      <c r="AW1118" t="s">
        <v>74</v>
      </c>
      <c r="AX1118" t="s">
        <v>74</v>
      </c>
      <c r="AY1118" t="s">
        <v>74</v>
      </c>
      <c r="AZ1118" t="s">
        <v>74</v>
      </c>
      <c r="BA1118" t="s">
        <v>74</v>
      </c>
      <c r="BB1118" t="s">
        <v>74</v>
      </c>
      <c r="BC1118" t="s">
        <v>74</v>
      </c>
      <c r="BD1118" t="s">
        <v>74</v>
      </c>
      <c r="BE1118" t="s">
        <v>18919</v>
      </c>
      <c r="BF1118" t="str">
        <f>HYPERLINK("http://dx.doi.org/10.1108/MD-10-2022-1353","http://dx.doi.org/10.1108/MD-10-2022-1353")</f>
        <v>http://dx.doi.org/10.1108/MD-10-2022-1353</v>
      </c>
      <c r="BG1118" t="s">
        <v>74</v>
      </c>
      <c r="BH1118" t="s">
        <v>18871</v>
      </c>
      <c r="BI1118">
        <v>21</v>
      </c>
      <c r="BJ1118" t="s">
        <v>93</v>
      </c>
      <c r="BK1118" t="s">
        <v>94</v>
      </c>
      <c r="BL1118" t="s">
        <v>95</v>
      </c>
      <c r="BM1118" t="s">
        <v>18920</v>
      </c>
      <c r="BN1118" t="s">
        <v>74</v>
      </c>
      <c r="BO1118" t="s">
        <v>74</v>
      </c>
      <c r="BP1118" t="s">
        <v>74</v>
      </c>
      <c r="BQ1118" t="s">
        <v>74</v>
      </c>
      <c r="BR1118" t="s">
        <v>97</v>
      </c>
      <c r="BS1118" t="s">
        <v>18921</v>
      </c>
      <c r="BT1118" t="str">
        <f>HYPERLINK("https%3A%2F%2Fwww.webofscience.com%2Fwos%2Fwoscc%2Ffull-record%2FWOS:000961036700001","View Full Record in Web of Science")</f>
        <v>View Full Record in Web of Science</v>
      </c>
    </row>
    <row r="1119" spans="1:72" x14ac:dyDescent="0.25">
      <c r="A1119" t="s">
        <v>72</v>
      </c>
      <c r="B1119" t="s">
        <v>18922</v>
      </c>
      <c r="C1119" t="s">
        <v>74</v>
      </c>
      <c r="D1119" t="s">
        <v>74</v>
      </c>
      <c r="E1119" t="s">
        <v>74</v>
      </c>
      <c r="F1119" t="s">
        <v>18923</v>
      </c>
      <c r="G1119" t="s">
        <v>74</v>
      </c>
      <c r="H1119" t="s">
        <v>74</v>
      </c>
      <c r="I1119" t="s">
        <v>18924</v>
      </c>
      <c r="J1119" t="s">
        <v>2059</v>
      </c>
      <c r="K1119" t="s">
        <v>74</v>
      </c>
      <c r="L1119" t="s">
        <v>74</v>
      </c>
      <c r="M1119" t="s">
        <v>77</v>
      </c>
      <c r="N1119" t="s">
        <v>78</v>
      </c>
      <c r="O1119" t="s">
        <v>74</v>
      </c>
      <c r="P1119" t="s">
        <v>74</v>
      </c>
      <c r="Q1119" t="s">
        <v>74</v>
      </c>
      <c r="R1119" t="s">
        <v>74</v>
      </c>
      <c r="S1119" t="s">
        <v>74</v>
      </c>
      <c r="T1119" t="s">
        <v>18925</v>
      </c>
      <c r="U1119" t="s">
        <v>74</v>
      </c>
      <c r="V1119" t="s">
        <v>18926</v>
      </c>
      <c r="W1119" t="s">
        <v>18927</v>
      </c>
      <c r="X1119" t="s">
        <v>18928</v>
      </c>
      <c r="Y1119" t="s">
        <v>18929</v>
      </c>
      <c r="Z1119" t="s">
        <v>18930</v>
      </c>
      <c r="AA1119" t="s">
        <v>74</v>
      </c>
      <c r="AB1119" t="s">
        <v>74</v>
      </c>
      <c r="AC1119" t="s">
        <v>18931</v>
      </c>
      <c r="AD1119" t="s">
        <v>18931</v>
      </c>
      <c r="AE1119" t="s">
        <v>18932</v>
      </c>
      <c r="AF1119" t="s">
        <v>74</v>
      </c>
      <c r="AG1119">
        <v>30</v>
      </c>
      <c r="AH1119">
        <v>0</v>
      </c>
      <c r="AI1119">
        <v>0</v>
      </c>
      <c r="AJ1119">
        <v>0</v>
      </c>
      <c r="AK1119">
        <v>0</v>
      </c>
      <c r="AL1119" t="s">
        <v>2067</v>
      </c>
      <c r="AM1119" t="s">
        <v>2068</v>
      </c>
      <c r="AN1119" t="s">
        <v>2069</v>
      </c>
      <c r="AO1119" t="s">
        <v>2070</v>
      </c>
      <c r="AP1119" t="s">
        <v>2071</v>
      </c>
      <c r="AQ1119" t="s">
        <v>74</v>
      </c>
      <c r="AR1119" t="s">
        <v>2072</v>
      </c>
      <c r="AS1119" t="s">
        <v>2073</v>
      </c>
      <c r="AT1119" t="s">
        <v>122</v>
      </c>
      <c r="AU1119">
        <v>2023</v>
      </c>
      <c r="AV1119">
        <v>51</v>
      </c>
      <c r="AW1119">
        <v>4</v>
      </c>
      <c r="AX1119" t="s">
        <v>74</v>
      </c>
      <c r="AY1119" t="s">
        <v>74</v>
      </c>
      <c r="AZ1119" t="s">
        <v>74</v>
      </c>
      <c r="BA1119" t="s">
        <v>74</v>
      </c>
      <c r="BB1119" t="s">
        <v>74</v>
      </c>
      <c r="BC1119" t="s">
        <v>74</v>
      </c>
      <c r="BD1119" t="s">
        <v>18933</v>
      </c>
      <c r="BE1119" t="s">
        <v>18934</v>
      </c>
      <c r="BF1119" t="str">
        <f>HYPERLINK("http://dx.doi.org/10.2224/sbp.12144","http://dx.doi.org/10.2224/sbp.12144")</f>
        <v>http://dx.doi.org/10.2224/sbp.12144</v>
      </c>
      <c r="BG1119" t="s">
        <v>74</v>
      </c>
      <c r="BH1119" t="s">
        <v>74</v>
      </c>
      <c r="BI1119">
        <v>12</v>
      </c>
      <c r="BJ1119" t="s">
        <v>459</v>
      </c>
      <c r="BK1119" t="s">
        <v>94</v>
      </c>
      <c r="BL1119" t="s">
        <v>460</v>
      </c>
      <c r="BM1119" t="s">
        <v>18935</v>
      </c>
      <c r="BN1119" t="s">
        <v>74</v>
      </c>
      <c r="BO1119" t="s">
        <v>74</v>
      </c>
      <c r="BP1119" t="s">
        <v>74</v>
      </c>
      <c r="BQ1119" t="s">
        <v>74</v>
      </c>
      <c r="BR1119" t="s">
        <v>97</v>
      </c>
      <c r="BS1119" t="s">
        <v>18936</v>
      </c>
      <c r="BT1119" t="str">
        <f>HYPERLINK("https%3A%2F%2Fwww.webofscience.com%2Fwos%2Fwoscc%2Ffull-record%2FWOS:000970429600005","View Full Record in Web of Science")</f>
        <v>View Full Record in Web of Science</v>
      </c>
    </row>
    <row r="1120" spans="1:72" x14ac:dyDescent="0.25">
      <c r="A1120" t="s">
        <v>72</v>
      </c>
      <c r="B1120" t="s">
        <v>18937</v>
      </c>
      <c r="C1120" t="s">
        <v>74</v>
      </c>
      <c r="D1120" t="s">
        <v>74</v>
      </c>
      <c r="E1120" t="s">
        <v>74</v>
      </c>
      <c r="F1120" t="s">
        <v>18938</v>
      </c>
      <c r="G1120" t="s">
        <v>74</v>
      </c>
      <c r="H1120" t="s">
        <v>74</v>
      </c>
      <c r="I1120" t="s">
        <v>18939</v>
      </c>
      <c r="J1120" t="s">
        <v>4603</v>
      </c>
      <c r="K1120" t="s">
        <v>74</v>
      </c>
      <c r="L1120" t="s">
        <v>74</v>
      </c>
      <c r="M1120" t="s">
        <v>77</v>
      </c>
      <c r="N1120" t="s">
        <v>10095</v>
      </c>
      <c r="O1120" t="s">
        <v>74</v>
      </c>
      <c r="P1120" t="s">
        <v>74</v>
      </c>
      <c r="Q1120" t="s">
        <v>74</v>
      </c>
      <c r="R1120" t="s">
        <v>74</v>
      </c>
      <c r="S1120" t="s">
        <v>74</v>
      </c>
      <c r="T1120" t="s">
        <v>18940</v>
      </c>
      <c r="U1120" t="s">
        <v>18941</v>
      </c>
      <c r="V1120" t="s">
        <v>18942</v>
      </c>
      <c r="W1120" t="s">
        <v>18943</v>
      </c>
      <c r="X1120" t="s">
        <v>18944</v>
      </c>
      <c r="Y1120" t="s">
        <v>18945</v>
      </c>
      <c r="Z1120" t="s">
        <v>18946</v>
      </c>
      <c r="AA1120" t="s">
        <v>18947</v>
      </c>
      <c r="AB1120" t="s">
        <v>18948</v>
      </c>
      <c r="AC1120" t="s">
        <v>74</v>
      </c>
      <c r="AD1120" t="s">
        <v>74</v>
      </c>
      <c r="AE1120" t="s">
        <v>74</v>
      </c>
      <c r="AF1120" t="s">
        <v>74</v>
      </c>
      <c r="AG1120">
        <v>124</v>
      </c>
      <c r="AH1120">
        <v>0</v>
      </c>
      <c r="AI1120">
        <v>0</v>
      </c>
      <c r="AJ1120">
        <v>1</v>
      </c>
      <c r="AK1120">
        <v>1</v>
      </c>
      <c r="AL1120" t="s">
        <v>665</v>
      </c>
      <c r="AM1120" t="s">
        <v>666</v>
      </c>
      <c r="AN1120" t="s">
        <v>667</v>
      </c>
      <c r="AO1120" t="s">
        <v>4613</v>
      </c>
      <c r="AP1120" t="s">
        <v>4614</v>
      </c>
      <c r="AQ1120" t="s">
        <v>74</v>
      </c>
      <c r="AR1120" t="s">
        <v>4615</v>
      </c>
      <c r="AS1120" t="s">
        <v>4616</v>
      </c>
      <c r="AT1120" t="s">
        <v>74</v>
      </c>
      <c r="AU1120" t="s">
        <v>74</v>
      </c>
      <c r="AV1120" t="s">
        <v>74</v>
      </c>
      <c r="AW1120" t="s">
        <v>74</v>
      </c>
      <c r="AX1120" t="s">
        <v>74</v>
      </c>
      <c r="AY1120" t="s">
        <v>74</v>
      </c>
      <c r="AZ1120" t="s">
        <v>74</v>
      </c>
      <c r="BA1120" t="s">
        <v>74</v>
      </c>
      <c r="BB1120" t="s">
        <v>74</v>
      </c>
      <c r="BC1120" t="s">
        <v>74</v>
      </c>
      <c r="BD1120" t="s">
        <v>74</v>
      </c>
      <c r="BE1120" t="s">
        <v>18949</v>
      </c>
      <c r="BF1120" t="str">
        <f>HYPERLINK("http://dx.doi.org/10.1108/ER-04-2022-0188","http://dx.doi.org/10.1108/ER-04-2022-0188")</f>
        <v>http://dx.doi.org/10.1108/ER-04-2022-0188</v>
      </c>
      <c r="BG1120" t="s">
        <v>74</v>
      </c>
      <c r="BH1120" t="s">
        <v>18950</v>
      </c>
      <c r="BI1120">
        <v>22</v>
      </c>
      <c r="BJ1120" t="s">
        <v>673</v>
      </c>
      <c r="BK1120" t="s">
        <v>94</v>
      </c>
      <c r="BL1120" t="s">
        <v>95</v>
      </c>
      <c r="BM1120" t="s">
        <v>18951</v>
      </c>
      <c r="BN1120" t="s">
        <v>74</v>
      </c>
      <c r="BO1120" t="s">
        <v>74</v>
      </c>
      <c r="BP1120" t="s">
        <v>74</v>
      </c>
      <c r="BQ1120" t="s">
        <v>74</v>
      </c>
      <c r="BR1120" t="s">
        <v>97</v>
      </c>
      <c r="BS1120" t="s">
        <v>18952</v>
      </c>
      <c r="BT1120" t="str">
        <f>HYPERLINK("https%3A%2F%2Fwww.webofscience.com%2Fwos%2Fwoscc%2Ffull-record%2FWOS:000966634800001","View Full Record in Web of Science")</f>
        <v>View Full Record in Web of Science</v>
      </c>
    </row>
    <row r="1121" spans="1:72" x14ac:dyDescent="0.25">
      <c r="A1121" t="s">
        <v>72</v>
      </c>
      <c r="B1121" t="s">
        <v>18953</v>
      </c>
      <c r="C1121" t="s">
        <v>74</v>
      </c>
      <c r="D1121" t="s">
        <v>74</v>
      </c>
      <c r="E1121" t="s">
        <v>74</v>
      </c>
      <c r="F1121" t="s">
        <v>18954</v>
      </c>
      <c r="G1121" t="s">
        <v>74</v>
      </c>
      <c r="H1121" t="s">
        <v>74</v>
      </c>
      <c r="I1121" t="s">
        <v>18955</v>
      </c>
      <c r="J1121" t="s">
        <v>616</v>
      </c>
      <c r="K1121" t="s">
        <v>74</v>
      </c>
      <c r="L1121" t="s">
        <v>74</v>
      </c>
      <c r="M1121" t="s">
        <v>77</v>
      </c>
      <c r="N1121" t="s">
        <v>78</v>
      </c>
      <c r="O1121" t="s">
        <v>74</v>
      </c>
      <c r="P1121" t="s">
        <v>74</v>
      </c>
      <c r="Q1121" t="s">
        <v>74</v>
      </c>
      <c r="R1121" t="s">
        <v>74</v>
      </c>
      <c r="S1121" t="s">
        <v>74</v>
      </c>
      <c r="T1121" t="s">
        <v>18956</v>
      </c>
      <c r="U1121" t="s">
        <v>18957</v>
      </c>
      <c r="V1121" t="s">
        <v>18958</v>
      </c>
      <c r="W1121" t="s">
        <v>18959</v>
      </c>
      <c r="X1121" t="s">
        <v>18960</v>
      </c>
      <c r="Y1121" t="s">
        <v>18961</v>
      </c>
      <c r="Z1121" t="s">
        <v>18962</v>
      </c>
      <c r="AA1121" t="s">
        <v>18963</v>
      </c>
      <c r="AB1121" t="s">
        <v>18964</v>
      </c>
      <c r="AC1121" t="s">
        <v>74</v>
      </c>
      <c r="AD1121" t="s">
        <v>74</v>
      </c>
      <c r="AE1121" t="s">
        <v>74</v>
      </c>
      <c r="AF1121" t="s">
        <v>74</v>
      </c>
      <c r="AG1121">
        <v>93</v>
      </c>
      <c r="AH1121">
        <v>0</v>
      </c>
      <c r="AI1121">
        <v>0</v>
      </c>
      <c r="AJ1121">
        <v>0</v>
      </c>
      <c r="AK1121">
        <v>0</v>
      </c>
      <c r="AL1121" t="s">
        <v>602</v>
      </c>
      <c r="AM1121" t="s">
        <v>160</v>
      </c>
      <c r="AN1121" t="s">
        <v>603</v>
      </c>
      <c r="AO1121" t="s">
        <v>625</v>
      </c>
      <c r="AP1121" t="s">
        <v>626</v>
      </c>
      <c r="AQ1121" t="s">
        <v>74</v>
      </c>
      <c r="AR1121" t="s">
        <v>627</v>
      </c>
      <c r="AS1121" t="s">
        <v>628</v>
      </c>
      <c r="AT1121" t="s">
        <v>165</v>
      </c>
      <c r="AU1121">
        <v>2023</v>
      </c>
      <c r="AV1121">
        <v>111</v>
      </c>
      <c r="AW1121" t="s">
        <v>74</v>
      </c>
      <c r="AX1121" t="s">
        <v>74</v>
      </c>
      <c r="AY1121" t="s">
        <v>74</v>
      </c>
      <c r="AZ1121" t="s">
        <v>74</v>
      </c>
      <c r="BA1121" t="s">
        <v>74</v>
      </c>
      <c r="BB1121" t="s">
        <v>74</v>
      </c>
      <c r="BC1121" t="s">
        <v>74</v>
      </c>
      <c r="BD1121">
        <v>103474</v>
      </c>
      <c r="BE1121" t="s">
        <v>18965</v>
      </c>
      <c r="BF1121" t="str">
        <f>HYPERLINK("http://dx.doi.org/10.1016/j.ijhm.2023.103474","http://dx.doi.org/10.1016/j.ijhm.2023.103474")</f>
        <v>http://dx.doi.org/10.1016/j.ijhm.2023.103474</v>
      </c>
      <c r="BG1121" t="s">
        <v>74</v>
      </c>
      <c r="BH1121" t="s">
        <v>18950</v>
      </c>
      <c r="BI1121">
        <v>13</v>
      </c>
      <c r="BJ1121" t="s">
        <v>630</v>
      </c>
      <c r="BK1121" t="s">
        <v>94</v>
      </c>
      <c r="BL1121" t="s">
        <v>631</v>
      </c>
      <c r="BM1121" t="s">
        <v>18966</v>
      </c>
      <c r="BN1121" t="s">
        <v>74</v>
      </c>
      <c r="BO1121" t="s">
        <v>408</v>
      </c>
      <c r="BP1121" t="s">
        <v>74</v>
      </c>
      <c r="BQ1121" t="s">
        <v>74</v>
      </c>
      <c r="BR1121" t="s">
        <v>97</v>
      </c>
      <c r="BS1121" t="s">
        <v>18967</v>
      </c>
      <c r="BT1121" t="str">
        <f>HYPERLINK("https%3A%2F%2Fwww.webofscience.com%2Fwos%2Fwoscc%2Ffull-record%2FWOS:000967042800001","View Full Record in Web of Science")</f>
        <v>View Full Record in Web of Science</v>
      </c>
    </row>
    <row r="1122" spans="1:72" x14ac:dyDescent="0.25">
      <c r="A1122" t="s">
        <v>72</v>
      </c>
      <c r="B1122" t="s">
        <v>18968</v>
      </c>
      <c r="C1122" t="s">
        <v>74</v>
      </c>
      <c r="D1122" t="s">
        <v>74</v>
      </c>
      <c r="E1122" t="s">
        <v>74</v>
      </c>
      <c r="F1122" t="s">
        <v>18969</v>
      </c>
      <c r="G1122" t="s">
        <v>74</v>
      </c>
      <c r="H1122" t="s">
        <v>74</v>
      </c>
      <c r="I1122" t="s">
        <v>18970</v>
      </c>
      <c r="J1122" t="s">
        <v>2771</v>
      </c>
      <c r="K1122" t="s">
        <v>74</v>
      </c>
      <c r="L1122" t="s">
        <v>74</v>
      </c>
      <c r="M1122" t="s">
        <v>77</v>
      </c>
      <c r="N1122" t="s">
        <v>10095</v>
      </c>
      <c r="O1122" t="s">
        <v>74</v>
      </c>
      <c r="P1122" t="s">
        <v>74</v>
      </c>
      <c r="Q1122" t="s">
        <v>74</v>
      </c>
      <c r="R1122" t="s">
        <v>74</v>
      </c>
      <c r="S1122" t="s">
        <v>74</v>
      </c>
      <c r="T1122" t="s">
        <v>18971</v>
      </c>
      <c r="U1122" t="s">
        <v>18972</v>
      </c>
      <c r="V1122" t="s">
        <v>18973</v>
      </c>
      <c r="W1122" t="s">
        <v>18974</v>
      </c>
      <c r="X1122" t="s">
        <v>18975</v>
      </c>
      <c r="Y1122" t="s">
        <v>18976</v>
      </c>
      <c r="Z1122" t="s">
        <v>18977</v>
      </c>
      <c r="AA1122" t="s">
        <v>74</v>
      </c>
      <c r="AB1122" t="s">
        <v>74</v>
      </c>
      <c r="AC1122" t="s">
        <v>18978</v>
      </c>
      <c r="AD1122" t="s">
        <v>18979</v>
      </c>
      <c r="AE1122" t="s">
        <v>18980</v>
      </c>
      <c r="AF1122" t="s">
        <v>74</v>
      </c>
      <c r="AG1122">
        <v>61</v>
      </c>
      <c r="AH1122">
        <v>0</v>
      </c>
      <c r="AI1122">
        <v>0</v>
      </c>
      <c r="AJ1122">
        <v>4</v>
      </c>
      <c r="AK1122">
        <v>4</v>
      </c>
      <c r="AL1122" t="s">
        <v>665</v>
      </c>
      <c r="AM1122" t="s">
        <v>666</v>
      </c>
      <c r="AN1122" t="s">
        <v>667</v>
      </c>
      <c r="AO1122" t="s">
        <v>2781</v>
      </c>
      <c r="AP1122" t="s">
        <v>2782</v>
      </c>
      <c r="AQ1122" t="s">
        <v>74</v>
      </c>
      <c r="AR1122" t="s">
        <v>2771</v>
      </c>
      <c r="AS1122" t="s">
        <v>2783</v>
      </c>
      <c r="AT1122" t="s">
        <v>74</v>
      </c>
      <c r="AU1122" t="s">
        <v>74</v>
      </c>
      <c r="AV1122" t="s">
        <v>74</v>
      </c>
      <c r="AW1122" t="s">
        <v>74</v>
      </c>
      <c r="AX1122" t="s">
        <v>74</v>
      </c>
      <c r="AY1122" t="s">
        <v>74</v>
      </c>
      <c r="AZ1122" t="s">
        <v>74</v>
      </c>
      <c r="BA1122" t="s">
        <v>74</v>
      </c>
      <c r="BB1122" t="s">
        <v>74</v>
      </c>
      <c r="BC1122" t="s">
        <v>74</v>
      </c>
      <c r="BD1122" t="s">
        <v>74</v>
      </c>
      <c r="BE1122" t="s">
        <v>18981</v>
      </c>
      <c r="BF1122" t="str">
        <f>HYPERLINK("http://dx.doi.org/10.1108/K-09-2022-1321","http://dx.doi.org/10.1108/K-09-2022-1321")</f>
        <v>http://dx.doi.org/10.1108/K-09-2022-1321</v>
      </c>
      <c r="BG1122" t="s">
        <v>74</v>
      </c>
      <c r="BH1122" t="s">
        <v>18950</v>
      </c>
      <c r="BI1122">
        <v>24</v>
      </c>
      <c r="BJ1122" t="s">
        <v>2785</v>
      </c>
      <c r="BK1122" t="s">
        <v>283</v>
      </c>
      <c r="BL1122" t="s">
        <v>2786</v>
      </c>
      <c r="BM1122" t="s">
        <v>18982</v>
      </c>
      <c r="BN1122" t="s">
        <v>74</v>
      </c>
      <c r="BO1122" t="s">
        <v>74</v>
      </c>
      <c r="BP1122" t="s">
        <v>74</v>
      </c>
      <c r="BQ1122" t="s">
        <v>74</v>
      </c>
      <c r="BR1122" t="s">
        <v>97</v>
      </c>
      <c r="BS1122" t="s">
        <v>18983</v>
      </c>
      <c r="BT1122" t="str">
        <f>HYPERLINK("https%3A%2F%2Fwww.webofscience.com%2Fwos%2Fwoscc%2Ffull-record%2FWOS:000951555800001","View Full Record in Web of Science")</f>
        <v>View Full Record in Web of Science</v>
      </c>
    </row>
    <row r="1123" spans="1:72" x14ac:dyDescent="0.25">
      <c r="A1123" t="s">
        <v>72</v>
      </c>
      <c r="B1123" t="s">
        <v>18984</v>
      </c>
      <c r="C1123" t="s">
        <v>74</v>
      </c>
      <c r="D1123" t="s">
        <v>74</v>
      </c>
      <c r="E1123" t="s">
        <v>74</v>
      </c>
      <c r="F1123" t="s">
        <v>18985</v>
      </c>
      <c r="G1123" t="s">
        <v>74</v>
      </c>
      <c r="H1123" t="s">
        <v>74</v>
      </c>
      <c r="I1123" t="s">
        <v>18986</v>
      </c>
      <c r="J1123" t="s">
        <v>13539</v>
      </c>
      <c r="K1123" t="s">
        <v>74</v>
      </c>
      <c r="L1123" t="s">
        <v>74</v>
      </c>
      <c r="M1123" t="s">
        <v>77</v>
      </c>
      <c r="N1123" t="s">
        <v>10095</v>
      </c>
      <c r="O1123" t="s">
        <v>74</v>
      </c>
      <c r="P1123" t="s">
        <v>74</v>
      </c>
      <c r="Q1123" t="s">
        <v>74</v>
      </c>
      <c r="R1123" t="s">
        <v>74</v>
      </c>
      <c r="S1123" t="s">
        <v>74</v>
      </c>
      <c r="T1123" t="s">
        <v>18987</v>
      </c>
      <c r="U1123" t="s">
        <v>18988</v>
      </c>
      <c r="V1123" t="s">
        <v>18989</v>
      </c>
      <c r="W1123" t="s">
        <v>18990</v>
      </c>
      <c r="X1123" t="s">
        <v>18991</v>
      </c>
      <c r="Y1123" t="s">
        <v>18992</v>
      </c>
      <c r="Z1123" t="s">
        <v>18993</v>
      </c>
      <c r="AA1123" t="s">
        <v>74</v>
      </c>
      <c r="AB1123" t="s">
        <v>18994</v>
      </c>
      <c r="AC1123" t="s">
        <v>74</v>
      </c>
      <c r="AD1123" t="s">
        <v>74</v>
      </c>
      <c r="AE1123" t="s">
        <v>74</v>
      </c>
      <c r="AF1123" t="s">
        <v>74</v>
      </c>
      <c r="AG1123">
        <v>85</v>
      </c>
      <c r="AH1123">
        <v>0</v>
      </c>
      <c r="AI1123">
        <v>0</v>
      </c>
      <c r="AJ1123">
        <v>3</v>
      </c>
      <c r="AK1123">
        <v>3</v>
      </c>
      <c r="AL1123" t="s">
        <v>766</v>
      </c>
      <c r="AM1123" t="s">
        <v>330</v>
      </c>
      <c r="AN1123" t="s">
        <v>1452</v>
      </c>
      <c r="AO1123" t="s">
        <v>13548</v>
      </c>
      <c r="AP1123" t="s">
        <v>13549</v>
      </c>
      <c r="AQ1123" t="s">
        <v>74</v>
      </c>
      <c r="AR1123" t="s">
        <v>13550</v>
      </c>
      <c r="AS1123" t="s">
        <v>13551</v>
      </c>
      <c r="AT1123" t="s">
        <v>74</v>
      </c>
      <c r="AU1123" t="s">
        <v>74</v>
      </c>
      <c r="AV1123" t="s">
        <v>74</v>
      </c>
      <c r="AW1123" t="s">
        <v>74</v>
      </c>
      <c r="AX1123" t="s">
        <v>74</v>
      </c>
      <c r="AY1123" t="s">
        <v>74</v>
      </c>
      <c r="AZ1123" t="s">
        <v>74</v>
      </c>
      <c r="BA1123" t="s">
        <v>74</v>
      </c>
      <c r="BB1123" t="s">
        <v>74</v>
      </c>
      <c r="BC1123" t="s">
        <v>74</v>
      </c>
      <c r="BD1123" t="s">
        <v>74</v>
      </c>
      <c r="BE1123" t="s">
        <v>18995</v>
      </c>
      <c r="BF1123" t="str">
        <f>HYPERLINK("http://dx.doi.org/10.1007/s13132-023-01194-z","http://dx.doi.org/10.1007/s13132-023-01194-z")</f>
        <v>http://dx.doi.org/10.1007/s13132-023-01194-z</v>
      </c>
      <c r="BG1123" t="s">
        <v>74</v>
      </c>
      <c r="BH1123" t="s">
        <v>18950</v>
      </c>
      <c r="BI1123">
        <v>32</v>
      </c>
      <c r="BJ1123" t="s">
        <v>2599</v>
      </c>
      <c r="BK1123" t="s">
        <v>94</v>
      </c>
      <c r="BL1123" t="s">
        <v>95</v>
      </c>
      <c r="BM1123" t="s">
        <v>18996</v>
      </c>
      <c r="BN1123" t="s">
        <v>74</v>
      </c>
      <c r="BO1123" t="s">
        <v>408</v>
      </c>
      <c r="BP1123" t="s">
        <v>74</v>
      </c>
      <c r="BQ1123" t="s">
        <v>74</v>
      </c>
      <c r="BR1123" t="s">
        <v>97</v>
      </c>
      <c r="BS1123" t="s">
        <v>18997</v>
      </c>
      <c r="BT1123" t="str">
        <f>HYPERLINK("https%3A%2F%2Fwww.webofscience.com%2Fwos%2Fwoscc%2Ffull-record%2FWOS:000955869600002","View Full Record in Web of Science")</f>
        <v>View Full Record in Web of Science</v>
      </c>
    </row>
    <row r="1124" spans="1:72" x14ac:dyDescent="0.25">
      <c r="A1124" t="s">
        <v>72</v>
      </c>
      <c r="B1124" t="s">
        <v>18998</v>
      </c>
      <c r="C1124" t="s">
        <v>74</v>
      </c>
      <c r="D1124" t="s">
        <v>74</v>
      </c>
      <c r="E1124" t="s">
        <v>74</v>
      </c>
      <c r="F1124" t="s">
        <v>18999</v>
      </c>
      <c r="G1124" t="s">
        <v>74</v>
      </c>
      <c r="H1124" t="s">
        <v>74</v>
      </c>
      <c r="I1124" t="s">
        <v>19000</v>
      </c>
      <c r="J1124" t="s">
        <v>14885</v>
      </c>
      <c r="K1124" t="s">
        <v>74</v>
      </c>
      <c r="L1124" t="s">
        <v>74</v>
      </c>
      <c r="M1124" t="s">
        <v>77</v>
      </c>
      <c r="N1124" t="s">
        <v>78</v>
      </c>
      <c r="O1124" t="s">
        <v>74</v>
      </c>
      <c r="P1124" t="s">
        <v>74</v>
      </c>
      <c r="Q1124" t="s">
        <v>74</v>
      </c>
      <c r="R1124" t="s">
        <v>74</v>
      </c>
      <c r="S1124" t="s">
        <v>74</v>
      </c>
      <c r="T1124" t="s">
        <v>19001</v>
      </c>
      <c r="U1124" t="s">
        <v>19002</v>
      </c>
      <c r="V1124" t="s">
        <v>19003</v>
      </c>
      <c r="W1124" t="s">
        <v>19004</v>
      </c>
      <c r="X1124" t="s">
        <v>19005</v>
      </c>
      <c r="Y1124" t="s">
        <v>19006</v>
      </c>
      <c r="Z1124" t="s">
        <v>19007</v>
      </c>
      <c r="AA1124" t="s">
        <v>74</v>
      </c>
      <c r="AB1124" t="s">
        <v>74</v>
      </c>
      <c r="AC1124" t="s">
        <v>74</v>
      </c>
      <c r="AD1124" t="s">
        <v>74</v>
      </c>
      <c r="AE1124" t="s">
        <v>74</v>
      </c>
      <c r="AF1124" t="s">
        <v>74</v>
      </c>
      <c r="AG1124">
        <v>88</v>
      </c>
      <c r="AH1124">
        <v>0</v>
      </c>
      <c r="AI1124">
        <v>0</v>
      </c>
      <c r="AJ1124">
        <v>8</v>
      </c>
      <c r="AK1124">
        <v>8</v>
      </c>
      <c r="AL1124" t="s">
        <v>665</v>
      </c>
      <c r="AM1124" t="s">
        <v>666</v>
      </c>
      <c r="AN1124" t="s">
        <v>667</v>
      </c>
      <c r="AO1124" t="s">
        <v>14895</v>
      </c>
      <c r="AP1124" t="s">
        <v>74</v>
      </c>
      <c r="AQ1124" t="s">
        <v>74</v>
      </c>
      <c r="AR1124" t="s">
        <v>14896</v>
      </c>
      <c r="AS1124" t="s">
        <v>14897</v>
      </c>
      <c r="AT1124" t="s">
        <v>6560</v>
      </c>
      <c r="AU1124">
        <v>2023</v>
      </c>
      <c r="AV1124">
        <v>37</v>
      </c>
      <c r="AW1124">
        <v>5</v>
      </c>
      <c r="AX1124" t="s">
        <v>74</v>
      </c>
      <c r="AY1124" t="s">
        <v>74</v>
      </c>
      <c r="AZ1124" t="s">
        <v>74</v>
      </c>
      <c r="BA1124" t="s">
        <v>74</v>
      </c>
      <c r="BB1124">
        <v>650</v>
      </c>
      <c r="BC1124">
        <v>670</v>
      </c>
      <c r="BD1124" t="s">
        <v>74</v>
      </c>
      <c r="BE1124" t="s">
        <v>19008</v>
      </c>
      <c r="BF1124" t="str">
        <f>HYPERLINK("http://dx.doi.org/10.1108/JSM-08-2022-0277","http://dx.doi.org/10.1108/JSM-08-2022-0277")</f>
        <v>http://dx.doi.org/10.1108/JSM-08-2022-0277</v>
      </c>
      <c r="BG1124" t="s">
        <v>74</v>
      </c>
      <c r="BH1124" t="s">
        <v>18950</v>
      </c>
      <c r="BI1124">
        <v>21</v>
      </c>
      <c r="BJ1124" t="s">
        <v>337</v>
      </c>
      <c r="BK1124" t="s">
        <v>94</v>
      </c>
      <c r="BL1124" t="s">
        <v>95</v>
      </c>
      <c r="BM1124" t="s">
        <v>19009</v>
      </c>
      <c r="BN1124" t="s">
        <v>74</v>
      </c>
      <c r="BO1124" t="s">
        <v>74</v>
      </c>
      <c r="BP1124" t="s">
        <v>74</v>
      </c>
      <c r="BQ1124" t="s">
        <v>74</v>
      </c>
      <c r="BR1124" t="s">
        <v>97</v>
      </c>
      <c r="BS1124" t="s">
        <v>19010</v>
      </c>
      <c r="BT1124" t="str">
        <f>HYPERLINK("https%3A%2F%2Fwww.webofscience.com%2Fwos%2Fwoscc%2Ffull-record%2FWOS:000953312100001","View Full Record in Web of Science")</f>
        <v>View Full Record in Web of Science</v>
      </c>
    </row>
    <row r="1125" spans="1:72" x14ac:dyDescent="0.25">
      <c r="A1125" t="s">
        <v>72</v>
      </c>
      <c r="B1125" t="s">
        <v>19011</v>
      </c>
      <c r="C1125" t="s">
        <v>74</v>
      </c>
      <c r="D1125" t="s">
        <v>74</v>
      </c>
      <c r="E1125" t="s">
        <v>74</v>
      </c>
      <c r="F1125" t="s">
        <v>19012</v>
      </c>
      <c r="G1125" t="s">
        <v>74</v>
      </c>
      <c r="H1125" t="s">
        <v>74</v>
      </c>
      <c r="I1125" t="s">
        <v>19013</v>
      </c>
      <c r="J1125" t="s">
        <v>318</v>
      </c>
      <c r="K1125" t="s">
        <v>74</v>
      </c>
      <c r="L1125" t="s">
        <v>74</v>
      </c>
      <c r="M1125" t="s">
        <v>77</v>
      </c>
      <c r="N1125" t="s">
        <v>78</v>
      </c>
      <c r="O1125" t="s">
        <v>74</v>
      </c>
      <c r="P1125" t="s">
        <v>74</v>
      </c>
      <c r="Q1125" t="s">
        <v>74</v>
      </c>
      <c r="R1125" t="s">
        <v>74</v>
      </c>
      <c r="S1125" t="s">
        <v>74</v>
      </c>
      <c r="T1125" t="s">
        <v>19014</v>
      </c>
      <c r="U1125" t="s">
        <v>19015</v>
      </c>
      <c r="V1125" t="s">
        <v>19016</v>
      </c>
      <c r="W1125" t="s">
        <v>19017</v>
      </c>
      <c r="X1125" t="s">
        <v>19018</v>
      </c>
      <c r="Y1125" t="s">
        <v>19019</v>
      </c>
      <c r="Z1125" t="s">
        <v>19020</v>
      </c>
      <c r="AA1125" t="s">
        <v>74</v>
      </c>
      <c r="AB1125" t="s">
        <v>74</v>
      </c>
      <c r="AC1125" t="s">
        <v>74</v>
      </c>
      <c r="AD1125" t="s">
        <v>74</v>
      </c>
      <c r="AE1125" t="s">
        <v>74</v>
      </c>
      <c r="AF1125" t="s">
        <v>74</v>
      </c>
      <c r="AG1125">
        <v>189</v>
      </c>
      <c r="AH1125">
        <v>0</v>
      </c>
      <c r="AI1125">
        <v>0</v>
      </c>
      <c r="AJ1125">
        <v>1</v>
      </c>
      <c r="AK1125">
        <v>1</v>
      </c>
      <c r="AL1125" t="s">
        <v>329</v>
      </c>
      <c r="AM1125" t="s">
        <v>330</v>
      </c>
      <c r="AN1125" t="s">
        <v>331</v>
      </c>
      <c r="AO1125" t="s">
        <v>332</v>
      </c>
      <c r="AP1125" t="s">
        <v>333</v>
      </c>
      <c r="AQ1125" t="s">
        <v>74</v>
      </c>
      <c r="AR1125" t="s">
        <v>334</v>
      </c>
      <c r="AS1125" t="s">
        <v>335</v>
      </c>
      <c r="AT1125" t="s">
        <v>91</v>
      </c>
      <c r="AU1125">
        <v>2023</v>
      </c>
      <c r="AV1125">
        <v>161</v>
      </c>
      <c r="AW1125" t="s">
        <v>74</v>
      </c>
      <c r="AX1125" t="s">
        <v>74</v>
      </c>
      <c r="AY1125" t="s">
        <v>74</v>
      </c>
      <c r="AZ1125" t="s">
        <v>74</v>
      </c>
      <c r="BA1125" t="s">
        <v>74</v>
      </c>
      <c r="BB1125" t="s">
        <v>74</v>
      </c>
      <c r="BC1125" t="s">
        <v>74</v>
      </c>
      <c r="BD1125">
        <v>113809</v>
      </c>
      <c r="BE1125" t="s">
        <v>19021</v>
      </c>
      <c r="BF1125" t="str">
        <f>HYPERLINK("http://dx.doi.org/10.1016/j.jbusres.2023.113809","http://dx.doi.org/10.1016/j.jbusres.2023.113809")</f>
        <v>http://dx.doi.org/10.1016/j.jbusres.2023.113809</v>
      </c>
      <c r="BG1125" t="s">
        <v>74</v>
      </c>
      <c r="BH1125" t="s">
        <v>18950</v>
      </c>
      <c r="BI1125">
        <v>15</v>
      </c>
      <c r="BJ1125" t="s">
        <v>337</v>
      </c>
      <c r="BK1125" t="s">
        <v>94</v>
      </c>
      <c r="BL1125" t="s">
        <v>95</v>
      </c>
      <c r="BM1125" t="s">
        <v>19022</v>
      </c>
      <c r="BN1125" t="s">
        <v>74</v>
      </c>
      <c r="BO1125" t="s">
        <v>74</v>
      </c>
      <c r="BP1125" t="s">
        <v>74</v>
      </c>
      <c r="BQ1125" t="s">
        <v>74</v>
      </c>
      <c r="BR1125" t="s">
        <v>97</v>
      </c>
      <c r="BS1125" t="s">
        <v>19023</v>
      </c>
      <c r="BT1125" t="str">
        <f>HYPERLINK("https%3A%2F%2Fwww.webofscience.com%2Fwos%2Fwoscc%2Ffull-record%2FWOS:000972712900001","View Full Record in Web of Science")</f>
        <v>View Full Record in Web of Science</v>
      </c>
    </row>
    <row r="1126" spans="1:72" x14ac:dyDescent="0.25">
      <c r="A1126" t="s">
        <v>72</v>
      </c>
      <c r="B1126" t="s">
        <v>19024</v>
      </c>
      <c r="C1126" t="s">
        <v>74</v>
      </c>
      <c r="D1126" t="s">
        <v>74</v>
      </c>
      <c r="E1126" t="s">
        <v>74</v>
      </c>
      <c r="F1126" t="s">
        <v>19025</v>
      </c>
      <c r="G1126" t="s">
        <v>74</v>
      </c>
      <c r="H1126" t="s">
        <v>74</v>
      </c>
      <c r="I1126" t="s">
        <v>19026</v>
      </c>
      <c r="J1126" t="s">
        <v>5532</v>
      </c>
      <c r="K1126" t="s">
        <v>74</v>
      </c>
      <c r="L1126" t="s">
        <v>74</v>
      </c>
      <c r="M1126" t="s">
        <v>77</v>
      </c>
      <c r="N1126" t="s">
        <v>10095</v>
      </c>
      <c r="O1126" t="s">
        <v>74</v>
      </c>
      <c r="P1126" t="s">
        <v>74</v>
      </c>
      <c r="Q1126" t="s">
        <v>74</v>
      </c>
      <c r="R1126" t="s">
        <v>74</v>
      </c>
      <c r="S1126" t="s">
        <v>74</v>
      </c>
      <c r="T1126" t="s">
        <v>74</v>
      </c>
      <c r="U1126" t="s">
        <v>19027</v>
      </c>
      <c r="V1126" t="s">
        <v>19028</v>
      </c>
      <c r="W1126" t="s">
        <v>19029</v>
      </c>
      <c r="X1126" t="s">
        <v>19030</v>
      </c>
      <c r="Y1126" t="s">
        <v>19031</v>
      </c>
      <c r="Z1126" t="s">
        <v>19032</v>
      </c>
      <c r="AA1126" t="s">
        <v>19033</v>
      </c>
      <c r="AB1126" t="s">
        <v>19034</v>
      </c>
      <c r="AC1126" t="s">
        <v>19035</v>
      </c>
      <c r="AD1126" t="s">
        <v>19036</v>
      </c>
      <c r="AE1126" t="s">
        <v>19037</v>
      </c>
      <c r="AF1126" t="s">
        <v>74</v>
      </c>
      <c r="AG1126">
        <v>133</v>
      </c>
      <c r="AH1126">
        <v>0</v>
      </c>
      <c r="AI1126">
        <v>0</v>
      </c>
      <c r="AJ1126">
        <v>5</v>
      </c>
      <c r="AK1126">
        <v>5</v>
      </c>
      <c r="AL1126" t="s">
        <v>218</v>
      </c>
      <c r="AM1126" t="s">
        <v>219</v>
      </c>
      <c r="AN1126" t="s">
        <v>220</v>
      </c>
      <c r="AO1126" t="s">
        <v>5539</v>
      </c>
      <c r="AP1126" t="s">
        <v>5540</v>
      </c>
      <c r="AQ1126" t="s">
        <v>74</v>
      </c>
      <c r="AR1126" t="s">
        <v>5541</v>
      </c>
      <c r="AS1126" t="s">
        <v>5542</v>
      </c>
      <c r="AT1126" t="s">
        <v>74</v>
      </c>
      <c r="AU1126" t="s">
        <v>74</v>
      </c>
      <c r="AV1126" t="s">
        <v>74</v>
      </c>
      <c r="AW1126" t="s">
        <v>74</v>
      </c>
      <c r="AX1126" t="s">
        <v>74</v>
      </c>
      <c r="AY1126" t="s">
        <v>74</v>
      </c>
      <c r="AZ1126" t="s">
        <v>74</v>
      </c>
      <c r="BA1126" t="s">
        <v>74</v>
      </c>
      <c r="BB1126" t="s">
        <v>74</v>
      </c>
      <c r="BC1126" t="s">
        <v>74</v>
      </c>
      <c r="BD1126" t="s">
        <v>74</v>
      </c>
      <c r="BE1126" t="s">
        <v>19038</v>
      </c>
      <c r="BF1126" t="str">
        <f>HYPERLINK("http://dx.doi.org/10.1111/radm.12586","http://dx.doi.org/10.1111/radm.12586")</f>
        <v>http://dx.doi.org/10.1111/radm.12586</v>
      </c>
      <c r="BG1126" t="s">
        <v>74</v>
      </c>
      <c r="BH1126" t="s">
        <v>18950</v>
      </c>
      <c r="BI1126">
        <v>22</v>
      </c>
      <c r="BJ1126" t="s">
        <v>93</v>
      </c>
      <c r="BK1126" t="s">
        <v>94</v>
      </c>
      <c r="BL1126" t="s">
        <v>95</v>
      </c>
      <c r="BM1126" t="s">
        <v>19039</v>
      </c>
      <c r="BN1126" t="s">
        <v>74</v>
      </c>
      <c r="BO1126" t="s">
        <v>408</v>
      </c>
      <c r="BP1126" t="s">
        <v>74</v>
      </c>
      <c r="BQ1126" t="s">
        <v>74</v>
      </c>
      <c r="BR1126" t="s">
        <v>97</v>
      </c>
      <c r="BS1126" t="s">
        <v>19040</v>
      </c>
      <c r="BT1126" t="str">
        <f>HYPERLINK("https%3A%2F%2Fwww.webofscience.com%2Fwos%2Fwoscc%2Ffull-record%2FWOS:000947866400001","View Full Record in Web of Science")</f>
        <v>View Full Record in Web of Science</v>
      </c>
    </row>
    <row r="1127" spans="1:72" x14ac:dyDescent="0.25">
      <c r="A1127" t="s">
        <v>72</v>
      </c>
      <c r="B1127" t="s">
        <v>19041</v>
      </c>
      <c r="C1127" t="s">
        <v>74</v>
      </c>
      <c r="D1127" t="s">
        <v>74</v>
      </c>
      <c r="E1127" t="s">
        <v>74</v>
      </c>
      <c r="F1127" t="s">
        <v>19042</v>
      </c>
      <c r="G1127" t="s">
        <v>74</v>
      </c>
      <c r="H1127" t="s">
        <v>74</v>
      </c>
      <c r="I1127" t="s">
        <v>19043</v>
      </c>
      <c r="J1127" t="s">
        <v>15430</v>
      </c>
      <c r="K1127" t="s">
        <v>74</v>
      </c>
      <c r="L1127" t="s">
        <v>74</v>
      </c>
      <c r="M1127" t="s">
        <v>77</v>
      </c>
      <c r="N1127" t="s">
        <v>10095</v>
      </c>
      <c r="O1127" t="s">
        <v>74</v>
      </c>
      <c r="P1127" t="s">
        <v>74</v>
      </c>
      <c r="Q1127" t="s">
        <v>74</v>
      </c>
      <c r="R1127" t="s">
        <v>74</v>
      </c>
      <c r="S1127" t="s">
        <v>74</v>
      </c>
      <c r="T1127" t="s">
        <v>19044</v>
      </c>
      <c r="U1127" t="s">
        <v>19045</v>
      </c>
      <c r="V1127" t="s">
        <v>19046</v>
      </c>
      <c r="W1127" t="s">
        <v>19047</v>
      </c>
      <c r="X1127" t="s">
        <v>19048</v>
      </c>
      <c r="Y1127" t="s">
        <v>19049</v>
      </c>
      <c r="Z1127" t="s">
        <v>19050</v>
      </c>
      <c r="AA1127" t="s">
        <v>19051</v>
      </c>
      <c r="AB1127" t="s">
        <v>19052</v>
      </c>
      <c r="AC1127" t="s">
        <v>19053</v>
      </c>
      <c r="AD1127" t="s">
        <v>19053</v>
      </c>
      <c r="AE1127" t="s">
        <v>19054</v>
      </c>
      <c r="AF1127" t="s">
        <v>74</v>
      </c>
      <c r="AG1127">
        <v>125</v>
      </c>
      <c r="AH1127">
        <v>0</v>
      </c>
      <c r="AI1127">
        <v>0</v>
      </c>
      <c r="AJ1127">
        <v>11</v>
      </c>
      <c r="AK1127">
        <v>11</v>
      </c>
      <c r="AL1127" t="s">
        <v>766</v>
      </c>
      <c r="AM1127" t="s">
        <v>330</v>
      </c>
      <c r="AN1127" t="s">
        <v>1452</v>
      </c>
      <c r="AO1127" t="s">
        <v>15438</v>
      </c>
      <c r="AP1127" t="s">
        <v>15439</v>
      </c>
      <c r="AQ1127" t="s">
        <v>74</v>
      </c>
      <c r="AR1127" t="s">
        <v>15440</v>
      </c>
      <c r="AS1127" t="s">
        <v>15441</v>
      </c>
      <c r="AT1127" t="s">
        <v>74</v>
      </c>
      <c r="AU1127" t="s">
        <v>74</v>
      </c>
      <c r="AV1127" t="s">
        <v>74</v>
      </c>
      <c r="AW1127" t="s">
        <v>74</v>
      </c>
      <c r="AX1127" t="s">
        <v>74</v>
      </c>
      <c r="AY1127" t="s">
        <v>74</v>
      </c>
      <c r="AZ1127" t="s">
        <v>74</v>
      </c>
      <c r="BA1127" t="s">
        <v>74</v>
      </c>
      <c r="BB1127" t="s">
        <v>74</v>
      </c>
      <c r="BC1127" t="s">
        <v>74</v>
      </c>
      <c r="BD1127" t="s">
        <v>74</v>
      </c>
      <c r="BE1127" t="s">
        <v>19055</v>
      </c>
      <c r="BF1127" t="str">
        <f>HYPERLINK("http://dx.doi.org/10.1007/s11365-023-00848-3","http://dx.doi.org/10.1007/s11365-023-00848-3")</f>
        <v>http://dx.doi.org/10.1007/s11365-023-00848-3</v>
      </c>
      <c r="BG1127" t="s">
        <v>74</v>
      </c>
      <c r="BH1127" t="s">
        <v>18950</v>
      </c>
      <c r="BI1127">
        <v>25</v>
      </c>
      <c r="BJ1127" t="s">
        <v>93</v>
      </c>
      <c r="BK1127" t="s">
        <v>94</v>
      </c>
      <c r="BL1127" t="s">
        <v>95</v>
      </c>
      <c r="BM1127" t="s">
        <v>19056</v>
      </c>
      <c r="BN1127" t="s">
        <v>74</v>
      </c>
      <c r="BO1127" t="s">
        <v>408</v>
      </c>
      <c r="BP1127" t="s">
        <v>74</v>
      </c>
      <c r="BQ1127" t="s">
        <v>74</v>
      </c>
      <c r="BR1127" t="s">
        <v>97</v>
      </c>
      <c r="BS1127" t="s">
        <v>19057</v>
      </c>
      <c r="BT1127" t="str">
        <f>HYPERLINK("https%3A%2F%2Fwww.webofscience.com%2Fwos%2Fwoscc%2Ffull-record%2FWOS:000946945700001","View Full Record in Web of Science")</f>
        <v>View Full Record in Web of Science</v>
      </c>
    </row>
    <row r="1128" spans="1:72" x14ac:dyDescent="0.25">
      <c r="A1128" t="s">
        <v>72</v>
      </c>
      <c r="B1128" t="s">
        <v>19058</v>
      </c>
      <c r="C1128" t="s">
        <v>74</v>
      </c>
      <c r="D1128" t="s">
        <v>74</v>
      </c>
      <c r="E1128" t="s">
        <v>74</v>
      </c>
      <c r="F1128" t="s">
        <v>19059</v>
      </c>
      <c r="G1128" t="s">
        <v>74</v>
      </c>
      <c r="H1128" t="s">
        <v>74</v>
      </c>
      <c r="I1128" t="s">
        <v>19060</v>
      </c>
      <c r="J1128" t="s">
        <v>1600</v>
      </c>
      <c r="K1128" t="s">
        <v>74</v>
      </c>
      <c r="L1128" t="s">
        <v>74</v>
      </c>
      <c r="M1128" t="s">
        <v>77</v>
      </c>
      <c r="N1128" t="s">
        <v>10095</v>
      </c>
      <c r="O1128" t="s">
        <v>74</v>
      </c>
      <c r="P1128" t="s">
        <v>74</v>
      </c>
      <c r="Q1128" t="s">
        <v>74</v>
      </c>
      <c r="R1128" t="s">
        <v>74</v>
      </c>
      <c r="S1128" t="s">
        <v>74</v>
      </c>
      <c r="T1128" t="s">
        <v>19061</v>
      </c>
      <c r="U1128" t="s">
        <v>19062</v>
      </c>
      <c r="V1128" t="s">
        <v>19063</v>
      </c>
      <c r="W1128" t="s">
        <v>19064</v>
      </c>
      <c r="X1128" t="s">
        <v>19065</v>
      </c>
      <c r="Y1128" t="s">
        <v>19066</v>
      </c>
      <c r="Z1128" t="s">
        <v>19067</v>
      </c>
      <c r="AA1128" t="s">
        <v>19068</v>
      </c>
      <c r="AB1128" t="s">
        <v>19069</v>
      </c>
      <c r="AC1128" t="s">
        <v>74</v>
      </c>
      <c r="AD1128" t="s">
        <v>74</v>
      </c>
      <c r="AE1128" t="s">
        <v>74</v>
      </c>
      <c r="AF1128" t="s">
        <v>74</v>
      </c>
      <c r="AG1128">
        <v>59</v>
      </c>
      <c r="AH1128">
        <v>0</v>
      </c>
      <c r="AI1128">
        <v>0</v>
      </c>
      <c r="AJ1128">
        <v>7</v>
      </c>
      <c r="AK1128">
        <v>7</v>
      </c>
      <c r="AL1128" t="s">
        <v>1099</v>
      </c>
      <c r="AM1128" t="s">
        <v>305</v>
      </c>
      <c r="AN1128" t="s">
        <v>1100</v>
      </c>
      <c r="AO1128" t="s">
        <v>1610</v>
      </c>
      <c r="AP1128" t="s">
        <v>1611</v>
      </c>
      <c r="AQ1128" t="s">
        <v>74</v>
      </c>
      <c r="AR1128" t="s">
        <v>1612</v>
      </c>
      <c r="AS1128" t="s">
        <v>1613</v>
      </c>
      <c r="AT1128" t="s">
        <v>74</v>
      </c>
      <c r="AU1128" t="s">
        <v>74</v>
      </c>
      <c r="AV1128" t="s">
        <v>74</v>
      </c>
      <c r="AW1128" t="s">
        <v>74</v>
      </c>
      <c r="AX1128" t="s">
        <v>74</v>
      </c>
      <c r="AY1128" t="s">
        <v>74</v>
      </c>
      <c r="AZ1128" t="s">
        <v>74</v>
      </c>
      <c r="BA1128" t="s">
        <v>74</v>
      </c>
      <c r="BB1128" t="s">
        <v>74</v>
      </c>
      <c r="BC1128" t="s">
        <v>74</v>
      </c>
      <c r="BD1128" t="s">
        <v>74</v>
      </c>
      <c r="BE1128" t="s">
        <v>19070</v>
      </c>
      <c r="BF1128" t="str">
        <f>HYPERLINK("http://dx.doi.org/10.1080/09585192.2023.2189022","http://dx.doi.org/10.1080/09585192.2023.2189022")</f>
        <v>http://dx.doi.org/10.1080/09585192.2023.2189022</v>
      </c>
      <c r="BG1128" t="s">
        <v>74</v>
      </c>
      <c r="BH1128" t="s">
        <v>18950</v>
      </c>
      <c r="BI1128">
        <v>22</v>
      </c>
      <c r="BJ1128" t="s">
        <v>442</v>
      </c>
      <c r="BK1128" t="s">
        <v>94</v>
      </c>
      <c r="BL1128" t="s">
        <v>95</v>
      </c>
      <c r="BM1128" t="s">
        <v>19071</v>
      </c>
      <c r="BN1128" t="s">
        <v>74</v>
      </c>
      <c r="BO1128" t="s">
        <v>408</v>
      </c>
      <c r="BP1128" t="s">
        <v>74</v>
      </c>
      <c r="BQ1128" t="s">
        <v>74</v>
      </c>
      <c r="BR1128" t="s">
        <v>97</v>
      </c>
      <c r="BS1128" t="s">
        <v>19072</v>
      </c>
      <c r="BT1128" t="str">
        <f>HYPERLINK("https%3A%2F%2Fwww.webofscience.com%2Fwos%2Fwoscc%2Ffull-record%2FWOS:000949940500001","View Full Record in Web of Science")</f>
        <v>View Full Record in Web of Science</v>
      </c>
    </row>
    <row r="1129" spans="1:72" x14ac:dyDescent="0.25">
      <c r="A1129" t="s">
        <v>72</v>
      </c>
      <c r="B1129" t="s">
        <v>19073</v>
      </c>
      <c r="C1129" t="s">
        <v>74</v>
      </c>
      <c r="D1129" t="s">
        <v>74</v>
      </c>
      <c r="E1129" t="s">
        <v>74</v>
      </c>
      <c r="F1129" t="s">
        <v>19074</v>
      </c>
      <c r="G1129" t="s">
        <v>74</v>
      </c>
      <c r="H1129" t="s">
        <v>74</v>
      </c>
      <c r="I1129" t="s">
        <v>19075</v>
      </c>
      <c r="J1129" t="s">
        <v>3184</v>
      </c>
      <c r="K1129" t="s">
        <v>74</v>
      </c>
      <c r="L1129" t="s">
        <v>74</v>
      </c>
      <c r="M1129" t="s">
        <v>77</v>
      </c>
      <c r="N1129" t="s">
        <v>78</v>
      </c>
      <c r="O1129" t="s">
        <v>74</v>
      </c>
      <c r="P1129" t="s">
        <v>74</v>
      </c>
      <c r="Q1129" t="s">
        <v>74</v>
      </c>
      <c r="R1129" t="s">
        <v>74</v>
      </c>
      <c r="S1129" t="s">
        <v>74</v>
      </c>
      <c r="T1129" t="s">
        <v>19076</v>
      </c>
      <c r="U1129" t="s">
        <v>19077</v>
      </c>
      <c r="V1129" t="s">
        <v>19078</v>
      </c>
      <c r="W1129" t="s">
        <v>19079</v>
      </c>
      <c r="X1129" t="s">
        <v>19080</v>
      </c>
      <c r="Y1129" t="s">
        <v>19081</v>
      </c>
      <c r="Z1129" t="s">
        <v>19082</v>
      </c>
      <c r="AA1129" t="s">
        <v>74</v>
      </c>
      <c r="AB1129" t="s">
        <v>74</v>
      </c>
      <c r="AC1129" t="s">
        <v>74</v>
      </c>
      <c r="AD1129" t="s">
        <v>74</v>
      </c>
      <c r="AE1129" t="s">
        <v>74</v>
      </c>
      <c r="AF1129" t="s">
        <v>74</v>
      </c>
      <c r="AG1129">
        <v>75</v>
      </c>
      <c r="AH1129">
        <v>0</v>
      </c>
      <c r="AI1129">
        <v>0</v>
      </c>
      <c r="AJ1129">
        <v>9</v>
      </c>
      <c r="AK1129">
        <v>9</v>
      </c>
      <c r="AL1129" t="s">
        <v>3195</v>
      </c>
      <c r="AM1129" t="s">
        <v>3196</v>
      </c>
      <c r="AN1129" t="s">
        <v>3197</v>
      </c>
      <c r="AO1129" t="s">
        <v>3198</v>
      </c>
      <c r="AP1129" t="s">
        <v>74</v>
      </c>
      <c r="AQ1129" t="s">
        <v>74</v>
      </c>
      <c r="AR1129" t="s">
        <v>3199</v>
      </c>
      <c r="AS1129" t="s">
        <v>3200</v>
      </c>
      <c r="AT1129" t="s">
        <v>19083</v>
      </c>
      <c r="AU1129">
        <v>2023</v>
      </c>
      <c r="AV1129">
        <v>14</v>
      </c>
      <c r="AW1129" t="s">
        <v>74</v>
      </c>
      <c r="AX1129" t="s">
        <v>74</v>
      </c>
      <c r="AY1129" t="s">
        <v>74</v>
      </c>
      <c r="AZ1129" t="s">
        <v>74</v>
      </c>
      <c r="BA1129" t="s">
        <v>74</v>
      </c>
      <c r="BB1129" t="s">
        <v>74</v>
      </c>
      <c r="BC1129" t="s">
        <v>74</v>
      </c>
      <c r="BD1129">
        <v>1129486</v>
      </c>
      <c r="BE1129" t="s">
        <v>19084</v>
      </c>
      <c r="BF1129" t="str">
        <f>HYPERLINK("http://dx.doi.org/10.3389/fpsyg.2023.1129486","http://dx.doi.org/10.3389/fpsyg.2023.1129486")</f>
        <v>http://dx.doi.org/10.3389/fpsyg.2023.1129486</v>
      </c>
      <c r="BG1129" t="s">
        <v>74</v>
      </c>
      <c r="BH1129" t="s">
        <v>74</v>
      </c>
      <c r="BI1129">
        <v>17</v>
      </c>
      <c r="BJ1129" t="s">
        <v>3203</v>
      </c>
      <c r="BK1129" t="s">
        <v>94</v>
      </c>
      <c r="BL1129" t="s">
        <v>460</v>
      </c>
      <c r="BM1129" t="s">
        <v>19085</v>
      </c>
      <c r="BN1129">
        <v>36968709</v>
      </c>
      <c r="BO1129" t="s">
        <v>3205</v>
      </c>
      <c r="BP1129" t="s">
        <v>74</v>
      </c>
      <c r="BQ1129" t="s">
        <v>74</v>
      </c>
      <c r="BR1129" t="s">
        <v>97</v>
      </c>
      <c r="BS1129" t="s">
        <v>19086</v>
      </c>
      <c r="BT1129" t="str">
        <f>HYPERLINK("https%3A%2F%2Fwww.webofscience.com%2Fwos%2Fwoscc%2Ffull-record%2FWOS:000954103800001","View Full Record in Web of Science")</f>
        <v>View Full Record in Web of Science</v>
      </c>
    </row>
    <row r="1130" spans="1:72" x14ac:dyDescent="0.25">
      <c r="A1130" t="s">
        <v>72</v>
      </c>
      <c r="B1130" t="s">
        <v>19087</v>
      </c>
      <c r="C1130" t="s">
        <v>74</v>
      </c>
      <c r="D1130" t="s">
        <v>74</v>
      </c>
      <c r="E1130" t="s">
        <v>74</v>
      </c>
      <c r="F1130" t="s">
        <v>19088</v>
      </c>
      <c r="G1130" t="s">
        <v>74</v>
      </c>
      <c r="H1130" t="s">
        <v>74</v>
      </c>
      <c r="I1130" t="s">
        <v>19089</v>
      </c>
      <c r="J1130" t="s">
        <v>19090</v>
      </c>
      <c r="K1130" t="s">
        <v>74</v>
      </c>
      <c r="L1130" t="s">
        <v>74</v>
      </c>
      <c r="M1130" t="s">
        <v>77</v>
      </c>
      <c r="N1130" t="s">
        <v>10095</v>
      </c>
      <c r="O1130" t="s">
        <v>74</v>
      </c>
      <c r="P1130" t="s">
        <v>74</v>
      </c>
      <c r="Q1130" t="s">
        <v>74</v>
      </c>
      <c r="R1130" t="s">
        <v>74</v>
      </c>
      <c r="S1130" t="s">
        <v>74</v>
      </c>
      <c r="T1130" t="s">
        <v>74</v>
      </c>
      <c r="U1130" t="s">
        <v>19091</v>
      </c>
      <c r="V1130" t="s">
        <v>19092</v>
      </c>
      <c r="W1130" t="s">
        <v>19093</v>
      </c>
      <c r="X1130" t="s">
        <v>19094</v>
      </c>
      <c r="Y1130" t="s">
        <v>19095</v>
      </c>
      <c r="Z1130" t="s">
        <v>19096</v>
      </c>
      <c r="AA1130" t="s">
        <v>19097</v>
      </c>
      <c r="AB1130" t="s">
        <v>19098</v>
      </c>
      <c r="AC1130" t="s">
        <v>74</v>
      </c>
      <c r="AD1130" t="s">
        <v>74</v>
      </c>
      <c r="AE1130" t="s">
        <v>74</v>
      </c>
      <c r="AF1130" t="s">
        <v>74</v>
      </c>
      <c r="AG1130">
        <v>49</v>
      </c>
      <c r="AH1130">
        <v>0</v>
      </c>
      <c r="AI1130">
        <v>0</v>
      </c>
      <c r="AJ1130">
        <v>0</v>
      </c>
      <c r="AK1130">
        <v>0</v>
      </c>
      <c r="AL1130" t="s">
        <v>12379</v>
      </c>
      <c r="AM1130" t="s">
        <v>12380</v>
      </c>
      <c r="AN1130" t="s">
        <v>12381</v>
      </c>
      <c r="AO1130" t="s">
        <v>19099</v>
      </c>
      <c r="AP1130" t="s">
        <v>19100</v>
      </c>
      <c r="AQ1130" t="s">
        <v>74</v>
      </c>
      <c r="AR1130" t="s">
        <v>19101</v>
      </c>
      <c r="AS1130" t="s">
        <v>19102</v>
      </c>
      <c r="AT1130" t="s">
        <v>74</v>
      </c>
      <c r="AU1130" t="s">
        <v>74</v>
      </c>
      <c r="AV1130" t="s">
        <v>74</v>
      </c>
      <c r="AW1130" t="s">
        <v>74</v>
      </c>
      <c r="AX1130" t="s">
        <v>74</v>
      </c>
      <c r="AY1130" t="s">
        <v>74</v>
      </c>
      <c r="AZ1130" t="s">
        <v>74</v>
      </c>
      <c r="BA1130" t="s">
        <v>74</v>
      </c>
      <c r="BB1130" t="s">
        <v>74</v>
      </c>
      <c r="BC1130" t="s">
        <v>74</v>
      </c>
      <c r="BD1130" t="s">
        <v>74</v>
      </c>
      <c r="BE1130" t="s">
        <v>19103</v>
      </c>
      <c r="BF1130" t="str">
        <f>HYPERLINK("http://dx.doi.org/10.1002/zamm.202200080","http://dx.doi.org/10.1002/zamm.202200080")</f>
        <v>http://dx.doi.org/10.1002/zamm.202200080</v>
      </c>
      <c r="BG1130" t="s">
        <v>74</v>
      </c>
      <c r="BH1130" t="s">
        <v>18950</v>
      </c>
      <c r="BI1130">
        <v>22</v>
      </c>
      <c r="BJ1130" t="s">
        <v>19104</v>
      </c>
      <c r="BK1130" t="s">
        <v>283</v>
      </c>
      <c r="BL1130" t="s">
        <v>19105</v>
      </c>
      <c r="BM1130" t="s">
        <v>19106</v>
      </c>
      <c r="BN1130" t="s">
        <v>74</v>
      </c>
      <c r="BO1130" t="s">
        <v>74</v>
      </c>
      <c r="BP1130" t="s">
        <v>74</v>
      </c>
      <c r="BQ1130" t="s">
        <v>74</v>
      </c>
      <c r="BR1130" t="s">
        <v>97</v>
      </c>
      <c r="BS1130" t="s">
        <v>19107</v>
      </c>
      <c r="BT1130" t="str">
        <f>HYPERLINK("https%3A%2F%2Fwww.webofscience.com%2Fwos%2Fwoscc%2Ffull-record%2FWOS:000943438700001","View Full Record in Web of Science")</f>
        <v>View Full Record in Web of Science</v>
      </c>
    </row>
    <row r="1131" spans="1:72" x14ac:dyDescent="0.25">
      <c r="A1131" t="s">
        <v>72</v>
      </c>
      <c r="B1131" t="s">
        <v>19108</v>
      </c>
      <c r="C1131" t="s">
        <v>74</v>
      </c>
      <c r="D1131" t="s">
        <v>74</v>
      </c>
      <c r="E1131" t="s">
        <v>74</v>
      </c>
      <c r="F1131" t="s">
        <v>19109</v>
      </c>
      <c r="G1131" t="s">
        <v>74</v>
      </c>
      <c r="H1131" t="s">
        <v>74</v>
      </c>
      <c r="I1131" t="s">
        <v>19110</v>
      </c>
      <c r="J1131" t="s">
        <v>3184</v>
      </c>
      <c r="K1131" t="s">
        <v>74</v>
      </c>
      <c r="L1131" t="s">
        <v>74</v>
      </c>
      <c r="M1131" t="s">
        <v>77</v>
      </c>
      <c r="N1131" t="s">
        <v>78</v>
      </c>
      <c r="O1131" t="s">
        <v>74</v>
      </c>
      <c r="P1131" t="s">
        <v>74</v>
      </c>
      <c r="Q1131" t="s">
        <v>74</v>
      </c>
      <c r="R1131" t="s">
        <v>74</v>
      </c>
      <c r="S1131" t="s">
        <v>74</v>
      </c>
      <c r="T1131" t="s">
        <v>19111</v>
      </c>
      <c r="U1131" t="s">
        <v>19112</v>
      </c>
      <c r="V1131" t="s">
        <v>19113</v>
      </c>
      <c r="W1131" t="s">
        <v>19114</v>
      </c>
      <c r="X1131" t="s">
        <v>8342</v>
      </c>
      <c r="Y1131" t="s">
        <v>19115</v>
      </c>
      <c r="Z1131" t="s">
        <v>19116</v>
      </c>
      <c r="AA1131" t="s">
        <v>74</v>
      </c>
      <c r="AB1131" t="s">
        <v>74</v>
      </c>
      <c r="AC1131" t="s">
        <v>74</v>
      </c>
      <c r="AD1131" t="s">
        <v>74</v>
      </c>
      <c r="AE1131" t="s">
        <v>74</v>
      </c>
      <c r="AF1131" t="s">
        <v>74</v>
      </c>
      <c r="AG1131">
        <v>57</v>
      </c>
      <c r="AH1131">
        <v>0</v>
      </c>
      <c r="AI1131">
        <v>0</v>
      </c>
      <c r="AJ1131">
        <v>8</v>
      </c>
      <c r="AK1131">
        <v>8</v>
      </c>
      <c r="AL1131" t="s">
        <v>3195</v>
      </c>
      <c r="AM1131" t="s">
        <v>3196</v>
      </c>
      <c r="AN1131" t="s">
        <v>3197</v>
      </c>
      <c r="AO1131" t="s">
        <v>3198</v>
      </c>
      <c r="AP1131" t="s">
        <v>74</v>
      </c>
      <c r="AQ1131" t="s">
        <v>74</v>
      </c>
      <c r="AR1131" t="s">
        <v>3199</v>
      </c>
      <c r="AS1131" t="s">
        <v>3200</v>
      </c>
      <c r="AT1131" t="s">
        <v>19117</v>
      </c>
      <c r="AU1131">
        <v>2023</v>
      </c>
      <c r="AV1131">
        <v>14</v>
      </c>
      <c r="AW1131" t="s">
        <v>74</v>
      </c>
      <c r="AX1131" t="s">
        <v>74</v>
      </c>
      <c r="AY1131" t="s">
        <v>74</v>
      </c>
      <c r="AZ1131" t="s">
        <v>74</v>
      </c>
      <c r="BA1131" t="s">
        <v>74</v>
      </c>
      <c r="BB1131" t="s">
        <v>74</v>
      </c>
      <c r="BC1131" t="s">
        <v>74</v>
      </c>
      <c r="BD1131">
        <v>1144791</v>
      </c>
      <c r="BE1131" t="s">
        <v>19118</v>
      </c>
      <c r="BF1131" t="str">
        <f>HYPERLINK("http://dx.doi.org/10.3389/fpsyg.2023.1144791","http://dx.doi.org/10.3389/fpsyg.2023.1144791")</f>
        <v>http://dx.doi.org/10.3389/fpsyg.2023.1144791</v>
      </c>
      <c r="BG1131" t="s">
        <v>74</v>
      </c>
      <c r="BH1131" t="s">
        <v>74</v>
      </c>
      <c r="BI1131">
        <v>10</v>
      </c>
      <c r="BJ1131" t="s">
        <v>3203</v>
      </c>
      <c r="BK1131" t="s">
        <v>94</v>
      </c>
      <c r="BL1131" t="s">
        <v>460</v>
      </c>
      <c r="BM1131" t="s">
        <v>19119</v>
      </c>
      <c r="BN1131">
        <v>36949905</v>
      </c>
      <c r="BO1131" t="s">
        <v>4398</v>
      </c>
      <c r="BP1131" t="s">
        <v>74</v>
      </c>
      <c r="BQ1131" t="s">
        <v>74</v>
      </c>
      <c r="BR1131" t="s">
        <v>97</v>
      </c>
      <c r="BS1131" t="s">
        <v>19120</v>
      </c>
      <c r="BT1131" t="str">
        <f>HYPERLINK("https%3A%2F%2Fwww.webofscience.com%2Fwos%2Fwoscc%2Ffull-record%2FWOS:000953513200001","View Full Record in Web of Science")</f>
        <v>View Full Record in Web of Science</v>
      </c>
    </row>
    <row r="1132" spans="1:72" x14ac:dyDescent="0.25">
      <c r="A1132" t="s">
        <v>72</v>
      </c>
      <c r="B1132" t="s">
        <v>19121</v>
      </c>
      <c r="C1132" t="s">
        <v>74</v>
      </c>
      <c r="D1132" t="s">
        <v>74</v>
      </c>
      <c r="E1132" t="s">
        <v>74</v>
      </c>
      <c r="F1132" t="s">
        <v>19122</v>
      </c>
      <c r="G1132" t="s">
        <v>74</v>
      </c>
      <c r="H1132" t="s">
        <v>74</v>
      </c>
      <c r="I1132" t="s">
        <v>19123</v>
      </c>
      <c r="J1132" t="s">
        <v>19124</v>
      </c>
      <c r="K1132" t="s">
        <v>74</v>
      </c>
      <c r="L1132" t="s">
        <v>74</v>
      </c>
      <c r="M1132" t="s">
        <v>77</v>
      </c>
      <c r="N1132" t="s">
        <v>78</v>
      </c>
      <c r="O1132" t="s">
        <v>74</v>
      </c>
      <c r="P1132" t="s">
        <v>74</v>
      </c>
      <c r="Q1132" t="s">
        <v>74</v>
      </c>
      <c r="R1132" t="s">
        <v>74</v>
      </c>
      <c r="S1132" t="s">
        <v>74</v>
      </c>
      <c r="T1132" t="s">
        <v>74</v>
      </c>
      <c r="U1132" t="s">
        <v>19125</v>
      </c>
      <c r="V1132" t="s">
        <v>19126</v>
      </c>
      <c r="W1132" t="s">
        <v>19127</v>
      </c>
      <c r="X1132" t="s">
        <v>19128</v>
      </c>
      <c r="Y1132" t="s">
        <v>19129</v>
      </c>
      <c r="Z1132" t="s">
        <v>19130</v>
      </c>
      <c r="AA1132" t="s">
        <v>74</v>
      </c>
      <c r="AB1132" t="s">
        <v>74</v>
      </c>
      <c r="AC1132" t="s">
        <v>19131</v>
      </c>
      <c r="AD1132" t="s">
        <v>19132</v>
      </c>
      <c r="AE1132" t="s">
        <v>19133</v>
      </c>
      <c r="AF1132" t="s">
        <v>74</v>
      </c>
      <c r="AG1132">
        <v>24</v>
      </c>
      <c r="AH1132">
        <v>0</v>
      </c>
      <c r="AI1132">
        <v>0</v>
      </c>
      <c r="AJ1132">
        <v>2</v>
      </c>
      <c r="AK1132">
        <v>2</v>
      </c>
      <c r="AL1132" t="s">
        <v>7063</v>
      </c>
      <c r="AM1132" t="s">
        <v>541</v>
      </c>
      <c r="AN1132" t="s">
        <v>7064</v>
      </c>
      <c r="AO1132" t="s">
        <v>19134</v>
      </c>
      <c r="AP1132" t="s">
        <v>19135</v>
      </c>
      <c r="AQ1132" t="s">
        <v>74</v>
      </c>
      <c r="AR1132" t="s">
        <v>19124</v>
      </c>
      <c r="AS1132" t="s">
        <v>19136</v>
      </c>
      <c r="AT1132" t="s">
        <v>19137</v>
      </c>
      <c r="AU1132">
        <v>2023</v>
      </c>
      <c r="AV1132">
        <v>2023</v>
      </c>
      <c r="AW1132" t="s">
        <v>74</v>
      </c>
      <c r="AX1132" t="s">
        <v>74</v>
      </c>
      <c r="AY1132" t="s">
        <v>74</v>
      </c>
      <c r="AZ1132" t="s">
        <v>74</v>
      </c>
      <c r="BA1132" t="s">
        <v>74</v>
      </c>
      <c r="BB1132" t="s">
        <v>74</v>
      </c>
      <c r="BC1132" t="s">
        <v>74</v>
      </c>
      <c r="BD1132">
        <v>6773087</v>
      </c>
      <c r="BE1132" t="s">
        <v>19138</v>
      </c>
      <c r="BF1132" t="str">
        <f>HYPERLINK("http://dx.doi.org/10.1155/2023/6773087","http://dx.doi.org/10.1155/2023/6773087")</f>
        <v>http://dx.doi.org/10.1155/2023/6773087</v>
      </c>
      <c r="BG1132" t="s">
        <v>74</v>
      </c>
      <c r="BH1132" t="s">
        <v>74</v>
      </c>
      <c r="BI1132">
        <v>9</v>
      </c>
      <c r="BJ1132" t="s">
        <v>15988</v>
      </c>
      <c r="BK1132" t="s">
        <v>283</v>
      </c>
      <c r="BL1132" t="s">
        <v>15989</v>
      </c>
      <c r="BM1132" t="s">
        <v>19139</v>
      </c>
      <c r="BN1132" t="s">
        <v>74</v>
      </c>
      <c r="BO1132" t="s">
        <v>2482</v>
      </c>
      <c r="BP1132" t="s">
        <v>74</v>
      </c>
      <c r="BQ1132" t="s">
        <v>74</v>
      </c>
      <c r="BR1132" t="s">
        <v>97</v>
      </c>
      <c r="BS1132" t="s">
        <v>19140</v>
      </c>
      <c r="BT1132" t="str">
        <f>HYPERLINK("https%3A%2F%2Fwww.webofscience.com%2Fwos%2Fwoscc%2Ffull-record%2FWOS:000946872800001","View Full Record in Web of Science")</f>
        <v>View Full Record in Web of Science</v>
      </c>
    </row>
    <row r="1133" spans="1:72" x14ac:dyDescent="0.25">
      <c r="A1133" t="s">
        <v>72</v>
      </c>
      <c r="B1133" t="s">
        <v>19141</v>
      </c>
      <c r="C1133" t="s">
        <v>74</v>
      </c>
      <c r="D1133" t="s">
        <v>74</v>
      </c>
      <c r="E1133" t="s">
        <v>74</v>
      </c>
      <c r="F1133" t="s">
        <v>19142</v>
      </c>
      <c r="G1133" t="s">
        <v>74</v>
      </c>
      <c r="H1133" t="s">
        <v>74</v>
      </c>
      <c r="I1133" t="s">
        <v>19143</v>
      </c>
      <c r="J1133" t="s">
        <v>2326</v>
      </c>
      <c r="K1133" t="s">
        <v>74</v>
      </c>
      <c r="L1133" t="s">
        <v>74</v>
      </c>
      <c r="M1133" t="s">
        <v>77</v>
      </c>
      <c r="N1133" t="s">
        <v>78</v>
      </c>
      <c r="O1133" t="s">
        <v>74</v>
      </c>
      <c r="P1133" t="s">
        <v>74</v>
      </c>
      <c r="Q1133" t="s">
        <v>74</v>
      </c>
      <c r="R1133" t="s">
        <v>74</v>
      </c>
      <c r="S1133" t="s">
        <v>74</v>
      </c>
      <c r="T1133" t="s">
        <v>19144</v>
      </c>
      <c r="U1133" t="s">
        <v>19145</v>
      </c>
      <c r="V1133" t="s">
        <v>19146</v>
      </c>
      <c r="W1133" t="s">
        <v>19147</v>
      </c>
      <c r="X1133" t="s">
        <v>19148</v>
      </c>
      <c r="Y1133" t="s">
        <v>19149</v>
      </c>
      <c r="Z1133" t="s">
        <v>19150</v>
      </c>
      <c r="AA1133" t="s">
        <v>74</v>
      </c>
      <c r="AB1133" t="s">
        <v>74</v>
      </c>
      <c r="AC1133" t="s">
        <v>74</v>
      </c>
      <c r="AD1133" t="s">
        <v>74</v>
      </c>
      <c r="AE1133" t="s">
        <v>74</v>
      </c>
      <c r="AF1133" t="s">
        <v>74</v>
      </c>
      <c r="AG1133">
        <v>91</v>
      </c>
      <c r="AH1133">
        <v>0</v>
      </c>
      <c r="AI1133">
        <v>0</v>
      </c>
      <c r="AJ1133">
        <v>2</v>
      </c>
      <c r="AK1133">
        <v>2</v>
      </c>
      <c r="AL1133" t="s">
        <v>434</v>
      </c>
      <c r="AM1133" t="s">
        <v>435</v>
      </c>
      <c r="AN1133" t="s">
        <v>436</v>
      </c>
      <c r="AO1133" t="s">
        <v>2330</v>
      </c>
      <c r="AP1133" t="s">
        <v>4166</v>
      </c>
      <c r="AQ1133" t="s">
        <v>74</v>
      </c>
      <c r="AR1133" t="s">
        <v>2326</v>
      </c>
      <c r="AS1133" t="s">
        <v>2331</v>
      </c>
      <c r="AT1133" t="s">
        <v>165</v>
      </c>
      <c r="AU1133">
        <v>2023</v>
      </c>
      <c r="AV1133">
        <v>123</v>
      </c>
      <c r="AW1133" t="s">
        <v>74</v>
      </c>
      <c r="AX1133" t="s">
        <v>74</v>
      </c>
      <c r="AY1133" t="s">
        <v>74</v>
      </c>
      <c r="AZ1133" t="s">
        <v>74</v>
      </c>
      <c r="BA1133" t="s">
        <v>74</v>
      </c>
      <c r="BB1133" t="s">
        <v>74</v>
      </c>
      <c r="BC1133" t="s">
        <v>74</v>
      </c>
      <c r="BD1133">
        <v>102723</v>
      </c>
      <c r="BE1133" t="s">
        <v>19151</v>
      </c>
      <c r="BF1133" t="str">
        <f>HYPERLINK("http://dx.doi.org/10.1016/j.technovation.2023.102723","http://dx.doi.org/10.1016/j.technovation.2023.102723")</f>
        <v>http://dx.doi.org/10.1016/j.technovation.2023.102723</v>
      </c>
      <c r="BG1133" t="s">
        <v>74</v>
      </c>
      <c r="BH1133" t="s">
        <v>18950</v>
      </c>
      <c r="BI1133">
        <v>12</v>
      </c>
      <c r="BJ1133" t="s">
        <v>2333</v>
      </c>
      <c r="BK1133" t="s">
        <v>147</v>
      </c>
      <c r="BL1133" t="s">
        <v>1481</v>
      </c>
      <c r="BM1133" t="s">
        <v>19152</v>
      </c>
      <c r="BN1133" t="s">
        <v>74</v>
      </c>
      <c r="BO1133" t="s">
        <v>74</v>
      </c>
      <c r="BP1133" t="s">
        <v>74</v>
      </c>
      <c r="BQ1133" t="s">
        <v>74</v>
      </c>
      <c r="BR1133" t="s">
        <v>97</v>
      </c>
      <c r="BS1133" t="s">
        <v>19153</v>
      </c>
      <c r="BT1133" t="str">
        <f>HYPERLINK("https%3A%2F%2Fwww.webofscience.com%2Fwos%2Fwoscc%2Ffull-record%2FWOS:000953063000001","View Full Record in Web of Science")</f>
        <v>View Full Record in Web of Science</v>
      </c>
    </row>
    <row r="1134" spans="1:72" x14ac:dyDescent="0.25">
      <c r="A1134" t="s">
        <v>72</v>
      </c>
      <c r="B1134" t="s">
        <v>19154</v>
      </c>
      <c r="C1134" t="s">
        <v>74</v>
      </c>
      <c r="D1134" t="s">
        <v>74</v>
      </c>
      <c r="E1134" t="s">
        <v>74</v>
      </c>
      <c r="F1134" t="s">
        <v>19155</v>
      </c>
      <c r="G1134" t="s">
        <v>74</v>
      </c>
      <c r="H1134" t="s">
        <v>74</v>
      </c>
      <c r="I1134" t="s">
        <v>19156</v>
      </c>
      <c r="J1134" t="s">
        <v>4464</v>
      </c>
      <c r="K1134" t="s">
        <v>74</v>
      </c>
      <c r="L1134" t="s">
        <v>74</v>
      </c>
      <c r="M1134" t="s">
        <v>77</v>
      </c>
      <c r="N1134" t="s">
        <v>78</v>
      </c>
      <c r="O1134" t="s">
        <v>74</v>
      </c>
      <c r="P1134" t="s">
        <v>74</v>
      </c>
      <c r="Q1134" t="s">
        <v>74</v>
      </c>
      <c r="R1134" t="s">
        <v>74</v>
      </c>
      <c r="S1134" t="s">
        <v>74</v>
      </c>
      <c r="T1134" t="s">
        <v>19157</v>
      </c>
      <c r="U1134" t="s">
        <v>19158</v>
      </c>
      <c r="V1134" t="s">
        <v>19159</v>
      </c>
      <c r="W1134" t="s">
        <v>19160</v>
      </c>
      <c r="X1134" t="s">
        <v>19161</v>
      </c>
      <c r="Y1134" t="s">
        <v>19162</v>
      </c>
      <c r="Z1134" t="s">
        <v>19163</v>
      </c>
      <c r="AA1134" t="s">
        <v>74</v>
      </c>
      <c r="AB1134" t="s">
        <v>19164</v>
      </c>
      <c r="AC1134" t="s">
        <v>74</v>
      </c>
      <c r="AD1134" t="s">
        <v>74</v>
      </c>
      <c r="AE1134" t="s">
        <v>74</v>
      </c>
      <c r="AF1134" t="s">
        <v>74</v>
      </c>
      <c r="AG1134">
        <v>52</v>
      </c>
      <c r="AH1134">
        <v>0</v>
      </c>
      <c r="AI1134">
        <v>0</v>
      </c>
      <c r="AJ1134">
        <v>17</v>
      </c>
      <c r="AK1134">
        <v>17</v>
      </c>
      <c r="AL1134" t="s">
        <v>602</v>
      </c>
      <c r="AM1134" t="s">
        <v>160</v>
      </c>
      <c r="AN1134" t="s">
        <v>603</v>
      </c>
      <c r="AO1134" t="s">
        <v>4474</v>
      </c>
      <c r="AP1134" t="s">
        <v>4475</v>
      </c>
      <c r="AQ1134" t="s">
        <v>74</v>
      </c>
      <c r="AR1134" t="s">
        <v>4476</v>
      </c>
      <c r="AS1134" t="s">
        <v>4477</v>
      </c>
      <c r="AT1134" t="s">
        <v>200</v>
      </c>
      <c r="AU1134">
        <v>2023</v>
      </c>
      <c r="AV1134">
        <v>47</v>
      </c>
      <c r="AW1134" t="s">
        <v>74</v>
      </c>
      <c r="AX1134" t="s">
        <v>74</v>
      </c>
      <c r="AY1134" t="s">
        <v>74</v>
      </c>
      <c r="AZ1134" t="s">
        <v>74</v>
      </c>
      <c r="BA1134" t="s">
        <v>74</v>
      </c>
      <c r="BB1134" t="s">
        <v>74</v>
      </c>
      <c r="BC1134" t="s">
        <v>74</v>
      </c>
      <c r="BD1134">
        <v>101201</v>
      </c>
      <c r="BE1134" t="s">
        <v>19165</v>
      </c>
      <c r="BF1134" t="str">
        <f>HYPERLINK("http://dx.doi.org/10.1016/j.tsc.2022.101201","http://dx.doi.org/10.1016/j.tsc.2022.101201")</f>
        <v>http://dx.doi.org/10.1016/j.tsc.2022.101201</v>
      </c>
      <c r="BG1134" t="s">
        <v>74</v>
      </c>
      <c r="BH1134" t="s">
        <v>74</v>
      </c>
      <c r="BI1134">
        <v>12</v>
      </c>
      <c r="BJ1134" t="s">
        <v>815</v>
      </c>
      <c r="BK1134" t="s">
        <v>94</v>
      </c>
      <c r="BL1134" t="s">
        <v>815</v>
      </c>
      <c r="BM1134" t="s">
        <v>19166</v>
      </c>
      <c r="BN1134" t="s">
        <v>74</v>
      </c>
      <c r="BO1134" t="s">
        <v>74</v>
      </c>
      <c r="BP1134" t="s">
        <v>74</v>
      </c>
      <c r="BQ1134" t="s">
        <v>74</v>
      </c>
      <c r="BR1134" t="s">
        <v>97</v>
      </c>
      <c r="BS1134" t="s">
        <v>19167</v>
      </c>
      <c r="BT1134" t="str">
        <f>HYPERLINK("https%3A%2F%2Fwww.webofscience.com%2Fwos%2Fwoscc%2Ffull-record%2FWOS:000898072700001","View Full Record in Web of Science")</f>
        <v>View Full Record in Web of Science</v>
      </c>
    </row>
    <row r="1135" spans="1:72" x14ac:dyDescent="0.25">
      <c r="A1135" t="s">
        <v>72</v>
      </c>
      <c r="B1135" t="s">
        <v>19168</v>
      </c>
      <c r="C1135" t="s">
        <v>74</v>
      </c>
      <c r="D1135" t="s">
        <v>74</v>
      </c>
      <c r="E1135" t="s">
        <v>74</v>
      </c>
      <c r="F1135" t="s">
        <v>19169</v>
      </c>
      <c r="G1135" t="s">
        <v>74</v>
      </c>
      <c r="H1135" t="s">
        <v>74</v>
      </c>
      <c r="I1135" t="s">
        <v>19170</v>
      </c>
      <c r="J1135" t="s">
        <v>10561</v>
      </c>
      <c r="K1135" t="s">
        <v>74</v>
      </c>
      <c r="L1135" t="s">
        <v>74</v>
      </c>
      <c r="M1135" t="s">
        <v>77</v>
      </c>
      <c r="N1135" t="s">
        <v>78</v>
      </c>
      <c r="O1135" t="s">
        <v>74</v>
      </c>
      <c r="P1135" t="s">
        <v>74</v>
      </c>
      <c r="Q1135" t="s">
        <v>74</v>
      </c>
      <c r="R1135" t="s">
        <v>74</v>
      </c>
      <c r="S1135" t="s">
        <v>74</v>
      </c>
      <c r="T1135" t="s">
        <v>19171</v>
      </c>
      <c r="U1135" t="s">
        <v>19172</v>
      </c>
      <c r="V1135" t="s">
        <v>19173</v>
      </c>
      <c r="W1135" t="s">
        <v>19174</v>
      </c>
      <c r="X1135" t="s">
        <v>19175</v>
      </c>
      <c r="Y1135" t="s">
        <v>15946</v>
      </c>
      <c r="Z1135" t="s">
        <v>15947</v>
      </c>
      <c r="AA1135" t="s">
        <v>74</v>
      </c>
      <c r="AB1135" t="s">
        <v>74</v>
      </c>
      <c r="AC1135" t="s">
        <v>74</v>
      </c>
      <c r="AD1135" t="s">
        <v>74</v>
      </c>
      <c r="AE1135" t="s">
        <v>74</v>
      </c>
      <c r="AF1135" t="s">
        <v>74</v>
      </c>
      <c r="AG1135">
        <v>45</v>
      </c>
      <c r="AH1135">
        <v>0</v>
      </c>
      <c r="AI1135">
        <v>0</v>
      </c>
      <c r="AJ1135">
        <v>2</v>
      </c>
      <c r="AK1135">
        <v>2</v>
      </c>
      <c r="AL1135" t="s">
        <v>2473</v>
      </c>
      <c r="AM1135" t="s">
        <v>2102</v>
      </c>
      <c r="AN1135" t="s">
        <v>2474</v>
      </c>
      <c r="AO1135" t="s">
        <v>74</v>
      </c>
      <c r="AP1135" t="s">
        <v>10570</v>
      </c>
      <c r="AQ1135" t="s">
        <v>74</v>
      </c>
      <c r="AR1135" t="s">
        <v>10571</v>
      </c>
      <c r="AS1135" t="s">
        <v>10572</v>
      </c>
      <c r="AT1135" t="s">
        <v>200</v>
      </c>
      <c r="AU1135">
        <v>2023</v>
      </c>
      <c r="AV1135">
        <v>13</v>
      </c>
      <c r="AW1135">
        <v>3</v>
      </c>
      <c r="AX1135" t="s">
        <v>74</v>
      </c>
      <c r="AY1135" t="s">
        <v>74</v>
      </c>
      <c r="AZ1135" t="s">
        <v>74</v>
      </c>
      <c r="BA1135" t="s">
        <v>74</v>
      </c>
      <c r="BB1135" t="s">
        <v>74</v>
      </c>
      <c r="BC1135" t="s">
        <v>74</v>
      </c>
      <c r="BD1135">
        <v>219</v>
      </c>
      <c r="BE1135" t="s">
        <v>19176</v>
      </c>
      <c r="BF1135" t="str">
        <f>HYPERLINK("http://dx.doi.org/10.3390/bs13030219","http://dx.doi.org/10.3390/bs13030219")</f>
        <v>http://dx.doi.org/10.3390/bs13030219</v>
      </c>
      <c r="BG1135" t="s">
        <v>74</v>
      </c>
      <c r="BH1135" t="s">
        <v>74</v>
      </c>
      <c r="BI1135">
        <v>15</v>
      </c>
      <c r="BJ1135" t="s">
        <v>3203</v>
      </c>
      <c r="BK1135" t="s">
        <v>94</v>
      </c>
      <c r="BL1135" t="s">
        <v>460</v>
      </c>
      <c r="BM1135" t="s">
        <v>19177</v>
      </c>
      <c r="BN1135">
        <v>36975244</v>
      </c>
      <c r="BO1135" t="s">
        <v>3205</v>
      </c>
      <c r="BP1135" t="s">
        <v>74</v>
      </c>
      <c r="BQ1135" t="s">
        <v>74</v>
      </c>
      <c r="BR1135" t="s">
        <v>97</v>
      </c>
      <c r="BS1135" t="s">
        <v>19178</v>
      </c>
      <c r="BT1135" t="str">
        <f>HYPERLINK("https%3A%2F%2Fwww.webofscience.com%2Fwos%2Fwoscc%2Ffull-record%2FWOS:000955058600001","View Full Record in Web of Science")</f>
        <v>View Full Record in Web of Science</v>
      </c>
    </row>
    <row r="1136" spans="1:72" x14ac:dyDescent="0.25">
      <c r="A1136" t="s">
        <v>72</v>
      </c>
      <c r="B1136" t="s">
        <v>19179</v>
      </c>
      <c r="C1136" t="s">
        <v>74</v>
      </c>
      <c r="D1136" t="s">
        <v>74</v>
      </c>
      <c r="E1136" t="s">
        <v>74</v>
      </c>
      <c r="F1136" t="s">
        <v>19180</v>
      </c>
      <c r="G1136" t="s">
        <v>74</v>
      </c>
      <c r="H1136" t="s">
        <v>74</v>
      </c>
      <c r="I1136" t="s">
        <v>19181</v>
      </c>
      <c r="J1136" t="s">
        <v>2059</v>
      </c>
      <c r="K1136" t="s">
        <v>74</v>
      </c>
      <c r="L1136" t="s">
        <v>74</v>
      </c>
      <c r="M1136" t="s">
        <v>77</v>
      </c>
      <c r="N1136" t="s">
        <v>78</v>
      </c>
      <c r="O1136" t="s">
        <v>74</v>
      </c>
      <c r="P1136" t="s">
        <v>74</v>
      </c>
      <c r="Q1136" t="s">
        <v>74</v>
      </c>
      <c r="R1136" t="s">
        <v>74</v>
      </c>
      <c r="S1136" t="s">
        <v>74</v>
      </c>
      <c r="T1136" t="s">
        <v>19182</v>
      </c>
      <c r="U1136" t="s">
        <v>19183</v>
      </c>
      <c r="V1136" t="s">
        <v>19184</v>
      </c>
      <c r="W1136" t="s">
        <v>19185</v>
      </c>
      <c r="X1136" t="s">
        <v>19186</v>
      </c>
      <c r="Y1136" t="s">
        <v>19187</v>
      </c>
      <c r="Z1136" t="s">
        <v>19188</v>
      </c>
      <c r="AA1136" t="s">
        <v>74</v>
      </c>
      <c r="AB1136" t="s">
        <v>74</v>
      </c>
      <c r="AC1136" t="s">
        <v>74</v>
      </c>
      <c r="AD1136" t="s">
        <v>74</v>
      </c>
      <c r="AE1136" t="s">
        <v>74</v>
      </c>
      <c r="AF1136" t="s">
        <v>74</v>
      </c>
      <c r="AG1136">
        <v>28</v>
      </c>
      <c r="AH1136">
        <v>0</v>
      </c>
      <c r="AI1136">
        <v>0</v>
      </c>
      <c r="AJ1136">
        <v>0</v>
      </c>
      <c r="AK1136">
        <v>0</v>
      </c>
      <c r="AL1136" t="s">
        <v>2067</v>
      </c>
      <c r="AM1136" t="s">
        <v>2068</v>
      </c>
      <c r="AN1136" t="s">
        <v>2069</v>
      </c>
      <c r="AO1136" t="s">
        <v>2070</v>
      </c>
      <c r="AP1136" t="s">
        <v>2071</v>
      </c>
      <c r="AQ1136" t="s">
        <v>74</v>
      </c>
      <c r="AR1136" t="s">
        <v>2072</v>
      </c>
      <c r="AS1136" t="s">
        <v>2073</v>
      </c>
      <c r="AT1136" t="s">
        <v>200</v>
      </c>
      <c r="AU1136">
        <v>2023</v>
      </c>
      <c r="AV1136">
        <v>51</v>
      </c>
      <c r="AW1136">
        <v>3</v>
      </c>
      <c r="AX1136" t="s">
        <v>74</v>
      </c>
      <c r="AY1136" t="s">
        <v>74</v>
      </c>
      <c r="AZ1136" t="s">
        <v>74</v>
      </c>
      <c r="BA1136" t="s">
        <v>74</v>
      </c>
      <c r="BB1136" t="s">
        <v>74</v>
      </c>
      <c r="BC1136" t="s">
        <v>74</v>
      </c>
      <c r="BD1136" t="s">
        <v>19189</v>
      </c>
      <c r="BE1136" t="s">
        <v>19190</v>
      </c>
      <c r="BF1136" t="str">
        <f>HYPERLINK("http://dx.doi.org/10.2224/sbp.12071","http://dx.doi.org/10.2224/sbp.12071")</f>
        <v>http://dx.doi.org/10.2224/sbp.12071</v>
      </c>
      <c r="BG1136" t="s">
        <v>74</v>
      </c>
      <c r="BH1136" t="s">
        <v>74</v>
      </c>
      <c r="BI1136">
        <v>12</v>
      </c>
      <c r="BJ1136" t="s">
        <v>459</v>
      </c>
      <c r="BK1136" t="s">
        <v>94</v>
      </c>
      <c r="BL1136" t="s">
        <v>460</v>
      </c>
      <c r="BM1136" t="s">
        <v>19191</v>
      </c>
      <c r="BN1136" t="s">
        <v>74</v>
      </c>
      <c r="BO1136" t="s">
        <v>74</v>
      </c>
      <c r="BP1136" t="s">
        <v>74</v>
      </c>
      <c r="BQ1136" t="s">
        <v>74</v>
      </c>
      <c r="BR1136" t="s">
        <v>97</v>
      </c>
      <c r="BS1136" t="s">
        <v>19192</v>
      </c>
      <c r="BT1136" t="str">
        <f>HYPERLINK("https%3A%2F%2Fwww.webofscience.com%2Fwos%2Fwoscc%2Ffull-record%2FWOS:000970426800003","View Full Record in Web of Science")</f>
        <v>View Full Record in Web of Science</v>
      </c>
    </row>
    <row r="1137" spans="1:72" x14ac:dyDescent="0.25">
      <c r="A1137" t="s">
        <v>72</v>
      </c>
      <c r="B1137" t="s">
        <v>19193</v>
      </c>
      <c r="C1137" t="s">
        <v>74</v>
      </c>
      <c r="D1137" t="s">
        <v>74</v>
      </c>
      <c r="E1137" t="s">
        <v>74</v>
      </c>
      <c r="F1137" t="s">
        <v>19194</v>
      </c>
      <c r="G1137" t="s">
        <v>74</v>
      </c>
      <c r="H1137" t="s">
        <v>74</v>
      </c>
      <c r="I1137" t="s">
        <v>19195</v>
      </c>
      <c r="J1137" t="s">
        <v>19196</v>
      </c>
      <c r="K1137" t="s">
        <v>74</v>
      </c>
      <c r="L1137" t="s">
        <v>74</v>
      </c>
      <c r="M1137" t="s">
        <v>77</v>
      </c>
      <c r="N1137" t="s">
        <v>10095</v>
      </c>
      <c r="O1137" t="s">
        <v>74</v>
      </c>
      <c r="P1137" t="s">
        <v>74</v>
      </c>
      <c r="Q1137" t="s">
        <v>74</v>
      </c>
      <c r="R1137" t="s">
        <v>74</v>
      </c>
      <c r="S1137" t="s">
        <v>74</v>
      </c>
      <c r="T1137" t="s">
        <v>19197</v>
      </c>
      <c r="U1137" t="s">
        <v>19198</v>
      </c>
      <c r="V1137" t="s">
        <v>19199</v>
      </c>
      <c r="W1137" t="s">
        <v>19200</v>
      </c>
      <c r="X1137" t="s">
        <v>19201</v>
      </c>
      <c r="Y1137" t="s">
        <v>19202</v>
      </c>
      <c r="Z1137" t="s">
        <v>19203</v>
      </c>
      <c r="AA1137" t="s">
        <v>74</v>
      </c>
      <c r="AB1137" t="s">
        <v>74</v>
      </c>
      <c r="AC1137" t="s">
        <v>19204</v>
      </c>
      <c r="AD1137" t="s">
        <v>13371</v>
      </c>
      <c r="AE1137" t="s">
        <v>19205</v>
      </c>
      <c r="AF1137" t="s">
        <v>74</v>
      </c>
      <c r="AG1137">
        <v>171</v>
      </c>
      <c r="AH1137">
        <v>0</v>
      </c>
      <c r="AI1137">
        <v>0</v>
      </c>
      <c r="AJ1137">
        <v>6</v>
      </c>
      <c r="AK1137">
        <v>6</v>
      </c>
      <c r="AL1137" t="s">
        <v>1099</v>
      </c>
      <c r="AM1137" t="s">
        <v>305</v>
      </c>
      <c r="AN1137" t="s">
        <v>1100</v>
      </c>
      <c r="AO1137" t="s">
        <v>19206</v>
      </c>
      <c r="AP1137" t="s">
        <v>19207</v>
      </c>
      <c r="AQ1137" t="s">
        <v>74</v>
      </c>
      <c r="AR1137" t="s">
        <v>19208</v>
      </c>
      <c r="AS1137" t="s">
        <v>19209</v>
      </c>
      <c r="AT1137" t="s">
        <v>74</v>
      </c>
      <c r="AU1137" t="s">
        <v>74</v>
      </c>
      <c r="AV1137" t="s">
        <v>74</v>
      </c>
      <c r="AW1137" t="s">
        <v>74</v>
      </c>
      <c r="AX1137" t="s">
        <v>74</v>
      </c>
      <c r="AY1137" t="s">
        <v>74</v>
      </c>
      <c r="AZ1137" t="s">
        <v>74</v>
      </c>
      <c r="BA1137" t="s">
        <v>74</v>
      </c>
      <c r="BB1137" t="s">
        <v>74</v>
      </c>
      <c r="BC1137" t="s">
        <v>74</v>
      </c>
      <c r="BD1137" t="s">
        <v>74</v>
      </c>
      <c r="BE1137" t="s">
        <v>19210</v>
      </c>
      <c r="BF1137" t="str">
        <f>HYPERLINK("http://dx.doi.org/10.1080/1062726X.2023.2181814","http://dx.doi.org/10.1080/1062726X.2023.2181814")</f>
        <v>http://dx.doi.org/10.1080/1062726X.2023.2181814</v>
      </c>
      <c r="BG1137" t="s">
        <v>74</v>
      </c>
      <c r="BH1137" t="s">
        <v>19211</v>
      </c>
      <c r="BI1137">
        <v>22</v>
      </c>
      <c r="BJ1137" t="s">
        <v>19212</v>
      </c>
      <c r="BK1137" t="s">
        <v>94</v>
      </c>
      <c r="BL1137" t="s">
        <v>19212</v>
      </c>
      <c r="BM1137" t="s">
        <v>19213</v>
      </c>
      <c r="BN1137" t="s">
        <v>74</v>
      </c>
      <c r="BO1137" t="s">
        <v>74</v>
      </c>
      <c r="BP1137" t="s">
        <v>74</v>
      </c>
      <c r="BQ1137" t="s">
        <v>74</v>
      </c>
      <c r="BR1137" t="s">
        <v>97</v>
      </c>
      <c r="BS1137" t="s">
        <v>19214</v>
      </c>
      <c r="BT1137" t="str">
        <f>HYPERLINK("https%3A%2F%2Fwww.webofscience.com%2Fwos%2Fwoscc%2Ffull-record%2FWOS:000941964600001","View Full Record in Web of Science")</f>
        <v>View Full Record in Web of Science</v>
      </c>
    </row>
    <row r="1138" spans="1:72" x14ac:dyDescent="0.25">
      <c r="A1138" t="s">
        <v>72</v>
      </c>
      <c r="B1138" t="s">
        <v>19215</v>
      </c>
      <c r="C1138" t="s">
        <v>74</v>
      </c>
      <c r="D1138" t="s">
        <v>74</v>
      </c>
      <c r="E1138" t="s">
        <v>74</v>
      </c>
      <c r="F1138" t="s">
        <v>19216</v>
      </c>
      <c r="G1138" t="s">
        <v>74</v>
      </c>
      <c r="H1138" t="s">
        <v>74</v>
      </c>
      <c r="I1138" t="s">
        <v>19217</v>
      </c>
      <c r="J1138" t="s">
        <v>3184</v>
      </c>
      <c r="K1138" t="s">
        <v>74</v>
      </c>
      <c r="L1138" t="s">
        <v>74</v>
      </c>
      <c r="M1138" t="s">
        <v>77</v>
      </c>
      <c r="N1138" t="s">
        <v>78</v>
      </c>
      <c r="O1138" t="s">
        <v>74</v>
      </c>
      <c r="P1138" t="s">
        <v>74</v>
      </c>
      <c r="Q1138" t="s">
        <v>74</v>
      </c>
      <c r="R1138" t="s">
        <v>74</v>
      </c>
      <c r="S1138" t="s">
        <v>74</v>
      </c>
      <c r="T1138" t="s">
        <v>19218</v>
      </c>
      <c r="U1138" t="s">
        <v>19219</v>
      </c>
      <c r="V1138" t="s">
        <v>19220</v>
      </c>
      <c r="W1138" t="s">
        <v>19221</v>
      </c>
      <c r="X1138" t="s">
        <v>19222</v>
      </c>
      <c r="Y1138" t="s">
        <v>19223</v>
      </c>
      <c r="Z1138" t="s">
        <v>19224</v>
      </c>
      <c r="AA1138" t="s">
        <v>74</v>
      </c>
      <c r="AB1138" t="s">
        <v>74</v>
      </c>
      <c r="AC1138" t="s">
        <v>19225</v>
      </c>
      <c r="AD1138" t="s">
        <v>19226</v>
      </c>
      <c r="AE1138" t="s">
        <v>19227</v>
      </c>
      <c r="AF1138" t="s">
        <v>74</v>
      </c>
      <c r="AG1138">
        <v>60</v>
      </c>
      <c r="AH1138">
        <v>0</v>
      </c>
      <c r="AI1138">
        <v>0</v>
      </c>
      <c r="AJ1138">
        <v>7</v>
      </c>
      <c r="AK1138">
        <v>7</v>
      </c>
      <c r="AL1138" t="s">
        <v>3195</v>
      </c>
      <c r="AM1138" t="s">
        <v>3196</v>
      </c>
      <c r="AN1138" t="s">
        <v>3197</v>
      </c>
      <c r="AO1138" t="s">
        <v>3198</v>
      </c>
      <c r="AP1138" t="s">
        <v>74</v>
      </c>
      <c r="AQ1138" t="s">
        <v>74</v>
      </c>
      <c r="AR1138" t="s">
        <v>3199</v>
      </c>
      <c r="AS1138" t="s">
        <v>3200</v>
      </c>
      <c r="AT1138" t="s">
        <v>15252</v>
      </c>
      <c r="AU1138">
        <v>2023</v>
      </c>
      <c r="AV1138">
        <v>14</v>
      </c>
      <c r="AW1138" t="s">
        <v>74</v>
      </c>
      <c r="AX1138" t="s">
        <v>74</v>
      </c>
      <c r="AY1138" t="s">
        <v>74</v>
      </c>
      <c r="AZ1138" t="s">
        <v>74</v>
      </c>
      <c r="BA1138" t="s">
        <v>74</v>
      </c>
      <c r="BB1138" t="s">
        <v>74</v>
      </c>
      <c r="BC1138" t="s">
        <v>74</v>
      </c>
      <c r="BD1138">
        <v>1071457</v>
      </c>
      <c r="BE1138" t="s">
        <v>19228</v>
      </c>
      <c r="BF1138" t="str">
        <f>HYPERLINK("http://dx.doi.org/10.3389/fpsyg.2023.1071457","http://dx.doi.org/10.3389/fpsyg.2023.1071457")</f>
        <v>http://dx.doi.org/10.3389/fpsyg.2023.1071457</v>
      </c>
      <c r="BG1138" t="s">
        <v>74</v>
      </c>
      <c r="BH1138" t="s">
        <v>74</v>
      </c>
      <c r="BI1138">
        <v>10</v>
      </c>
      <c r="BJ1138" t="s">
        <v>3203</v>
      </c>
      <c r="BK1138" t="s">
        <v>94</v>
      </c>
      <c r="BL1138" t="s">
        <v>460</v>
      </c>
      <c r="BM1138" t="s">
        <v>19229</v>
      </c>
      <c r="BN1138">
        <v>36910833</v>
      </c>
      <c r="BO1138" t="s">
        <v>4398</v>
      </c>
      <c r="BP1138" t="s">
        <v>74</v>
      </c>
      <c r="BQ1138" t="s">
        <v>74</v>
      </c>
      <c r="BR1138" t="s">
        <v>97</v>
      </c>
      <c r="BS1138" t="s">
        <v>19230</v>
      </c>
      <c r="BT1138" t="str">
        <f>HYPERLINK("https%3A%2F%2Fwww.webofscience.com%2Fwos%2Fwoscc%2Ffull-record%2FWOS:000953469100001","View Full Record in Web of Science")</f>
        <v>View Full Record in Web of Science</v>
      </c>
    </row>
    <row r="1139" spans="1:72" x14ac:dyDescent="0.25">
      <c r="A1139" t="s">
        <v>72</v>
      </c>
      <c r="B1139" t="s">
        <v>19231</v>
      </c>
      <c r="C1139" t="s">
        <v>74</v>
      </c>
      <c r="D1139" t="s">
        <v>74</v>
      </c>
      <c r="E1139" t="s">
        <v>74</v>
      </c>
      <c r="F1139" t="s">
        <v>19232</v>
      </c>
      <c r="G1139" t="s">
        <v>74</v>
      </c>
      <c r="H1139" t="s">
        <v>74</v>
      </c>
      <c r="I1139" t="s">
        <v>19233</v>
      </c>
      <c r="J1139" t="s">
        <v>485</v>
      </c>
      <c r="K1139" t="s">
        <v>74</v>
      </c>
      <c r="L1139" t="s">
        <v>74</v>
      </c>
      <c r="M1139" t="s">
        <v>77</v>
      </c>
      <c r="N1139" t="s">
        <v>10095</v>
      </c>
      <c r="O1139" t="s">
        <v>74</v>
      </c>
      <c r="P1139" t="s">
        <v>74</v>
      </c>
      <c r="Q1139" t="s">
        <v>74</v>
      </c>
      <c r="R1139" t="s">
        <v>74</v>
      </c>
      <c r="S1139" t="s">
        <v>74</v>
      </c>
      <c r="T1139" t="s">
        <v>19234</v>
      </c>
      <c r="U1139" t="s">
        <v>19235</v>
      </c>
      <c r="V1139" t="s">
        <v>19236</v>
      </c>
      <c r="W1139" t="s">
        <v>19237</v>
      </c>
      <c r="X1139" t="s">
        <v>74</v>
      </c>
      <c r="Y1139" t="s">
        <v>19238</v>
      </c>
      <c r="Z1139" t="s">
        <v>19239</v>
      </c>
      <c r="AA1139" t="s">
        <v>74</v>
      </c>
      <c r="AB1139" t="s">
        <v>74</v>
      </c>
      <c r="AC1139" t="s">
        <v>74</v>
      </c>
      <c r="AD1139" t="s">
        <v>74</v>
      </c>
      <c r="AE1139" t="s">
        <v>74</v>
      </c>
      <c r="AF1139" t="s">
        <v>74</v>
      </c>
      <c r="AG1139">
        <v>153</v>
      </c>
      <c r="AH1139">
        <v>0</v>
      </c>
      <c r="AI1139">
        <v>0</v>
      </c>
      <c r="AJ1139">
        <v>17</v>
      </c>
      <c r="AK1139">
        <v>17</v>
      </c>
      <c r="AL1139" t="s">
        <v>218</v>
      </c>
      <c r="AM1139" t="s">
        <v>219</v>
      </c>
      <c r="AN1139" t="s">
        <v>220</v>
      </c>
      <c r="AO1139" t="s">
        <v>493</v>
      </c>
      <c r="AP1139" t="s">
        <v>557</v>
      </c>
      <c r="AQ1139" t="s">
        <v>74</v>
      </c>
      <c r="AR1139" t="s">
        <v>494</v>
      </c>
      <c r="AS1139" t="s">
        <v>495</v>
      </c>
      <c r="AT1139" t="s">
        <v>74</v>
      </c>
      <c r="AU1139" t="s">
        <v>74</v>
      </c>
      <c r="AV1139" t="s">
        <v>74</v>
      </c>
      <c r="AW1139" t="s">
        <v>74</v>
      </c>
      <c r="AX1139" t="s">
        <v>74</v>
      </c>
      <c r="AY1139" t="s">
        <v>74</v>
      </c>
      <c r="AZ1139" t="s">
        <v>74</v>
      </c>
      <c r="BA1139" t="s">
        <v>74</v>
      </c>
      <c r="BB1139" t="s">
        <v>74</v>
      </c>
      <c r="BC1139" t="s">
        <v>74</v>
      </c>
      <c r="BD1139" t="s">
        <v>74</v>
      </c>
      <c r="BE1139" t="s">
        <v>19240</v>
      </c>
      <c r="BF1139" t="str">
        <f>HYPERLINK("http://dx.doi.org/10.1111/joop.12429","http://dx.doi.org/10.1111/joop.12429")</f>
        <v>http://dx.doi.org/10.1111/joop.12429</v>
      </c>
      <c r="BG1139" t="s">
        <v>74</v>
      </c>
      <c r="BH1139" t="s">
        <v>19211</v>
      </c>
      <c r="BI1139">
        <v>29</v>
      </c>
      <c r="BJ1139" t="s">
        <v>202</v>
      </c>
      <c r="BK1139" t="s">
        <v>94</v>
      </c>
      <c r="BL1139" t="s">
        <v>203</v>
      </c>
      <c r="BM1139" t="s">
        <v>19241</v>
      </c>
      <c r="BN1139" t="s">
        <v>74</v>
      </c>
      <c r="BO1139" t="s">
        <v>408</v>
      </c>
      <c r="BP1139" t="s">
        <v>74</v>
      </c>
      <c r="BQ1139" t="s">
        <v>74</v>
      </c>
      <c r="BR1139" t="s">
        <v>97</v>
      </c>
      <c r="BS1139" t="s">
        <v>19242</v>
      </c>
      <c r="BT1139" t="str">
        <f>HYPERLINK("https%3A%2F%2Fwww.webofscience.com%2Fwos%2Fwoscc%2Ffull-record%2FWOS:000935104000001","View Full Record in Web of Science")</f>
        <v>View Full Record in Web of Science</v>
      </c>
    </row>
    <row r="1140" spans="1:72" x14ac:dyDescent="0.25">
      <c r="A1140" t="s">
        <v>72</v>
      </c>
      <c r="B1140" t="s">
        <v>19243</v>
      </c>
      <c r="C1140" t="s">
        <v>74</v>
      </c>
      <c r="D1140" t="s">
        <v>74</v>
      </c>
      <c r="E1140" t="s">
        <v>74</v>
      </c>
      <c r="F1140" t="s">
        <v>19244</v>
      </c>
      <c r="G1140" t="s">
        <v>74</v>
      </c>
      <c r="H1140" t="s">
        <v>74</v>
      </c>
      <c r="I1140" t="s">
        <v>19245</v>
      </c>
      <c r="J1140" t="s">
        <v>2502</v>
      </c>
      <c r="K1140" t="s">
        <v>74</v>
      </c>
      <c r="L1140" t="s">
        <v>74</v>
      </c>
      <c r="M1140" t="s">
        <v>77</v>
      </c>
      <c r="N1140" t="s">
        <v>10095</v>
      </c>
      <c r="O1140" t="s">
        <v>74</v>
      </c>
      <c r="P1140" t="s">
        <v>74</v>
      </c>
      <c r="Q1140" t="s">
        <v>74</v>
      </c>
      <c r="R1140" t="s">
        <v>74</v>
      </c>
      <c r="S1140" t="s">
        <v>74</v>
      </c>
      <c r="T1140" t="s">
        <v>19246</v>
      </c>
      <c r="U1140" t="s">
        <v>19247</v>
      </c>
      <c r="V1140" t="s">
        <v>19248</v>
      </c>
      <c r="W1140" t="s">
        <v>19249</v>
      </c>
      <c r="X1140" t="s">
        <v>19250</v>
      </c>
      <c r="Y1140" t="s">
        <v>19251</v>
      </c>
      <c r="Z1140" t="s">
        <v>19252</v>
      </c>
      <c r="AA1140" t="s">
        <v>19253</v>
      </c>
      <c r="AB1140" t="s">
        <v>19254</v>
      </c>
      <c r="AC1140" t="s">
        <v>74</v>
      </c>
      <c r="AD1140" t="s">
        <v>74</v>
      </c>
      <c r="AE1140" t="s">
        <v>74</v>
      </c>
      <c r="AF1140" t="s">
        <v>74</v>
      </c>
      <c r="AG1140">
        <v>84</v>
      </c>
      <c r="AH1140">
        <v>0</v>
      </c>
      <c r="AI1140">
        <v>0</v>
      </c>
      <c r="AJ1140">
        <v>9</v>
      </c>
      <c r="AK1140">
        <v>9</v>
      </c>
      <c r="AL1140" t="s">
        <v>665</v>
      </c>
      <c r="AM1140" t="s">
        <v>666</v>
      </c>
      <c r="AN1140" t="s">
        <v>667</v>
      </c>
      <c r="AO1140" t="s">
        <v>2510</v>
      </c>
      <c r="AP1140" t="s">
        <v>2511</v>
      </c>
      <c r="AQ1140" t="s">
        <v>74</v>
      </c>
      <c r="AR1140" t="s">
        <v>2512</v>
      </c>
      <c r="AS1140" t="s">
        <v>2513</v>
      </c>
      <c r="AT1140" t="s">
        <v>74</v>
      </c>
      <c r="AU1140" t="s">
        <v>74</v>
      </c>
      <c r="AV1140" t="s">
        <v>74</v>
      </c>
      <c r="AW1140" t="s">
        <v>74</v>
      </c>
      <c r="AX1140" t="s">
        <v>74</v>
      </c>
      <c r="AY1140" t="s">
        <v>74</v>
      </c>
      <c r="AZ1140" t="s">
        <v>74</v>
      </c>
      <c r="BA1140" t="s">
        <v>74</v>
      </c>
      <c r="BB1140" t="s">
        <v>74</v>
      </c>
      <c r="BC1140" t="s">
        <v>74</v>
      </c>
      <c r="BD1140" t="s">
        <v>74</v>
      </c>
      <c r="BE1140" t="s">
        <v>19255</v>
      </c>
      <c r="BF1140" t="str">
        <f>HYPERLINK("http://dx.doi.org/10.1108/PR-12-2020-0894","http://dx.doi.org/10.1108/PR-12-2020-0894")</f>
        <v>http://dx.doi.org/10.1108/PR-12-2020-0894</v>
      </c>
      <c r="BG1140" t="s">
        <v>74</v>
      </c>
      <c r="BH1140" t="s">
        <v>19211</v>
      </c>
      <c r="BI1140">
        <v>19</v>
      </c>
      <c r="BJ1140" t="s">
        <v>2515</v>
      </c>
      <c r="BK1140" t="s">
        <v>94</v>
      </c>
      <c r="BL1140" t="s">
        <v>227</v>
      </c>
      <c r="BM1140" t="s">
        <v>19256</v>
      </c>
      <c r="BN1140" t="s">
        <v>74</v>
      </c>
      <c r="BO1140" t="s">
        <v>74</v>
      </c>
      <c r="BP1140" t="s">
        <v>74</v>
      </c>
      <c r="BQ1140" t="s">
        <v>74</v>
      </c>
      <c r="BR1140" t="s">
        <v>97</v>
      </c>
      <c r="BS1140" t="s">
        <v>19257</v>
      </c>
      <c r="BT1140" t="str">
        <f>HYPERLINK("https%3A%2F%2Fwww.webofscience.com%2Fwos%2Fwoscc%2Ffull-record%2FWOS:000937329700001","View Full Record in Web of Science")</f>
        <v>View Full Record in Web of Science</v>
      </c>
    </row>
    <row r="1141" spans="1:72" x14ac:dyDescent="0.25">
      <c r="A1141" t="s">
        <v>72</v>
      </c>
      <c r="B1141" t="s">
        <v>19258</v>
      </c>
      <c r="C1141" t="s">
        <v>74</v>
      </c>
      <c r="D1141" t="s">
        <v>74</v>
      </c>
      <c r="E1141" t="s">
        <v>74</v>
      </c>
      <c r="F1141" t="s">
        <v>19259</v>
      </c>
      <c r="G1141" t="s">
        <v>74</v>
      </c>
      <c r="H1141" t="s">
        <v>74</v>
      </c>
      <c r="I1141" t="s">
        <v>19260</v>
      </c>
      <c r="J1141" t="s">
        <v>1739</v>
      </c>
      <c r="K1141" t="s">
        <v>74</v>
      </c>
      <c r="L1141" t="s">
        <v>74</v>
      </c>
      <c r="M1141" t="s">
        <v>77</v>
      </c>
      <c r="N1141" t="s">
        <v>10095</v>
      </c>
      <c r="O1141" t="s">
        <v>74</v>
      </c>
      <c r="P1141" t="s">
        <v>74</v>
      </c>
      <c r="Q1141" t="s">
        <v>74</v>
      </c>
      <c r="R1141" t="s">
        <v>74</v>
      </c>
      <c r="S1141" t="s">
        <v>74</v>
      </c>
      <c r="T1141" t="s">
        <v>19261</v>
      </c>
      <c r="U1141" t="s">
        <v>19262</v>
      </c>
      <c r="V1141" t="s">
        <v>19263</v>
      </c>
      <c r="W1141" t="s">
        <v>19264</v>
      </c>
      <c r="X1141" t="s">
        <v>19265</v>
      </c>
      <c r="Y1141" t="s">
        <v>4992</v>
      </c>
      <c r="Z1141" t="s">
        <v>19266</v>
      </c>
      <c r="AA1141" t="s">
        <v>74</v>
      </c>
      <c r="AB1141" t="s">
        <v>74</v>
      </c>
      <c r="AC1141" t="s">
        <v>19267</v>
      </c>
      <c r="AD1141" t="s">
        <v>19268</v>
      </c>
      <c r="AE1141" t="s">
        <v>19269</v>
      </c>
      <c r="AF1141" t="s">
        <v>74</v>
      </c>
      <c r="AG1141">
        <v>111</v>
      </c>
      <c r="AH1141">
        <v>0</v>
      </c>
      <c r="AI1141">
        <v>0</v>
      </c>
      <c r="AJ1141">
        <v>11</v>
      </c>
      <c r="AK1141">
        <v>11</v>
      </c>
      <c r="AL1141" t="s">
        <v>665</v>
      </c>
      <c r="AM1141" t="s">
        <v>666</v>
      </c>
      <c r="AN1141" t="s">
        <v>667</v>
      </c>
      <c r="AO1141" t="s">
        <v>1749</v>
      </c>
      <c r="AP1141" t="s">
        <v>1750</v>
      </c>
      <c r="AQ1141" t="s">
        <v>74</v>
      </c>
      <c r="AR1141" t="s">
        <v>1751</v>
      </c>
      <c r="AS1141" t="s">
        <v>1752</v>
      </c>
      <c r="AT1141" t="s">
        <v>74</v>
      </c>
      <c r="AU1141" t="s">
        <v>74</v>
      </c>
      <c r="AV1141" t="s">
        <v>74</v>
      </c>
      <c r="AW1141" t="s">
        <v>74</v>
      </c>
      <c r="AX1141" t="s">
        <v>74</v>
      </c>
      <c r="AY1141" t="s">
        <v>74</v>
      </c>
      <c r="AZ1141" t="s">
        <v>74</v>
      </c>
      <c r="BA1141" t="s">
        <v>74</v>
      </c>
      <c r="BB1141" t="s">
        <v>74</v>
      </c>
      <c r="BC1141" t="s">
        <v>74</v>
      </c>
      <c r="BD1141" t="s">
        <v>74</v>
      </c>
      <c r="BE1141" t="s">
        <v>19270</v>
      </c>
      <c r="BF1141" t="str">
        <f>HYPERLINK("http://dx.doi.org/10.1108/JKM-06-2022-0458","http://dx.doi.org/10.1108/JKM-06-2022-0458")</f>
        <v>http://dx.doi.org/10.1108/JKM-06-2022-0458</v>
      </c>
      <c r="BG1141" t="s">
        <v>74</v>
      </c>
      <c r="BH1141" t="s">
        <v>19211</v>
      </c>
      <c r="BI1141">
        <v>27</v>
      </c>
      <c r="BJ1141" t="s">
        <v>1754</v>
      </c>
      <c r="BK1141" t="s">
        <v>94</v>
      </c>
      <c r="BL1141" t="s">
        <v>1755</v>
      </c>
      <c r="BM1141" t="s">
        <v>19271</v>
      </c>
      <c r="BN1141" t="s">
        <v>74</v>
      </c>
      <c r="BO1141" t="s">
        <v>74</v>
      </c>
      <c r="BP1141" t="s">
        <v>74</v>
      </c>
      <c r="BQ1141" t="s">
        <v>74</v>
      </c>
      <c r="BR1141" t="s">
        <v>97</v>
      </c>
      <c r="BS1141" t="s">
        <v>19272</v>
      </c>
      <c r="BT1141" t="str">
        <f>HYPERLINK("https%3A%2F%2Fwww.webofscience.com%2Fwos%2Fwoscc%2Ffull-record%2FWOS:000931026900001","View Full Record in Web of Science")</f>
        <v>View Full Record in Web of Science</v>
      </c>
    </row>
    <row r="1142" spans="1:72" x14ac:dyDescent="0.25">
      <c r="A1142" t="s">
        <v>72</v>
      </c>
      <c r="B1142" t="s">
        <v>19273</v>
      </c>
      <c r="C1142" t="s">
        <v>74</v>
      </c>
      <c r="D1142" t="s">
        <v>74</v>
      </c>
      <c r="E1142" t="s">
        <v>74</v>
      </c>
      <c r="F1142" t="s">
        <v>19274</v>
      </c>
      <c r="G1142" t="s">
        <v>74</v>
      </c>
      <c r="H1142" t="s">
        <v>74</v>
      </c>
      <c r="I1142" t="s">
        <v>19275</v>
      </c>
      <c r="J1142" t="s">
        <v>2771</v>
      </c>
      <c r="K1142" t="s">
        <v>74</v>
      </c>
      <c r="L1142" t="s">
        <v>74</v>
      </c>
      <c r="M1142" t="s">
        <v>77</v>
      </c>
      <c r="N1142" t="s">
        <v>10095</v>
      </c>
      <c r="O1142" t="s">
        <v>74</v>
      </c>
      <c r="P1142" t="s">
        <v>74</v>
      </c>
      <c r="Q1142" t="s">
        <v>74</v>
      </c>
      <c r="R1142" t="s">
        <v>74</v>
      </c>
      <c r="S1142" t="s">
        <v>74</v>
      </c>
      <c r="T1142" t="s">
        <v>19276</v>
      </c>
      <c r="U1142" t="s">
        <v>19277</v>
      </c>
      <c r="V1142" t="s">
        <v>19278</v>
      </c>
      <c r="W1142" t="s">
        <v>19279</v>
      </c>
      <c r="X1142" t="s">
        <v>74</v>
      </c>
      <c r="Y1142" t="s">
        <v>19280</v>
      </c>
      <c r="Z1142" t="s">
        <v>19281</v>
      </c>
      <c r="AA1142" t="s">
        <v>19282</v>
      </c>
      <c r="AB1142" t="s">
        <v>19283</v>
      </c>
      <c r="AC1142" t="s">
        <v>74</v>
      </c>
      <c r="AD1142" t="s">
        <v>74</v>
      </c>
      <c r="AE1142" t="s">
        <v>74</v>
      </c>
      <c r="AF1142" t="s">
        <v>74</v>
      </c>
      <c r="AG1142">
        <v>55</v>
      </c>
      <c r="AH1142">
        <v>0</v>
      </c>
      <c r="AI1142">
        <v>0</v>
      </c>
      <c r="AJ1142">
        <v>2</v>
      </c>
      <c r="AK1142">
        <v>2</v>
      </c>
      <c r="AL1142" t="s">
        <v>665</v>
      </c>
      <c r="AM1142" t="s">
        <v>666</v>
      </c>
      <c r="AN1142" t="s">
        <v>667</v>
      </c>
      <c r="AO1142" t="s">
        <v>2781</v>
      </c>
      <c r="AP1142" t="s">
        <v>2782</v>
      </c>
      <c r="AQ1142" t="s">
        <v>74</v>
      </c>
      <c r="AR1142" t="s">
        <v>2771</v>
      </c>
      <c r="AS1142" t="s">
        <v>2783</v>
      </c>
      <c r="AT1142" t="s">
        <v>74</v>
      </c>
      <c r="AU1142" t="s">
        <v>74</v>
      </c>
      <c r="AV1142" t="s">
        <v>74</v>
      </c>
      <c r="AW1142" t="s">
        <v>74</v>
      </c>
      <c r="AX1142" t="s">
        <v>74</v>
      </c>
      <c r="AY1142" t="s">
        <v>74</v>
      </c>
      <c r="AZ1142" t="s">
        <v>74</v>
      </c>
      <c r="BA1142" t="s">
        <v>74</v>
      </c>
      <c r="BB1142" t="s">
        <v>74</v>
      </c>
      <c r="BC1142" t="s">
        <v>74</v>
      </c>
      <c r="BD1142" t="s">
        <v>74</v>
      </c>
      <c r="BE1142" t="s">
        <v>19284</v>
      </c>
      <c r="BF1142" t="str">
        <f>HYPERLINK("http://dx.doi.org/10.1108/K-01-2022-0011","http://dx.doi.org/10.1108/K-01-2022-0011")</f>
        <v>http://dx.doi.org/10.1108/K-01-2022-0011</v>
      </c>
      <c r="BG1142" t="s">
        <v>74</v>
      </c>
      <c r="BH1142" t="s">
        <v>19211</v>
      </c>
      <c r="BI1142">
        <v>14</v>
      </c>
      <c r="BJ1142" t="s">
        <v>2785</v>
      </c>
      <c r="BK1142" t="s">
        <v>283</v>
      </c>
      <c r="BL1142" t="s">
        <v>2786</v>
      </c>
      <c r="BM1142" t="s">
        <v>19285</v>
      </c>
      <c r="BN1142" t="s">
        <v>74</v>
      </c>
      <c r="BO1142" t="s">
        <v>74</v>
      </c>
      <c r="BP1142" t="s">
        <v>74</v>
      </c>
      <c r="BQ1142" t="s">
        <v>74</v>
      </c>
      <c r="BR1142" t="s">
        <v>97</v>
      </c>
      <c r="BS1142" t="s">
        <v>19286</v>
      </c>
      <c r="BT1142" t="str">
        <f>HYPERLINK("https%3A%2F%2Fwww.webofscience.com%2Fwos%2Fwoscc%2Ffull-record%2FWOS:000936724600001","View Full Record in Web of Science")</f>
        <v>View Full Record in Web of Science</v>
      </c>
    </row>
    <row r="1143" spans="1:72" x14ac:dyDescent="0.25">
      <c r="A1143" t="s">
        <v>72</v>
      </c>
      <c r="B1143" t="s">
        <v>19287</v>
      </c>
      <c r="C1143" t="s">
        <v>74</v>
      </c>
      <c r="D1143" t="s">
        <v>74</v>
      </c>
      <c r="E1143" t="s">
        <v>74</v>
      </c>
      <c r="F1143" t="s">
        <v>19288</v>
      </c>
      <c r="G1143" t="s">
        <v>74</v>
      </c>
      <c r="H1143" t="s">
        <v>74</v>
      </c>
      <c r="I1143" t="s">
        <v>19289</v>
      </c>
      <c r="J1143" t="s">
        <v>4134</v>
      </c>
      <c r="K1143" t="s">
        <v>74</v>
      </c>
      <c r="L1143" t="s">
        <v>74</v>
      </c>
      <c r="M1143" t="s">
        <v>77</v>
      </c>
      <c r="N1143" t="s">
        <v>10095</v>
      </c>
      <c r="O1143" t="s">
        <v>74</v>
      </c>
      <c r="P1143" t="s">
        <v>74</v>
      </c>
      <c r="Q1143" t="s">
        <v>74</v>
      </c>
      <c r="R1143" t="s">
        <v>74</v>
      </c>
      <c r="S1143" t="s">
        <v>74</v>
      </c>
      <c r="T1143" t="s">
        <v>19290</v>
      </c>
      <c r="U1143" t="s">
        <v>19291</v>
      </c>
      <c r="V1143" t="s">
        <v>19292</v>
      </c>
      <c r="W1143" t="s">
        <v>19293</v>
      </c>
      <c r="X1143" t="s">
        <v>19294</v>
      </c>
      <c r="Y1143" t="s">
        <v>19295</v>
      </c>
      <c r="Z1143" t="s">
        <v>19296</v>
      </c>
      <c r="AA1143" t="s">
        <v>74</v>
      </c>
      <c r="AB1143" t="s">
        <v>74</v>
      </c>
      <c r="AC1143" t="s">
        <v>19297</v>
      </c>
      <c r="AD1143" t="s">
        <v>19298</v>
      </c>
      <c r="AE1143" t="s">
        <v>19299</v>
      </c>
      <c r="AF1143" t="s">
        <v>74</v>
      </c>
      <c r="AG1143">
        <v>85</v>
      </c>
      <c r="AH1143">
        <v>0</v>
      </c>
      <c r="AI1143">
        <v>0</v>
      </c>
      <c r="AJ1143">
        <v>13</v>
      </c>
      <c r="AK1143">
        <v>13</v>
      </c>
      <c r="AL1143" t="s">
        <v>665</v>
      </c>
      <c r="AM1143" t="s">
        <v>666</v>
      </c>
      <c r="AN1143" t="s">
        <v>667</v>
      </c>
      <c r="AO1143" t="s">
        <v>4144</v>
      </c>
      <c r="AP1143" t="s">
        <v>4145</v>
      </c>
      <c r="AQ1143" t="s">
        <v>74</v>
      </c>
      <c r="AR1143" t="s">
        <v>4146</v>
      </c>
      <c r="AS1143" t="s">
        <v>4147</v>
      </c>
      <c r="AT1143" t="s">
        <v>74</v>
      </c>
      <c r="AU1143" t="s">
        <v>74</v>
      </c>
      <c r="AV1143" t="s">
        <v>74</v>
      </c>
      <c r="AW1143" t="s">
        <v>74</v>
      </c>
      <c r="AX1143" t="s">
        <v>74</v>
      </c>
      <c r="AY1143" t="s">
        <v>74</v>
      </c>
      <c r="AZ1143" t="s">
        <v>74</v>
      </c>
      <c r="BA1143" t="s">
        <v>74</v>
      </c>
      <c r="BB1143" t="s">
        <v>74</v>
      </c>
      <c r="BC1143" t="s">
        <v>74</v>
      </c>
      <c r="BD1143" t="s">
        <v>74</v>
      </c>
      <c r="BE1143" t="s">
        <v>19300</v>
      </c>
      <c r="BF1143" t="str">
        <f>HYPERLINK("http://dx.doi.org/10.1108/EJIM-08-2022-0456","http://dx.doi.org/10.1108/EJIM-08-2022-0456")</f>
        <v>http://dx.doi.org/10.1108/EJIM-08-2022-0456</v>
      </c>
      <c r="BG1143" t="s">
        <v>74</v>
      </c>
      <c r="BH1143" t="s">
        <v>19211</v>
      </c>
      <c r="BI1143">
        <v>28</v>
      </c>
      <c r="BJ1143" t="s">
        <v>93</v>
      </c>
      <c r="BK1143" t="s">
        <v>94</v>
      </c>
      <c r="BL1143" t="s">
        <v>95</v>
      </c>
      <c r="BM1143" t="s">
        <v>19301</v>
      </c>
      <c r="BN1143" t="s">
        <v>74</v>
      </c>
      <c r="BO1143" t="s">
        <v>74</v>
      </c>
      <c r="BP1143" t="s">
        <v>74</v>
      </c>
      <c r="BQ1143" t="s">
        <v>74</v>
      </c>
      <c r="BR1143" t="s">
        <v>97</v>
      </c>
      <c r="BS1143" t="s">
        <v>19302</v>
      </c>
      <c r="BT1143" t="str">
        <f>HYPERLINK("https%3A%2F%2Fwww.webofscience.com%2Fwos%2Fwoscc%2Ffull-record%2FWOS:000930608600001","View Full Record in Web of Science")</f>
        <v>View Full Record in Web of Science</v>
      </c>
    </row>
    <row r="1144" spans="1:72" x14ac:dyDescent="0.25">
      <c r="A1144" t="s">
        <v>72</v>
      </c>
      <c r="B1144" t="s">
        <v>19303</v>
      </c>
      <c r="C1144" t="s">
        <v>74</v>
      </c>
      <c r="D1144" t="s">
        <v>74</v>
      </c>
      <c r="E1144" t="s">
        <v>74</v>
      </c>
      <c r="F1144" t="s">
        <v>19304</v>
      </c>
      <c r="G1144" t="s">
        <v>74</v>
      </c>
      <c r="H1144" t="s">
        <v>74</v>
      </c>
      <c r="I1144" t="s">
        <v>19305</v>
      </c>
      <c r="J1144" t="s">
        <v>5615</v>
      </c>
      <c r="K1144" t="s">
        <v>74</v>
      </c>
      <c r="L1144" t="s">
        <v>74</v>
      </c>
      <c r="M1144" t="s">
        <v>77</v>
      </c>
      <c r="N1144" t="s">
        <v>10095</v>
      </c>
      <c r="O1144" t="s">
        <v>74</v>
      </c>
      <c r="P1144" t="s">
        <v>74</v>
      </c>
      <c r="Q1144" t="s">
        <v>74</v>
      </c>
      <c r="R1144" t="s">
        <v>74</v>
      </c>
      <c r="S1144" t="s">
        <v>74</v>
      </c>
      <c r="T1144" t="s">
        <v>19306</v>
      </c>
      <c r="U1144" t="s">
        <v>19307</v>
      </c>
      <c r="V1144" t="s">
        <v>19308</v>
      </c>
      <c r="W1144" t="s">
        <v>19309</v>
      </c>
      <c r="X1144" t="s">
        <v>19310</v>
      </c>
      <c r="Y1144" t="s">
        <v>19311</v>
      </c>
      <c r="Z1144" t="s">
        <v>19312</v>
      </c>
      <c r="AA1144" t="s">
        <v>19313</v>
      </c>
      <c r="AB1144" t="s">
        <v>19314</v>
      </c>
      <c r="AC1144" t="s">
        <v>19315</v>
      </c>
      <c r="AD1144" t="s">
        <v>19316</v>
      </c>
      <c r="AE1144" t="s">
        <v>19317</v>
      </c>
      <c r="AF1144" t="s">
        <v>74</v>
      </c>
      <c r="AG1144">
        <v>75</v>
      </c>
      <c r="AH1144">
        <v>0</v>
      </c>
      <c r="AI1144">
        <v>0</v>
      </c>
      <c r="AJ1144">
        <v>31</v>
      </c>
      <c r="AK1144">
        <v>31</v>
      </c>
      <c r="AL1144" t="s">
        <v>665</v>
      </c>
      <c r="AM1144" t="s">
        <v>666</v>
      </c>
      <c r="AN1144" t="s">
        <v>667</v>
      </c>
      <c r="AO1144" t="s">
        <v>5625</v>
      </c>
      <c r="AP1144" t="s">
        <v>5626</v>
      </c>
      <c r="AQ1144" t="s">
        <v>74</v>
      </c>
      <c r="AR1144" t="s">
        <v>5627</v>
      </c>
      <c r="AS1144" t="s">
        <v>5628</v>
      </c>
      <c r="AT1144" t="s">
        <v>74</v>
      </c>
      <c r="AU1144" t="s">
        <v>74</v>
      </c>
      <c r="AV1144" t="s">
        <v>74</v>
      </c>
      <c r="AW1144" t="s">
        <v>74</v>
      </c>
      <c r="AX1144" t="s">
        <v>74</v>
      </c>
      <c r="AY1144" t="s">
        <v>74</v>
      </c>
      <c r="AZ1144" t="s">
        <v>74</v>
      </c>
      <c r="BA1144" t="s">
        <v>74</v>
      </c>
      <c r="BB1144" t="s">
        <v>74</v>
      </c>
      <c r="BC1144" t="s">
        <v>74</v>
      </c>
      <c r="BD1144" t="s">
        <v>74</v>
      </c>
      <c r="BE1144" t="s">
        <v>19318</v>
      </c>
      <c r="BF1144" t="str">
        <f>HYPERLINK("http://dx.doi.org/10.1108/CMS-07-2022-0240","http://dx.doi.org/10.1108/CMS-07-2022-0240")</f>
        <v>http://dx.doi.org/10.1108/CMS-07-2022-0240</v>
      </c>
      <c r="BG1144" t="s">
        <v>74</v>
      </c>
      <c r="BH1144" t="s">
        <v>19211</v>
      </c>
      <c r="BI1144">
        <v>22</v>
      </c>
      <c r="BJ1144" t="s">
        <v>442</v>
      </c>
      <c r="BK1144" t="s">
        <v>94</v>
      </c>
      <c r="BL1144" t="s">
        <v>95</v>
      </c>
      <c r="BM1144" t="s">
        <v>19319</v>
      </c>
      <c r="BN1144" t="s">
        <v>74</v>
      </c>
      <c r="BO1144" t="s">
        <v>74</v>
      </c>
      <c r="BP1144" t="s">
        <v>74</v>
      </c>
      <c r="BQ1144" t="s">
        <v>74</v>
      </c>
      <c r="BR1144" t="s">
        <v>97</v>
      </c>
      <c r="BS1144" t="s">
        <v>19320</v>
      </c>
      <c r="BT1144" t="str">
        <f>HYPERLINK("https%3A%2F%2Fwww.webofscience.com%2Fwos%2Fwoscc%2Ffull-record%2FWOS:000922278900001","View Full Record in Web of Science")</f>
        <v>View Full Record in Web of Science</v>
      </c>
    </row>
    <row r="1145" spans="1:72" x14ac:dyDescent="0.25">
      <c r="A1145" t="s">
        <v>72</v>
      </c>
      <c r="B1145" t="s">
        <v>19321</v>
      </c>
      <c r="C1145" t="s">
        <v>74</v>
      </c>
      <c r="D1145" t="s">
        <v>74</v>
      </c>
      <c r="E1145" t="s">
        <v>74</v>
      </c>
      <c r="F1145" t="s">
        <v>19322</v>
      </c>
      <c r="G1145" t="s">
        <v>74</v>
      </c>
      <c r="H1145" t="s">
        <v>74</v>
      </c>
      <c r="I1145" t="s">
        <v>19323</v>
      </c>
      <c r="J1145" t="s">
        <v>2463</v>
      </c>
      <c r="K1145" t="s">
        <v>74</v>
      </c>
      <c r="L1145" t="s">
        <v>74</v>
      </c>
      <c r="M1145" t="s">
        <v>77</v>
      </c>
      <c r="N1145" t="s">
        <v>78</v>
      </c>
      <c r="O1145" t="s">
        <v>74</v>
      </c>
      <c r="P1145" t="s">
        <v>74</v>
      </c>
      <c r="Q1145" t="s">
        <v>74</v>
      </c>
      <c r="R1145" t="s">
        <v>74</v>
      </c>
      <c r="S1145" t="s">
        <v>74</v>
      </c>
      <c r="T1145" t="s">
        <v>19324</v>
      </c>
      <c r="U1145" t="s">
        <v>19325</v>
      </c>
      <c r="V1145" t="s">
        <v>19326</v>
      </c>
      <c r="W1145" t="s">
        <v>19327</v>
      </c>
      <c r="X1145" t="s">
        <v>19328</v>
      </c>
      <c r="Y1145" t="s">
        <v>19329</v>
      </c>
      <c r="Z1145" t="s">
        <v>19330</v>
      </c>
      <c r="AA1145" t="s">
        <v>74</v>
      </c>
      <c r="AB1145" t="s">
        <v>19331</v>
      </c>
      <c r="AC1145" t="s">
        <v>19332</v>
      </c>
      <c r="AD1145" t="s">
        <v>19333</v>
      </c>
      <c r="AE1145" t="s">
        <v>19334</v>
      </c>
      <c r="AF1145" t="s">
        <v>74</v>
      </c>
      <c r="AG1145">
        <v>97</v>
      </c>
      <c r="AH1145">
        <v>0</v>
      </c>
      <c r="AI1145">
        <v>0</v>
      </c>
      <c r="AJ1145">
        <v>3</v>
      </c>
      <c r="AK1145">
        <v>3</v>
      </c>
      <c r="AL1145" t="s">
        <v>2473</v>
      </c>
      <c r="AM1145" t="s">
        <v>2102</v>
      </c>
      <c r="AN1145" t="s">
        <v>2474</v>
      </c>
      <c r="AO1145" t="s">
        <v>74</v>
      </c>
      <c r="AP1145" t="s">
        <v>2475</v>
      </c>
      <c r="AQ1145" t="s">
        <v>74</v>
      </c>
      <c r="AR1145" t="s">
        <v>2476</v>
      </c>
      <c r="AS1145" t="s">
        <v>2477</v>
      </c>
      <c r="AT1145" t="s">
        <v>405</v>
      </c>
      <c r="AU1145">
        <v>2023</v>
      </c>
      <c r="AV1145">
        <v>15</v>
      </c>
      <c r="AW1145">
        <v>3</v>
      </c>
      <c r="AX1145" t="s">
        <v>74</v>
      </c>
      <c r="AY1145" t="s">
        <v>74</v>
      </c>
      <c r="AZ1145" t="s">
        <v>74</v>
      </c>
      <c r="BA1145" t="s">
        <v>74</v>
      </c>
      <c r="BB1145" t="s">
        <v>74</v>
      </c>
      <c r="BC1145" t="s">
        <v>74</v>
      </c>
      <c r="BD1145">
        <v>2740</v>
      </c>
      <c r="BE1145" t="s">
        <v>19335</v>
      </c>
      <c r="BF1145" t="str">
        <f>HYPERLINK("http://dx.doi.org/10.3390/su15032740","http://dx.doi.org/10.3390/su15032740")</f>
        <v>http://dx.doi.org/10.3390/su15032740</v>
      </c>
      <c r="BG1145" t="s">
        <v>74</v>
      </c>
      <c r="BH1145" t="s">
        <v>74</v>
      </c>
      <c r="BI1145">
        <v>13</v>
      </c>
      <c r="BJ1145" t="s">
        <v>2479</v>
      </c>
      <c r="BK1145" t="s">
        <v>147</v>
      </c>
      <c r="BL1145" t="s">
        <v>2480</v>
      </c>
      <c r="BM1145" t="s">
        <v>19336</v>
      </c>
      <c r="BN1145" t="s">
        <v>74</v>
      </c>
      <c r="BO1145" t="s">
        <v>4398</v>
      </c>
      <c r="BP1145" t="s">
        <v>74</v>
      </c>
      <c r="BQ1145" t="s">
        <v>74</v>
      </c>
      <c r="BR1145" t="s">
        <v>97</v>
      </c>
      <c r="BS1145" t="s">
        <v>19337</v>
      </c>
      <c r="BT1145" t="str">
        <f>HYPERLINK("https%3A%2F%2Fwww.webofscience.com%2Fwos%2Fwoscc%2Ffull-record%2FWOS:000929639700001","View Full Record in Web of Science")</f>
        <v>View Full Record in Web of Science</v>
      </c>
    </row>
    <row r="1146" spans="1:72" x14ac:dyDescent="0.25">
      <c r="A1146" t="s">
        <v>72</v>
      </c>
      <c r="B1146" t="s">
        <v>19338</v>
      </c>
      <c r="C1146" t="s">
        <v>74</v>
      </c>
      <c r="D1146" t="s">
        <v>74</v>
      </c>
      <c r="E1146" t="s">
        <v>74</v>
      </c>
      <c r="F1146" t="s">
        <v>19339</v>
      </c>
      <c r="G1146" t="s">
        <v>74</v>
      </c>
      <c r="H1146" t="s">
        <v>74</v>
      </c>
      <c r="I1146" t="s">
        <v>19340</v>
      </c>
      <c r="J1146" t="s">
        <v>2463</v>
      </c>
      <c r="K1146" t="s">
        <v>74</v>
      </c>
      <c r="L1146" t="s">
        <v>74</v>
      </c>
      <c r="M1146" t="s">
        <v>77</v>
      </c>
      <c r="N1146" t="s">
        <v>78</v>
      </c>
      <c r="O1146" t="s">
        <v>74</v>
      </c>
      <c r="P1146" t="s">
        <v>74</v>
      </c>
      <c r="Q1146" t="s">
        <v>74</v>
      </c>
      <c r="R1146" t="s">
        <v>74</v>
      </c>
      <c r="S1146" t="s">
        <v>74</v>
      </c>
      <c r="T1146" t="s">
        <v>19341</v>
      </c>
      <c r="U1146" t="s">
        <v>19342</v>
      </c>
      <c r="V1146" t="s">
        <v>19343</v>
      </c>
      <c r="W1146" t="s">
        <v>19344</v>
      </c>
      <c r="X1146" t="s">
        <v>19345</v>
      </c>
      <c r="Y1146" t="s">
        <v>19346</v>
      </c>
      <c r="Z1146" t="s">
        <v>19347</v>
      </c>
      <c r="AA1146" t="s">
        <v>19348</v>
      </c>
      <c r="AB1146" t="s">
        <v>19349</v>
      </c>
      <c r="AC1146" t="s">
        <v>74</v>
      </c>
      <c r="AD1146" t="s">
        <v>74</v>
      </c>
      <c r="AE1146" t="s">
        <v>74</v>
      </c>
      <c r="AF1146" t="s">
        <v>74</v>
      </c>
      <c r="AG1146">
        <v>84</v>
      </c>
      <c r="AH1146">
        <v>0</v>
      </c>
      <c r="AI1146">
        <v>0</v>
      </c>
      <c r="AJ1146">
        <v>0</v>
      </c>
      <c r="AK1146">
        <v>0</v>
      </c>
      <c r="AL1146" t="s">
        <v>2473</v>
      </c>
      <c r="AM1146" t="s">
        <v>2102</v>
      </c>
      <c r="AN1146" t="s">
        <v>2474</v>
      </c>
      <c r="AO1146" t="s">
        <v>74</v>
      </c>
      <c r="AP1146" t="s">
        <v>2475</v>
      </c>
      <c r="AQ1146" t="s">
        <v>74</v>
      </c>
      <c r="AR1146" t="s">
        <v>2476</v>
      </c>
      <c r="AS1146" t="s">
        <v>2477</v>
      </c>
      <c r="AT1146" t="s">
        <v>405</v>
      </c>
      <c r="AU1146">
        <v>2023</v>
      </c>
      <c r="AV1146">
        <v>15</v>
      </c>
      <c r="AW1146">
        <v>4</v>
      </c>
      <c r="AX1146" t="s">
        <v>74</v>
      </c>
      <c r="AY1146" t="s">
        <v>74</v>
      </c>
      <c r="AZ1146" t="s">
        <v>74</v>
      </c>
      <c r="BA1146" t="s">
        <v>74</v>
      </c>
      <c r="BB1146" t="s">
        <v>74</v>
      </c>
      <c r="BC1146" t="s">
        <v>74</v>
      </c>
      <c r="BD1146">
        <v>3720</v>
      </c>
      <c r="BE1146" t="s">
        <v>19350</v>
      </c>
      <c r="BF1146" t="str">
        <f>HYPERLINK("http://dx.doi.org/10.3390/su15043720","http://dx.doi.org/10.3390/su15043720")</f>
        <v>http://dx.doi.org/10.3390/su15043720</v>
      </c>
      <c r="BG1146" t="s">
        <v>74</v>
      </c>
      <c r="BH1146" t="s">
        <v>74</v>
      </c>
      <c r="BI1146">
        <v>23</v>
      </c>
      <c r="BJ1146" t="s">
        <v>2479</v>
      </c>
      <c r="BK1146" t="s">
        <v>147</v>
      </c>
      <c r="BL1146" t="s">
        <v>2480</v>
      </c>
      <c r="BM1146" t="s">
        <v>19351</v>
      </c>
      <c r="BN1146" t="s">
        <v>74</v>
      </c>
      <c r="BO1146" t="s">
        <v>2482</v>
      </c>
      <c r="BP1146" t="s">
        <v>74</v>
      </c>
      <c r="BQ1146" t="s">
        <v>74</v>
      </c>
      <c r="BR1146" t="s">
        <v>97</v>
      </c>
      <c r="BS1146" t="s">
        <v>19352</v>
      </c>
      <c r="BT1146" t="str">
        <f>HYPERLINK("https%3A%2F%2Fwww.webofscience.com%2Fwos%2Fwoscc%2Ffull-record%2FWOS:000941246700001","View Full Record in Web of Science")</f>
        <v>View Full Record in Web of Science</v>
      </c>
    </row>
    <row r="1147" spans="1:72" x14ac:dyDescent="0.25">
      <c r="A1147" t="s">
        <v>72</v>
      </c>
      <c r="B1147" t="s">
        <v>19353</v>
      </c>
      <c r="C1147" t="s">
        <v>74</v>
      </c>
      <c r="D1147" t="s">
        <v>74</v>
      </c>
      <c r="E1147" t="s">
        <v>74</v>
      </c>
      <c r="F1147" t="s">
        <v>19354</v>
      </c>
      <c r="G1147" t="s">
        <v>74</v>
      </c>
      <c r="H1147" t="s">
        <v>74</v>
      </c>
      <c r="I1147" t="s">
        <v>19355</v>
      </c>
      <c r="J1147" t="s">
        <v>19356</v>
      </c>
      <c r="K1147" t="s">
        <v>74</v>
      </c>
      <c r="L1147" t="s">
        <v>74</v>
      </c>
      <c r="M1147" t="s">
        <v>77</v>
      </c>
      <c r="N1147" t="s">
        <v>78</v>
      </c>
      <c r="O1147" t="s">
        <v>74</v>
      </c>
      <c r="P1147" t="s">
        <v>74</v>
      </c>
      <c r="Q1147" t="s">
        <v>74</v>
      </c>
      <c r="R1147" t="s">
        <v>74</v>
      </c>
      <c r="S1147" t="s">
        <v>74</v>
      </c>
      <c r="T1147" t="s">
        <v>19357</v>
      </c>
      <c r="U1147" t="s">
        <v>74</v>
      </c>
      <c r="V1147" t="s">
        <v>19358</v>
      </c>
      <c r="W1147" t="s">
        <v>19359</v>
      </c>
      <c r="X1147" t="s">
        <v>74</v>
      </c>
      <c r="Y1147" t="s">
        <v>19360</v>
      </c>
      <c r="Z1147" t="s">
        <v>19361</v>
      </c>
      <c r="AA1147" t="s">
        <v>74</v>
      </c>
      <c r="AB1147" t="s">
        <v>19362</v>
      </c>
      <c r="AC1147" t="s">
        <v>74</v>
      </c>
      <c r="AD1147" t="s">
        <v>74</v>
      </c>
      <c r="AE1147" t="s">
        <v>74</v>
      </c>
      <c r="AF1147" t="s">
        <v>74</v>
      </c>
      <c r="AG1147">
        <v>44</v>
      </c>
      <c r="AH1147">
        <v>0</v>
      </c>
      <c r="AI1147">
        <v>0</v>
      </c>
      <c r="AJ1147">
        <v>2</v>
      </c>
      <c r="AK1147">
        <v>2</v>
      </c>
      <c r="AL1147" t="s">
        <v>2473</v>
      </c>
      <c r="AM1147" t="s">
        <v>2102</v>
      </c>
      <c r="AN1147" t="s">
        <v>2474</v>
      </c>
      <c r="AO1147" t="s">
        <v>74</v>
      </c>
      <c r="AP1147" t="s">
        <v>19363</v>
      </c>
      <c r="AQ1147" t="s">
        <v>74</v>
      </c>
      <c r="AR1147" t="s">
        <v>19364</v>
      </c>
      <c r="AS1147" t="s">
        <v>19365</v>
      </c>
      <c r="AT1147" t="s">
        <v>405</v>
      </c>
      <c r="AU1147">
        <v>2023</v>
      </c>
      <c r="AV1147">
        <v>11</v>
      </c>
      <c r="AW1147">
        <v>2</v>
      </c>
      <c r="AX1147" t="s">
        <v>74</v>
      </c>
      <c r="AY1147" t="s">
        <v>74</v>
      </c>
      <c r="AZ1147" t="s">
        <v>74</v>
      </c>
      <c r="BA1147" t="s">
        <v>74</v>
      </c>
      <c r="BB1147" t="s">
        <v>74</v>
      </c>
      <c r="BC1147" t="s">
        <v>74</v>
      </c>
      <c r="BD1147">
        <v>311</v>
      </c>
      <c r="BE1147" t="s">
        <v>19366</v>
      </c>
      <c r="BF1147" t="str">
        <f>HYPERLINK("http://dx.doi.org/10.3390/jmse11020311","http://dx.doi.org/10.3390/jmse11020311")</f>
        <v>http://dx.doi.org/10.3390/jmse11020311</v>
      </c>
      <c r="BG1147" t="s">
        <v>74</v>
      </c>
      <c r="BH1147" t="s">
        <v>74</v>
      </c>
      <c r="BI1147">
        <v>23</v>
      </c>
      <c r="BJ1147" t="s">
        <v>19367</v>
      </c>
      <c r="BK1147" t="s">
        <v>283</v>
      </c>
      <c r="BL1147" t="s">
        <v>19368</v>
      </c>
      <c r="BM1147" t="s">
        <v>19369</v>
      </c>
      <c r="BN1147" t="s">
        <v>74</v>
      </c>
      <c r="BO1147" t="s">
        <v>2482</v>
      </c>
      <c r="BP1147" t="s">
        <v>74</v>
      </c>
      <c r="BQ1147" t="s">
        <v>74</v>
      </c>
      <c r="BR1147" t="s">
        <v>97</v>
      </c>
      <c r="BS1147" t="s">
        <v>19370</v>
      </c>
      <c r="BT1147" t="str">
        <f>HYPERLINK("https%3A%2F%2Fwww.webofscience.com%2Fwos%2Fwoscc%2Ffull-record%2FWOS:000940456500001","View Full Record in Web of Science")</f>
        <v>View Full Record in Web of Science</v>
      </c>
    </row>
    <row r="1148" spans="1:72" x14ac:dyDescent="0.25">
      <c r="A1148" t="s">
        <v>72</v>
      </c>
      <c r="B1148" t="s">
        <v>19371</v>
      </c>
      <c r="C1148" t="s">
        <v>74</v>
      </c>
      <c r="D1148" t="s">
        <v>74</v>
      </c>
      <c r="E1148" t="s">
        <v>74</v>
      </c>
      <c r="F1148" t="s">
        <v>19372</v>
      </c>
      <c r="G1148" t="s">
        <v>74</v>
      </c>
      <c r="H1148" t="s">
        <v>74</v>
      </c>
      <c r="I1148" t="s">
        <v>19373</v>
      </c>
      <c r="J1148" t="s">
        <v>2463</v>
      </c>
      <c r="K1148" t="s">
        <v>74</v>
      </c>
      <c r="L1148" t="s">
        <v>74</v>
      </c>
      <c r="M1148" t="s">
        <v>77</v>
      </c>
      <c r="N1148" t="s">
        <v>78</v>
      </c>
      <c r="O1148" t="s">
        <v>74</v>
      </c>
      <c r="P1148" t="s">
        <v>74</v>
      </c>
      <c r="Q1148" t="s">
        <v>74</v>
      </c>
      <c r="R1148" t="s">
        <v>74</v>
      </c>
      <c r="S1148" t="s">
        <v>74</v>
      </c>
      <c r="T1148" t="s">
        <v>19374</v>
      </c>
      <c r="U1148" t="s">
        <v>19375</v>
      </c>
      <c r="V1148" t="s">
        <v>19376</v>
      </c>
      <c r="W1148" t="s">
        <v>19377</v>
      </c>
      <c r="X1148" t="s">
        <v>19378</v>
      </c>
      <c r="Y1148" t="s">
        <v>19379</v>
      </c>
      <c r="Z1148" t="s">
        <v>19380</v>
      </c>
      <c r="AA1148" t="s">
        <v>19381</v>
      </c>
      <c r="AB1148" t="s">
        <v>19382</v>
      </c>
      <c r="AC1148" t="s">
        <v>19383</v>
      </c>
      <c r="AD1148" t="s">
        <v>575</v>
      </c>
      <c r="AE1148" t="s">
        <v>19384</v>
      </c>
      <c r="AF1148" t="s">
        <v>74</v>
      </c>
      <c r="AG1148">
        <v>94</v>
      </c>
      <c r="AH1148">
        <v>0</v>
      </c>
      <c r="AI1148">
        <v>0</v>
      </c>
      <c r="AJ1148">
        <v>8</v>
      </c>
      <c r="AK1148">
        <v>8</v>
      </c>
      <c r="AL1148" t="s">
        <v>2473</v>
      </c>
      <c r="AM1148" t="s">
        <v>2102</v>
      </c>
      <c r="AN1148" t="s">
        <v>2474</v>
      </c>
      <c r="AO1148" t="s">
        <v>74</v>
      </c>
      <c r="AP1148" t="s">
        <v>2475</v>
      </c>
      <c r="AQ1148" t="s">
        <v>74</v>
      </c>
      <c r="AR1148" t="s">
        <v>2476</v>
      </c>
      <c r="AS1148" t="s">
        <v>2477</v>
      </c>
      <c r="AT1148" t="s">
        <v>405</v>
      </c>
      <c r="AU1148">
        <v>2023</v>
      </c>
      <c r="AV1148">
        <v>15</v>
      </c>
      <c r="AW1148">
        <v>3</v>
      </c>
      <c r="AX1148" t="s">
        <v>74</v>
      </c>
      <c r="AY1148" t="s">
        <v>74</v>
      </c>
      <c r="AZ1148" t="s">
        <v>74</v>
      </c>
      <c r="BA1148" t="s">
        <v>74</v>
      </c>
      <c r="BB1148" t="s">
        <v>74</v>
      </c>
      <c r="BC1148" t="s">
        <v>74</v>
      </c>
      <c r="BD1148">
        <v>2669</v>
      </c>
      <c r="BE1148" t="s">
        <v>19385</v>
      </c>
      <c r="BF1148" t="str">
        <f>HYPERLINK("http://dx.doi.org/10.3390/su15032669","http://dx.doi.org/10.3390/su15032669")</f>
        <v>http://dx.doi.org/10.3390/su15032669</v>
      </c>
      <c r="BG1148" t="s">
        <v>74</v>
      </c>
      <c r="BH1148" t="s">
        <v>74</v>
      </c>
      <c r="BI1148">
        <v>19</v>
      </c>
      <c r="BJ1148" t="s">
        <v>2479</v>
      </c>
      <c r="BK1148" t="s">
        <v>147</v>
      </c>
      <c r="BL1148" t="s">
        <v>2480</v>
      </c>
      <c r="BM1148" t="s">
        <v>19386</v>
      </c>
      <c r="BN1148" t="s">
        <v>74</v>
      </c>
      <c r="BO1148" t="s">
        <v>2482</v>
      </c>
      <c r="BP1148" t="s">
        <v>74</v>
      </c>
      <c r="BQ1148" t="s">
        <v>74</v>
      </c>
      <c r="BR1148" t="s">
        <v>97</v>
      </c>
      <c r="BS1148" t="s">
        <v>19387</v>
      </c>
      <c r="BT1148" t="str">
        <f>HYPERLINK("https%3A%2F%2Fwww.webofscience.com%2Fwos%2Fwoscc%2Ffull-record%2FWOS:000930111000001","View Full Record in Web of Science")</f>
        <v>View Full Record in Web of Science</v>
      </c>
    </row>
    <row r="1149" spans="1:72" x14ac:dyDescent="0.25">
      <c r="A1149" t="s">
        <v>72</v>
      </c>
      <c r="B1149" t="s">
        <v>19388</v>
      </c>
      <c r="C1149" t="s">
        <v>74</v>
      </c>
      <c r="D1149" t="s">
        <v>74</v>
      </c>
      <c r="E1149" t="s">
        <v>74</v>
      </c>
      <c r="F1149" t="s">
        <v>19389</v>
      </c>
      <c r="G1149" t="s">
        <v>74</v>
      </c>
      <c r="H1149" t="s">
        <v>74</v>
      </c>
      <c r="I1149" t="s">
        <v>19390</v>
      </c>
      <c r="J1149" t="s">
        <v>6168</v>
      </c>
      <c r="K1149" t="s">
        <v>74</v>
      </c>
      <c r="L1149" t="s">
        <v>74</v>
      </c>
      <c r="M1149" t="s">
        <v>77</v>
      </c>
      <c r="N1149" t="s">
        <v>10095</v>
      </c>
      <c r="O1149" t="s">
        <v>74</v>
      </c>
      <c r="P1149" t="s">
        <v>74</v>
      </c>
      <c r="Q1149" t="s">
        <v>74</v>
      </c>
      <c r="R1149" t="s">
        <v>74</v>
      </c>
      <c r="S1149" t="s">
        <v>74</v>
      </c>
      <c r="T1149" t="s">
        <v>19391</v>
      </c>
      <c r="U1149" t="s">
        <v>19392</v>
      </c>
      <c r="V1149" t="s">
        <v>19393</v>
      </c>
      <c r="W1149" t="s">
        <v>19394</v>
      </c>
      <c r="X1149" t="s">
        <v>19395</v>
      </c>
      <c r="Y1149" t="s">
        <v>19396</v>
      </c>
      <c r="Z1149" t="s">
        <v>19397</v>
      </c>
      <c r="AA1149" t="s">
        <v>74</v>
      </c>
      <c r="AB1149" t="s">
        <v>19398</v>
      </c>
      <c r="AC1149" t="s">
        <v>74</v>
      </c>
      <c r="AD1149" t="s">
        <v>74</v>
      </c>
      <c r="AE1149" t="s">
        <v>74</v>
      </c>
      <c r="AF1149" t="s">
        <v>74</v>
      </c>
      <c r="AG1149">
        <v>88</v>
      </c>
      <c r="AH1149">
        <v>0</v>
      </c>
      <c r="AI1149">
        <v>0</v>
      </c>
      <c r="AJ1149">
        <v>10</v>
      </c>
      <c r="AK1149">
        <v>10</v>
      </c>
      <c r="AL1149" t="s">
        <v>350</v>
      </c>
      <c r="AM1149" t="s">
        <v>351</v>
      </c>
      <c r="AN1149" t="s">
        <v>352</v>
      </c>
      <c r="AO1149" t="s">
        <v>6180</v>
      </c>
      <c r="AP1149" t="s">
        <v>6181</v>
      </c>
      <c r="AQ1149" t="s">
        <v>74</v>
      </c>
      <c r="AR1149" t="s">
        <v>6182</v>
      </c>
      <c r="AS1149" t="s">
        <v>6183</v>
      </c>
      <c r="AT1149" t="s">
        <v>74</v>
      </c>
      <c r="AU1149" t="s">
        <v>74</v>
      </c>
      <c r="AV1149" t="s">
        <v>74</v>
      </c>
      <c r="AW1149" t="s">
        <v>74</v>
      </c>
      <c r="AX1149" t="s">
        <v>74</v>
      </c>
      <c r="AY1149" t="s">
        <v>74</v>
      </c>
      <c r="AZ1149" t="s">
        <v>74</v>
      </c>
      <c r="BA1149" t="s">
        <v>74</v>
      </c>
      <c r="BB1149" t="s">
        <v>74</v>
      </c>
      <c r="BC1149" t="s">
        <v>74</v>
      </c>
      <c r="BD1149" t="s">
        <v>74</v>
      </c>
      <c r="BE1149" t="s">
        <v>19399</v>
      </c>
      <c r="BF1149" t="str">
        <f>HYPERLINK("http://dx.doi.org/10.1177/10963480231151674","http://dx.doi.org/10.1177/10963480231151674")</f>
        <v>http://dx.doi.org/10.1177/10963480231151674</v>
      </c>
      <c r="BG1149" t="s">
        <v>74</v>
      </c>
      <c r="BH1149" t="s">
        <v>17159</v>
      </c>
      <c r="BI1149">
        <v>13</v>
      </c>
      <c r="BJ1149" t="s">
        <v>630</v>
      </c>
      <c r="BK1149" t="s">
        <v>94</v>
      </c>
      <c r="BL1149" t="s">
        <v>631</v>
      </c>
      <c r="BM1149" t="s">
        <v>19400</v>
      </c>
      <c r="BN1149" t="s">
        <v>74</v>
      </c>
      <c r="BO1149" t="s">
        <v>74</v>
      </c>
      <c r="BP1149" t="s">
        <v>74</v>
      </c>
      <c r="BQ1149" t="s">
        <v>74</v>
      </c>
      <c r="BR1149" t="s">
        <v>97</v>
      </c>
      <c r="BS1149" t="s">
        <v>19401</v>
      </c>
      <c r="BT1149" t="str">
        <f>HYPERLINK("https%3A%2F%2Fwww.webofscience.com%2Fwos%2Fwoscc%2Ffull-record%2FWOS:000919967800001","View Full Record in Web of Science")</f>
        <v>View Full Record in Web of Science</v>
      </c>
    </row>
    <row r="1150" spans="1:72" x14ac:dyDescent="0.25">
      <c r="A1150" t="s">
        <v>72</v>
      </c>
      <c r="B1150" t="s">
        <v>19402</v>
      </c>
      <c r="C1150" t="s">
        <v>74</v>
      </c>
      <c r="D1150" t="s">
        <v>74</v>
      </c>
      <c r="E1150" t="s">
        <v>74</v>
      </c>
      <c r="F1150" t="s">
        <v>19403</v>
      </c>
      <c r="G1150" t="s">
        <v>74</v>
      </c>
      <c r="H1150" t="s">
        <v>74</v>
      </c>
      <c r="I1150" t="s">
        <v>19404</v>
      </c>
      <c r="J1150" t="s">
        <v>3528</v>
      </c>
      <c r="K1150" t="s">
        <v>74</v>
      </c>
      <c r="L1150" t="s">
        <v>74</v>
      </c>
      <c r="M1150" t="s">
        <v>77</v>
      </c>
      <c r="N1150" t="s">
        <v>10095</v>
      </c>
      <c r="O1150" t="s">
        <v>74</v>
      </c>
      <c r="P1150" t="s">
        <v>74</v>
      </c>
      <c r="Q1150" t="s">
        <v>74</v>
      </c>
      <c r="R1150" t="s">
        <v>74</v>
      </c>
      <c r="S1150" t="s">
        <v>74</v>
      </c>
      <c r="T1150" t="s">
        <v>19405</v>
      </c>
      <c r="U1150" t="s">
        <v>19406</v>
      </c>
      <c r="V1150" t="s">
        <v>19407</v>
      </c>
      <c r="W1150" t="s">
        <v>19408</v>
      </c>
      <c r="X1150" t="s">
        <v>19409</v>
      </c>
      <c r="Y1150" t="s">
        <v>19410</v>
      </c>
      <c r="Z1150" t="s">
        <v>6662</v>
      </c>
      <c r="AA1150" t="s">
        <v>74</v>
      </c>
      <c r="AB1150" t="s">
        <v>19411</v>
      </c>
      <c r="AC1150" t="s">
        <v>74</v>
      </c>
      <c r="AD1150" t="s">
        <v>74</v>
      </c>
      <c r="AE1150" t="s">
        <v>74</v>
      </c>
      <c r="AF1150" t="s">
        <v>74</v>
      </c>
      <c r="AG1150">
        <v>109</v>
      </c>
      <c r="AH1150">
        <v>0</v>
      </c>
      <c r="AI1150">
        <v>0</v>
      </c>
      <c r="AJ1150">
        <v>9</v>
      </c>
      <c r="AK1150">
        <v>9</v>
      </c>
      <c r="AL1150" t="s">
        <v>1099</v>
      </c>
      <c r="AM1150" t="s">
        <v>305</v>
      </c>
      <c r="AN1150" t="s">
        <v>1100</v>
      </c>
      <c r="AO1150" t="s">
        <v>3537</v>
      </c>
      <c r="AP1150" t="s">
        <v>3538</v>
      </c>
      <c r="AQ1150" t="s">
        <v>74</v>
      </c>
      <c r="AR1150" t="s">
        <v>3539</v>
      </c>
      <c r="AS1150" t="s">
        <v>3540</v>
      </c>
      <c r="AT1150" t="s">
        <v>74</v>
      </c>
      <c r="AU1150" t="s">
        <v>74</v>
      </c>
      <c r="AV1150" t="s">
        <v>74</v>
      </c>
      <c r="AW1150" t="s">
        <v>74</v>
      </c>
      <c r="AX1150" t="s">
        <v>74</v>
      </c>
      <c r="AY1150" t="s">
        <v>74</v>
      </c>
      <c r="AZ1150" t="s">
        <v>74</v>
      </c>
      <c r="BA1150" t="s">
        <v>74</v>
      </c>
      <c r="BB1150" t="s">
        <v>74</v>
      </c>
      <c r="BC1150" t="s">
        <v>74</v>
      </c>
      <c r="BD1150" t="s">
        <v>74</v>
      </c>
      <c r="BE1150" t="s">
        <v>19412</v>
      </c>
      <c r="BF1150" t="str">
        <f>HYPERLINK("http://dx.doi.org/10.1080/02642069.2022.2163994","http://dx.doi.org/10.1080/02642069.2022.2163994")</f>
        <v>http://dx.doi.org/10.1080/02642069.2022.2163994</v>
      </c>
      <c r="BG1150" t="s">
        <v>74</v>
      </c>
      <c r="BH1150" t="s">
        <v>17159</v>
      </c>
      <c r="BI1150">
        <v>27</v>
      </c>
      <c r="BJ1150" t="s">
        <v>442</v>
      </c>
      <c r="BK1150" t="s">
        <v>94</v>
      </c>
      <c r="BL1150" t="s">
        <v>95</v>
      </c>
      <c r="BM1150" t="s">
        <v>19413</v>
      </c>
      <c r="BN1150" t="s">
        <v>74</v>
      </c>
      <c r="BO1150" t="s">
        <v>74</v>
      </c>
      <c r="BP1150" t="s">
        <v>74</v>
      </c>
      <c r="BQ1150" t="s">
        <v>74</v>
      </c>
      <c r="BR1150" t="s">
        <v>97</v>
      </c>
      <c r="BS1150" t="s">
        <v>19414</v>
      </c>
      <c r="BT1150" t="str">
        <f>HYPERLINK("https%3A%2F%2Fwww.webofscience.com%2Fwos%2Fwoscc%2Ffull-record%2FWOS:000932981700001","View Full Record in Web of Science")</f>
        <v>View Full Record in Web of Science</v>
      </c>
    </row>
    <row r="1151" spans="1:72" x14ac:dyDescent="0.25">
      <c r="A1151" t="s">
        <v>72</v>
      </c>
      <c r="B1151" t="s">
        <v>19415</v>
      </c>
      <c r="C1151" t="s">
        <v>74</v>
      </c>
      <c r="D1151" t="s">
        <v>74</v>
      </c>
      <c r="E1151" t="s">
        <v>74</v>
      </c>
      <c r="F1151" t="s">
        <v>19416</v>
      </c>
      <c r="G1151" t="s">
        <v>74</v>
      </c>
      <c r="H1151" t="s">
        <v>74</v>
      </c>
      <c r="I1151" t="s">
        <v>19417</v>
      </c>
      <c r="J1151" t="s">
        <v>1916</v>
      </c>
      <c r="K1151" t="s">
        <v>74</v>
      </c>
      <c r="L1151" t="s">
        <v>74</v>
      </c>
      <c r="M1151" t="s">
        <v>77</v>
      </c>
      <c r="N1151" t="s">
        <v>78</v>
      </c>
      <c r="O1151" t="s">
        <v>74</v>
      </c>
      <c r="P1151" t="s">
        <v>74</v>
      </c>
      <c r="Q1151" t="s">
        <v>74</v>
      </c>
      <c r="R1151" t="s">
        <v>74</v>
      </c>
      <c r="S1151" t="s">
        <v>74</v>
      </c>
      <c r="T1151" t="s">
        <v>19418</v>
      </c>
      <c r="U1151" t="s">
        <v>19419</v>
      </c>
      <c r="V1151" t="s">
        <v>19420</v>
      </c>
      <c r="W1151" t="s">
        <v>19421</v>
      </c>
      <c r="X1151" t="s">
        <v>9771</v>
      </c>
      <c r="Y1151" t="s">
        <v>19422</v>
      </c>
      <c r="Z1151" t="s">
        <v>19423</v>
      </c>
      <c r="AA1151" t="s">
        <v>74</v>
      </c>
      <c r="AB1151" t="s">
        <v>19424</v>
      </c>
      <c r="AC1151" t="s">
        <v>19425</v>
      </c>
      <c r="AD1151" t="s">
        <v>19426</v>
      </c>
      <c r="AE1151" t="s">
        <v>19427</v>
      </c>
      <c r="AF1151" t="s">
        <v>74</v>
      </c>
      <c r="AG1151">
        <v>129</v>
      </c>
      <c r="AH1151">
        <v>0</v>
      </c>
      <c r="AI1151">
        <v>0</v>
      </c>
      <c r="AJ1151">
        <v>12</v>
      </c>
      <c r="AK1151">
        <v>12</v>
      </c>
      <c r="AL1151" t="s">
        <v>665</v>
      </c>
      <c r="AM1151" t="s">
        <v>666</v>
      </c>
      <c r="AN1151" t="s">
        <v>667</v>
      </c>
      <c r="AO1151" t="s">
        <v>1926</v>
      </c>
      <c r="AP1151" t="s">
        <v>1927</v>
      </c>
      <c r="AQ1151" t="s">
        <v>74</v>
      </c>
      <c r="AR1151" t="s">
        <v>1928</v>
      </c>
      <c r="AS1151" t="s">
        <v>1929</v>
      </c>
      <c r="AT1151" t="s">
        <v>457</v>
      </c>
      <c r="AU1151">
        <v>2023</v>
      </c>
      <c r="AV1151">
        <v>61</v>
      </c>
      <c r="AW1151">
        <v>3</v>
      </c>
      <c r="AX1151" t="s">
        <v>74</v>
      </c>
      <c r="AY1151" t="s">
        <v>74</v>
      </c>
      <c r="AZ1151" t="s">
        <v>74</v>
      </c>
      <c r="BA1151" t="s">
        <v>74</v>
      </c>
      <c r="BB1151">
        <v>610</v>
      </c>
      <c r="BC1151">
        <v>636</v>
      </c>
      <c r="BD1151" t="s">
        <v>74</v>
      </c>
      <c r="BE1151" t="s">
        <v>19428</v>
      </c>
      <c r="BF1151" t="str">
        <f>HYPERLINK("http://dx.doi.org/10.1108/MD-08-2021-1113","http://dx.doi.org/10.1108/MD-08-2021-1113")</f>
        <v>http://dx.doi.org/10.1108/MD-08-2021-1113</v>
      </c>
      <c r="BG1151" t="s">
        <v>74</v>
      </c>
      <c r="BH1151" t="s">
        <v>17159</v>
      </c>
      <c r="BI1151">
        <v>27</v>
      </c>
      <c r="BJ1151" t="s">
        <v>93</v>
      </c>
      <c r="BK1151" t="s">
        <v>94</v>
      </c>
      <c r="BL1151" t="s">
        <v>95</v>
      </c>
      <c r="BM1151" t="s">
        <v>19429</v>
      </c>
      <c r="BN1151" t="s">
        <v>74</v>
      </c>
      <c r="BO1151" t="s">
        <v>74</v>
      </c>
      <c r="BP1151" t="s">
        <v>74</v>
      </c>
      <c r="BQ1151" t="s">
        <v>74</v>
      </c>
      <c r="BR1151" t="s">
        <v>97</v>
      </c>
      <c r="BS1151" t="s">
        <v>19430</v>
      </c>
      <c r="BT1151" t="str">
        <f>HYPERLINK("https%3A%2F%2Fwww.webofscience.com%2Fwos%2Fwoscc%2Ffull-record%2FWOS:000911593800001","View Full Record in Web of Science")</f>
        <v>View Full Record in Web of Science</v>
      </c>
    </row>
    <row r="1152" spans="1:72" x14ac:dyDescent="0.25">
      <c r="A1152" t="s">
        <v>72</v>
      </c>
      <c r="B1152" t="s">
        <v>19431</v>
      </c>
      <c r="C1152" t="s">
        <v>74</v>
      </c>
      <c r="D1152" t="s">
        <v>74</v>
      </c>
      <c r="E1152" t="s">
        <v>74</v>
      </c>
      <c r="F1152" t="s">
        <v>19432</v>
      </c>
      <c r="G1152" t="s">
        <v>74</v>
      </c>
      <c r="H1152" t="s">
        <v>74</v>
      </c>
      <c r="I1152" t="s">
        <v>19433</v>
      </c>
      <c r="J1152" t="s">
        <v>3184</v>
      </c>
      <c r="K1152" t="s">
        <v>74</v>
      </c>
      <c r="L1152" t="s">
        <v>74</v>
      </c>
      <c r="M1152" t="s">
        <v>77</v>
      </c>
      <c r="N1152" t="s">
        <v>78</v>
      </c>
      <c r="O1152" t="s">
        <v>74</v>
      </c>
      <c r="P1152" t="s">
        <v>74</v>
      </c>
      <c r="Q1152" t="s">
        <v>74</v>
      </c>
      <c r="R1152" t="s">
        <v>74</v>
      </c>
      <c r="S1152" t="s">
        <v>74</v>
      </c>
      <c r="T1152" t="s">
        <v>19434</v>
      </c>
      <c r="U1152" t="s">
        <v>19435</v>
      </c>
      <c r="V1152" t="s">
        <v>19436</v>
      </c>
      <c r="W1152" t="s">
        <v>19437</v>
      </c>
      <c r="X1152" t="s">
        <v>19438</v>
      </c>
      <c r="Y1152" t="s">
        <v>19439</v>
      </c>
      <c r="Z1152" t="s">
        <v>19440</v>
      </c>
      <c r="AA1152" t="s">
        <v>74</v>
      </c>
      <c r="AB1152" t="s">
        <v>74</v>
      </c>
      <c r="AC1152" t="s">
        <v>74</v>
      </c>
      <c r="AD1152" t="s">
        <v>74</v>
      </c>
      <c r="AE1152" t="s">
        <v>74</v>
      </c>
      <c r="AF1152" t="s">
        <v>74</v>
      </c>
      <c r="AG1152">
        <v>80</v>
      </c>
      <c r="AH1152">
        <v>0</v>
      </c>
      <c r="AI1152">
        <v>0</v>
      </c>
      <c r="AJ1152">
        <v>42</v>
      </c>
      <c r="AK1152">
        <v>42</v>
      </c>
      <c r="AL1152" t="s">
        <v>3195</v>
      </c>
      <c r="AM1152" t="s">
        <v>3196</v>
      </c>
      <c r="AN1152" t="s">
        <v>3197</v>
      </c>
      <c r="AO1152" t="s">
        <v>3198</v>
      </c>
      <c r="AP1152" t="s">
        <v>74</v>
      </c>
      <c r="AQ1152" t="s">
        <v>74</v>
      </c>
      <c r="AR1152" t="s">
        <v>3199</v>
      </c>
      <c r="AS1152" t="s">
        <v>3200</v>
      </c>
      <c r="AT1152" t="s">
        <v>19441</v>
      </c>
      <c r="AU1152">
        <v>2023</v>
      </c>
      <c r="AV1152">
        <v>13</v>
      </c>
      <c r="AW1152" t="s">
        <v>74</v>
      </c>
      <c r="AX1152" t="s">
        <v>74</v>
      </c>
      <c r="AY1152" t="s">
        <v>74</v>
      </c>
      <c r="AZ1152" t="s">
        <v>74</v>
      </c>
      <c r="BA1152" t="s">
        <v>74</v>
      </c>
      <c r="BB1152" t="s">
        <v>74</v>
      </c>
      <c r="BC1152" t="s">
        <v>74</v>
      </c>
      <c r="BD1152">
        <v>1106494</v>
      </c>
      <c r="BE1152" t="s">
        <v>19442</v>
      </c>
      <c r="BF1152" t="str">
        <f>HYPERLINK("http://dx.doi.org/10.3389/fpsyg.2022.1106494","http://dx.doi.org/10.3389/fpsyg.2022.1106494")</f>
        <v>http://dx.doi.org/10.3389/fpsyg.2022.1106494</v>
      </c>
      <c r="BG1152" t="s">
        <v>74</v>
      </c>
      <c r="BH1152" t="s">
        <v>74</v>
      </c>
      <c r="BI1152">
        <v>10</v>
      </c>
      <c r="BJ1152" t="s">
        <v>3203</v>
      </c>
      <c r="BK1152" t="s">
        <v>94</v>
      </c>
      <c r="BL1152" t="s">
        <v>460</v>
      </c>
      <c r="BM1152" t="s">
        <v>19443</v>
      </c>
      <c r="BN1152">
        <v>36726517</v>
      </c>
      <c r="BO1152" t="s">
        <v>4398</v>
      </c>
      <c r="BP1152" t="s">
        <v>74</v>
      </c>
      <c r="BQ1152" t="s">
        <v>74</v>
      </c>
      <c r="BR1152" t="s">
        <v>97</v>
      </c>
      <c r="BS1152" t="s">
        <v>19444</v>
      </c>
      <c r="BT1152" t="str">
        <f>HYPERLINK("https%3A%2F%2Fwww.webofscience.com%2Fwos%2Fwoscc%2Ffull-record%2FWOS:000921630200001","View Full Record in Web of Science")</f>
        <v>View Full Record in Web of Science</v>
      </c>
    </row>
    <row r="1153" spans="1:72" x14ac:dyDescent="0.25">
      <c r="A1153" t="s">
        <v>72</v>
      </c>
      <c r="B1153" t="s">
        <v>19445</v>
      </c>
      <c r="C1153" t="s">
        <v>74</v>
      </c>
      <c r="D1153" t="s">
        <v>74</v>
      </c>
      <c r="E1153" t="s">
        <v>74</v>
      </c>
      <c r="F1153" t="s">
        <v>19446</v>
      </c>
      <c r="G1153" t="s">
        <v>74</v>
      </c>
      <c r="H1153" t="s">
        <v>74</v>
      </c>
      <c r="I1153" t="s">
        <v>19447</v>
      </c>
      <c r="J1153" t="s">
        <v>3184</v>
      </c>
      <c r="K1153" t="s">
        <v>74</v>
      </c>
      <c r="L1153" t="s">
        <v>74</v>
      </c>
      <c r="M1153" t="s">
        <v>77</v>
      </c>
      <c r="N1153" t="s">
        <v>78</v>
      </c>
      <c r="O1153" t="s">
        <v>74</v>
      </c>
      <c r="P1153" t="s">
        <v>74</v>
      </c>
      <c r="Q1153" t="s">
        <v>74</v>
      </c>
      <c r="R1153" t="s">
        <v>74</v>
      </c>
      <c r="S1153" t="s">
        <v>74</v>
      </c>
      <c r="T1153" t="s">
        <v>19448</v>
      </c>
      <c r="U1153" t="s">
        <v>19449</v>
      </c>
      <c r="V1153" t="s">
        <v>19450</v>
      </c>
      <c r="W1153" t="s">
        <v>19451</v>
      </c>
      <c r="X1153" t="s">
        <v>19452</v>
      </c>
      <c r="Y1153" t="s">
        <v>19453</v>
      </c>
      <c r="Z1153" t="s">
        <v>19454</v>
      </c>
      <c r="AA1153" t="s">
        <v>74</v>
      </c>
      <c r="AB1153" t="s">
        <v>74</v>
      </c>
      <c r="AC1153" t="s">
        <v>19455</v>
      </c>
      <c r="AD1153" t="s">
        <v>7061</v>
      </c>
      <c r="AE1153" t="s">
        <v>19456</v>
      </c>
      <c r="AF1153" t="s">
        <v>74</v>
      </c>
      <c r="AG1153">
        <v>128</v>
      </c>
      <c r="AH1153">
        <v>0</v>
      </c>
      <c r="AI1153">
        <v>0</v>
      </c>
      <c r="AJ1153">
        <v>41</v>
      </c>
      <c r="AK1153">
        <v>41</v>
      </c>
      <c r="AL1153" t="s">
        <v>3195</v>
      </c>
      <c r="AM1153" t="s">
        <v>3196</v>
      </c>
      <c r="AN1153" t="s">
        <v>3197</v>
      </c>
      <c r="AO1153" t="s">
        <v>3198</v>
      </c>
      <c r="AP1153" t="s">
        <v>74</v>
      </c>
      <c r="AQ1153" t="s">
        <v>74</v>
      </c>
      <c r="AR1153" t="s">
        <v>3199</v>
      </c>
      <c r="AS1153" t="s">
        <v>3200</v>
      </c>
      <c r="AT1153" t="s">
        <v>9290</v>
      </c>
      <c r="AU1153">
        <v>2023</v>
      </c>
      <c r="AV1153">
        <v>13</v>
      </c>
      <c r="AW1153" t="s">
        <v>74</v>
      </c>
      <c r="AX1153" t="s">
        <v>74</v>
      </c>
      <c r="AY1153" t="s">
        <v>74</v>
      </c>
      <c r="AZ1153" t="s">
        <v>74</v>
      </c>
      <c r="BA1153" t="s">
        <v>74</v>
      </c>
      <c r="BB1153" t="s">
        <v>74</v>
      </c>
      <c r="BC1153" t="s">
        <v>74</v>
      </c>
      <c r="BD1153">
        <v>1069022</v>
      </c>
      <c r="BE1153" t="s">
        <v>19457</v>
      </c>
      <c r="BF1153" t="str">
        <f>HYPERLINK("http://dx.doi.org/10.3389/fpsyg.2022.1069022","http://dx.doi.org/10.3389/fpsyg.2022.1069022")</f>
        <v>http://dx.doi.org/10.3389/fpsyg.2022.1069022</v>
      </c>
      <c r="BG1153" t="s">
        <v>74</v>
      </c>
      <c r="BH1153" t="s">
        <v>74</v>
      </c>
      <c r="BI1153">
        <v>17</v>
      </c>
      <c r="BJ1153" t="s">
        <v>3203</v>
      </c>
      <c r="BK1153" t="s">
        <v>94</v>
      </c>
      <c r="BL1153" t="s">
        <v>460</v>
      </c>
      <c r="BM1153" t="s">
        <v>19458</v>
      </c>
      <c r="BN1153">
        <v>36710797</v>
      </c>
      <c r="BO1153" t="s">
        <v>4398</v>
      </c>
      <c r="BP1153" t="s">
        <v>74</v>
      </c>
      <c r="BQ1153" t="s">
        <v>74</v>
      </c>
      <c r="BR1153" t="s">
        <v>97</v>
      </c>
      <c r="BS1153" t="s">
        <v>19459</v>
      </c>
      <c r="BT1153" t="str">
        <f>HYPERLINK("https%3A%2F%2Fwww.webofscience.com%2Fwos%2Fwoscc%2Ffull-record%2FWOS:000918478100001","View Full Record in Web of Science")</f>
        <v>View Full Record in Web of Science</v>
      </c>
    </row>
    <row r="1154" spans="1:72" x14ac:dyDescent="0.25">
      <c r="A1154" t="s">
        <v>72</v>
      </c>
      <c r="B1154" t="s">
        <v>19460</v>
      </c>
      <c r="C1154" t="s">
        <v>74</v>
      </c>
      <c r="D1154" t="s">
        <v>74</v>
      </c>
      <c r="E1154" t="s">
        <v>74</v>
      </c>
      <c r="F1154" t="s">
        <v>19461</v>
      </c>
      <c r="G1154" t="s">
        <v>74</v>
      </c>
      <c r="H1154" t="s">
        <v>74</v>
      </c>
      <c r="I1154" t="s">
        <v>19462</v>
      </c>
      <c r="J1154" t="s">
        <v>19463</v>
      </c>
      <c r="K1154" t="s">
        <v>74</v>
      </c>
      <c r="L1154" t="s">
        <v>74</v>
      </c>
      <c r="M1154" t="s">
        <v>77</v>
      </c>
      <c r="N1154" t="s">
        <v>78</v>
      </c>
      <c r="O1154" t="s">
        <v>74</v>
      </c>
      <c r="P1154" t="s">
        <v>74</v>
      </c>
      <c r="Q1154" t="s">
        <v>74</v>
      </c>
      <c r="R1154" t="s">
        <v>74</v>
      </c>
      <c r="S1154" t="s">
        <v>74</v>
      </c>
      <c r="T1154" t="s">
        <v>19464</v>
      </c>
      <c r="U1154" t="s">
        <v>19465</v>
      </c>
      <c r="V1154" t="s">
        <v>19466</v>
      </c>
      <c r="W1154" t="s">
        <v>19467</v>
      </c>
      <c r="X1154" t="s">
        <v>19468</v>
      </c>
      <c r="Y1154" t="s">
        <v>19469</v>
      </c>
      <c r="Z1154" t="s">
        <v>19470</v>
      </c>
      <c r="AA1154" t="s">
        <v>19471</v>
      </c>
      <c r="AB1154" t="s">
        <v>19472</v>
      </c>
      <c r="AC1154" t="s">
        <v>19473</v>
      </c>
      <c r="AD1154" t="s">
        <v>19474</v>
      </c>
      <c r="AE1154" t="s">
        <v>19475</v>
      </c>
      <c r="AF1154" t="s">
        <v>74</v>
      </c>
      <c r="AG1154">
        <v>38</v>
      </c>
      <c r="AH1154">
        <v>0</v>
      </c>
      <c r="AI1154">
        <v>0</v>
      </c>
      <c r="AJ1154">
        <v>0</v>
      </c>
      <c r="AK1154">
        <v>0</v>
      </c>
      <c r="AL1154" t="s">
        <v>3195</v>
      </c>
      <c r="AM1154" t="s">
        <v>3196</v>
      </c>
      <c r="AN1154" t="s">
        <v>3197</v>
      </c>
      <c r="AO1154" t="s">
        <v>19476</v>
      </c>
      <c r="AP1154" t="s">
        <v>74</v>
      </c>
      <c r="AQ1154" t="s">
        <v>74</v>
      </c>
      <c r="AR1154" t="s">
        <v>19477</v>
      </c>
      <c r="AS1154" t="s">
        <v>19478</v>
      </c>
      <c r="AT1154" t="s">
        <v>19479</v>
      </c>
      <c r="AU1154">
        <v>2023</v>
      </c>
      <c r="AV1154">
        <v>10</v>
      </c>
      <c r="AW1154" t="s">
        <v>74</v>
      </c>
      <c r="AX1154" t="s">
        <v>74</v>
      </c>
      <c r="AY1154" t="s">
        <v>74</v>
      </c>
      <c r="AZ1154" t="s">
        <v>74</v>
      </c>
      <c r="BA1154" t="s">
        <v>74</v>
      </c>
      <c r="BB1154" t="s">
        <v>74</v>
      </c>
      <c r="BC1154" t="s">
        <v>74</v>
      </c>
      <c r="BD1154">
        <v>1030418</v>
      </c>
      <c r="BE1154" t="s">
        <v>19480</v>
      </c>
      <c r="BF1154" t="str">
        <f>HYPERLINK("http://dx.doi.org/10.3389/fenrg.2022.1030418","http://dx.doi.org/10.3389/fenrg.2022.1030418")</f>
        <v>http://dx.doi.org/10.3389/fenrg.2022.1030418</v>
      </c>
      <c r="BG1154" t="s">
        <v>74</v>
      </c>
      <c r="BH1154" t="s">
        <v>74</v>
      </c>
      <c r="BI1154">
        <v>9</v>
      </c>
      <c r="BJ1154" t="s">
        <v>19481</v>
      </c>
      <c r="BK1154" t="s">
        <v>283</v>
      </c>
      <c r="BL1154" t="s">
        <v>19481</v>
      </c>
      <c r="BM1154" t="s">
        <v>19482</v>
      </c>
      <c r="BN1154" t="s">
        <v>74</v>
      </c>
      <c r="BO1154" t="s">
        <v>10146</v>
      </c>
      <c r="BP1154" t="s">
        <v>74</v>
      </c>
      <c r="BQ1154" t="s">
        <v>74</v>
      </c>
      <c r="BR1154" t="s">
        <v>97</v>
      </c>
      <c r="BS1154" t="s">
        <v>19483</v>
      </c>
      <c r="BT1154" t="str">
        <f>HYPERLINK("https%3A%2F%2Fwww.webofscience.com%2Fwos%2Fwoscc%2Ffull-record%2FWOS:000921454800001","View Full Record in Web of Science")</f>
        <v>View Full Record in Web of Science</v>
      </c>
    </row>
    <row r="1155" spans="1:72" x14ac:dyDescent="0.25">
      <c r="A1155" t="s">
        <v>72</v>
      </c>
      <c r="B1155" t="s">
        <v>19484</v>
      </c>
      <c r="C1155" t="s">
        <v>74</v>
      </c>
      <c r="D1155" t="s">
        <v>74</v>
      </c>
      <c r="E1155" t="s">
        <v>74</v>
      </c>
      <c r="F1155" t="s">
        <v>19485</v>
      </c>
      <c r="G1155" t="s">
        <v>74</v>
      </c>
      <c r="H1155" t="s">
        <v>74</v>
      </c>
      <c r="I1155" t="s">
        <v>19486</v>
      </c>
      <c r="J1155" t="s">
        <v>8851</v>
      </c>
      <c r="K1155" t="s">
        <v>74</v>
      </c>
      <c r="L1155" t="s">
        <v>74</v>
      </c>
      <c r="M1155" t="s">
        <v>77</v>
      </c>
      <c r="N1155" t="s">
        <v>78</v>
      </c>
      <c r="O1155" t="s">
        <v>74</v>
      </c>
      <c r="P1155" t="s">
        <v>74</v>
      </c>
      <c r="Q1155" t="s">
        <v>74</v>
      </c>
      <c r="R1155" t="s">
        <v>74</v>
      </c>
      <c r="S1155" t="s">
        <v>74</v>
      </c>
      <c r="T1155" t="s">
        <v>19487</v>
      </c>
      <c r="U1155" t="s">
        <v>74</v>
      </c>
      <c r="V1155" t="s">
        <v>19488</v>
      </c>
      <c r="W1155" t="s">
        <v>19489</v>
      </c>
      <c r="X1155" t="s">
        <v>19490</v>
      </c>
      <c r="Y1155" t="s">
        <v>19491</v>
      </c>
      <c r="Z1155" t="s">
        <v>19492</v>
      </c>
      <c r="AA1155" t="s">
        <v>19493</v>
      </c>
      <c r="AB1155" t="s">
        <v>19494</v>
      </c>
      <c r="AC1155" t="s">
        <v>19495</v>
      </c>
      <c r="AD1155" t="s">
        <v>19495</v>
      </c>
      <c r="AE1155" t="s">
        <v>19496</v>
      </c>
      <c r="AF1155" t="s">
        <v>74</v>
      </c>
      <c r="AG1155">
        <v>26</v>
      </c>
      <c r="AH1155">
        <v>0</v>
      </c>
      <c r="AI1155">
        <v>0</v>
      </c>
      <c r="AJ1155">
        <v>0</v>
      </c>
      <c r="AK1155">
        <v>0</v>
      </c>
      <c r="AL1155" t="s">
        <v>350</v>
      </c>
      <c r="AM1155" t="s">
        <v>351</v>
      </c>
      <c r="AN1155" t="s">
        <v>352</v>
      </c>
      <c r="AO1155" t="s">
        <v>8864</v>
      </c>
      <c r="AP1155" t="s">
        <v>74</v>
      </c>
      <c r="AQ1155" t="s">
        <v>74</v>
      </c>
      <c r="AR1155" t="s">
        <v>8851</v>
      </c>
      <c r="AS1155" t="s">
        <v>8865</v>
      </c>
      <c r="AT1155" t="s">
        <v>892</v>
      </c>
      <c r="AU1155">
        <v>2023</v>
      </c>
      <c r="AV1155">
        <v>13</v>
      </c>
      <c r="AW1155">
        <v>1</v>
      </c>
      <c r="AX1155" t="s">
        <v>74</v>
      </c>
      <c r="AY1155" t="s">
        <v>74</v>
      </c>
      <c r="AZ1155" t="s">
        <v>74</v>
      </c>
      <c r="BA1155" t="s">
        <v>74</v>
      </c>
      <c r="BB1155" t="s">
        <v>74</v>
      </c>
      <c r="BC1155" t="s">
        <v>74</v>
      </c>
      <c r="BD1155">
        <v>2.1582440231155344E+16</v>
      </c>
      <c r="BE1155" t="s">
        <v>19497</v>
      </c>
      <c r="BF1155" t="str">
        <f>HYPERLINK("http://dx.doi.org/10.1177/21582440231155346","http://dx.doi.org/10.1177/21582440231155346")</f>
        <v>http://dx.doi.org/10.1177/21582440231155346</v>
      </c>
      <c r="BG1155" t="s">
        <v>74</v>
      </c>
      <c r="BH1155" t="s">
        <v>74</v>
      </c>
      <c r="BI1155">
        <v>10</v>
      </c>
      <c r="BJ1155" t="s">
        <v>8867</v>
      </c>
      <c r="BK1155" t="s">
        <v>94</v>
      </c>
      <c r="BL1155" t="s">
        <v>631</v>
      </c>
      <c r="BM1155" t="s">
        <v>19498</v>
      </c>
      <c r="BN1155" t="s">
        <v>74</v>
      </c>
      <c r="BO1155" t="s">
        <v>2482</v>
      </c>
      <c r="BP1155" t="s">
        <v>74</v>
      </c>
      <c r="BQ1155" t="s">
        <v>74</v>
      </c>
      <c r="BR1155" t="s">
        <v>97</v>
      </c>
      <c r="BS1155" t="s">
        <v>19499</v>
      </c>
      <c r="BT1155" t="str">
        <f>HYPERLINK("https%3A%2F%2Fwww.webofscience.com%2Fwos%2Fwoscc%2Ffull-record%2FWOS:000950585400001","View Full Record in Web of Science")</f>
        <v>View Full Record in Web of Science</v>
      </c>
    </row>
    <row r="1156" spans="1:72" x14ac:dyDescent="0.25">
      <c r="A1156" t="s">
        <v>72</v>
      </c>
      <c r="B1156" t="s">
        <v>19500</v>
      </c>
      <c r="C1156" t="s">
        <v>74</v>
      </c>
      <c r="D1156" t="s">
        <v>74</v>
      </c>
      <c r="E1156" t="s">
        <v>74</v>
      </c>
      <c r="F1156" t="s">
        <v>19501</v>
      </c>
      <c r="G1156" t="s">
        <v>74</v>
      </c>
      <c r="H1156" t="s">
        <v>74</v>
      </c>
      <c r="I1156" t="s">
        <v>19502</v>
      </c>
      <c r="J1156" t="s">
        <v>9578</v>
      </c>
      <c r="K1156" t="s">
        <v>74</v>
      </c>
      <c r="L1156" t="s">
        <v>74</v>
      </c>
      <c r="M1156" t="s">
        <v>77</v>
      </c>
      <c r="N1156" t="s">
        <v>78</v>
      </c>
      <c r="O1156" t="s">
        <v>74</v>
      </c>
      <c r="P1156" t="s">
        <v>74</v>
      </c>
      <c r="Q1156" t="s">
        <v>74</v>
      </c>
      <c r="R1156" t="s">
        <v>74</v>
      </c>
      <c r="S1156" t="s">
        <v>74</v>
      </c>
      <c r="T1156" t="s">
        <v>19503</v>
      </c>
      <c r="U1156" t="s">
        <v>19504</v>
      </c>
      <c r="V1156" t="s">
        <v>19505</v>
      </c>
      <c r="W1156" t="s">
        <v>19506</v>
      </c>
      <c r="X1156" t="s">
        <v>14477</v>
      </c>
      <c r="Y1156" t="s">
        <v>19507</v>
      </c>
      <c r="Z1156" t="s">
        <v>19508</v>
      </c>
      <c r="AA1156" t="s">
        <v>74</v>
      </c>
      <c r="AB1156" t="s">
        <v>19509</v>
      </c>
      <c r="AC1156" t="s">
        <v>74</v>
      </c>
      <c r="AD1156" t="s">
        <v>74</v>
      </c>
      <c r="AE1156" t="s">
        <v>74</v>
      </c>
      <c r="AF1156" t="s">
        <v>74</v>
      </c>
      <c r="AG1156">
        <v>74</v>
      </c>
      <c r="AH1156">
        <v>0</v>
      </c>
      <c r="AI1156">
        <v>0</v>
      </c>
      <c r="AJ1156">
        <v>4</v>
      </c>
      <c r="AK1156">
        <v>4</v>
      </c>
      <c r="AL1156" t="s">
        <v>9587</v>
      </c>
      <c r="AM1156" t="s">
        <v>9588</v>
      </c>
      <c r="AN1156" t="s">
        <v>9589</v>
      </c>
      <c r="AO1156" t="s">
        <v>9590</v>
      </c>
      <c r="AP1156" t="s">
        <v>19510</v>
      </c>
      <c r="AQ1156" t="s">
        <v>74</v>
      </c>
      <c r="AR1156" t="s">
        <v>9591</v>
      </c>
      <c r="AS1156" t="s">
        <v>9592</v>
      </c>
      <c r="AT1156" t="s">
        <v>74</v>
      </c>
      <c r="AU1156">
        <v>2023</v>
      </c>
      <c r="AV1156">
        <v>24</v>
      </c>
      <c r="AW1156">
        <v>1</v>
      </c>
      <c r="AX1156" t="s">
        <v>74</v>
      </c>
      <c r="AY1156" t="s">
        <v>74</v>
      </c>
      <c r="AZ1156" t="s">
        <v>74</v>
      </c>
      <c r="BA1156" t="s">
        <v>74</v>
      </c>
      <c r="BB1156">
        <v>136</v>
      </c>
      <c r="BC1156">
        <v>154</v>
      </c>
      <c r="BD1156" t="s">
        <v>74</v>
      </c>
      <c r="BE1156" t="s">
        <v>19511</v>
      </c>
      <c r="BF1156" t="str">
        <f>HYPERLINK("http://dx.doi.org/10.3846/jbem.2023.18599","http://dx.doi.org/10.3846/jbem.2023.18599")</f>
        <v>http://dx.doi.org/10.3846/jbem.2023.18599</v>
      </c>
      <c r="BG1156" t="s">
        <v>74</v>
      </c>
      <c r="BH1156" t="s">
        <v>74</v>
      </c>
      <c r="BI1156">
        <v>19</v>
      </c>
      <c r="BJ1156" t="s">
        <v>6604</v>
      </c>
      <c r="BK1156" t="s">
        <v>94</v>
      </c>
      <c r="BL1156" t="s">
        <v>95</v>
      </c>
      <c r="BM1156" t="s">
        <v>19512</v>
      </c>
      <c r="BN1156" t="s">
        <v>74</v>
      </c>
      <c r="BO1156" t="s">
        <v>2482</v>
      </c>
      <c r="BP1156" t="s">
        <v>74</v>
      </c>
      <c r="BQ1156" t="s">
        <v>74</v>
      </c>
      <c r="BR1156" t="s">
        <v>97</v>
      </c>
      <c r="BS1156" t="s">
        <v>19513</v>
      </c>
      <c r="BT1156" t="str">
        <f>HYPERLINK("https%3A%2F%2Fwww.webofscience.com%2Fwos%2Fwoscc%2Ffull-record%2FWOS:000948633500001","View Full Record in Web of Science")</f>
        <v>View Full Record in Web of Science</v>
      </c>
    </row>
    <row r="1157" spans="1:72" x14ac:dyDescent="0.25">
      <c r="A1157" t="s">
        <v>72</v>
      </c>
      <c r="B1157" t="s">
        <v>19514</v>
      </c>
      <c r="C1157" t="s">
        <v>74</v>
      </c>
      <c r="D1157" t="s">
        <v>74</v>
      </c>
      <c r="E1157" t="s">
        <v>74</v>
      </c>
      <c r="F1157" t="s">
        <v>19515</v>
      </c>
      <c r="G1157" t="s">
        <v>74</v>
      </c>
      <c r="H1157" t="s">
        <v>74</v>
      </c>
      <c r="I1157" t="s">
        <v>19516</v>
      </c>
      <c r="J1157" t="s">
        <v>10561</v>
      </c>
      <c r="K1157" t="s">
        <v>74</v>
      </c>
      <c r="L1157" t="s">
        <v>74</v>
      </c>
      <c r="M1157" t="s">
        <v>77</v>
      </c>
      <c r="N1157" t="s">
        <v>78</v>
      </c>
      <c r="O1157" t="s">
        <v>74</v>
      </c>
      <c r="P1157" t="s">
        <v>74</v>
      </c>
      <c r="Q1157" t="s">
        <v>74</v>
      </c>
      <c r="R1157" t="s">
        <v>74</v>
      </c>
      <c r="S1157" t="s">
        <v>74</v>
      </c>
      <c r="T1157" t="s">
        <v>19517</v>
      </c>
      <c r="U1157" t="s">
        <v>19518</v>
      </c>
      <c r="V1157" t="s">
        <v>19519</v>
      </c>
      <c r="W1157" t="s">
        <v>19520</v>
      </c>
      <c r="X1157" t="s">
        <v>12116</v>
      </c>
      <c r="Y1157" t="s">
        <v>19521</v>
      </c>
      <c r="Z1157" t="s">
        <v>19522</v>
      </c>
      <c r="AA1157" t="s">
        <v>19523</v>
      </c>
      <c r="AB1157" t="s">
        <v>19524</v>
      </c>
      <c r="AC1157" t="s">
        <v>74</v>
      </c>
      <c r="AD1157" t="s">
        <v>74</v>
      </c>
      <c r="AE1157" t="s">
        <v>74</v>
      </c>
      <c r="AF1157" t="s">
        <v>74</v>
      </c>
      <c r="AG1157">
        <v>98</v>
      </c>
      <c r="AH1157">
        <v>0</v>
      </c>
      <c r="AI1157">
        <v>0</v>
      </c>
      <c r="AJ1157">
        <v>7</v>
      </c>
      <c r="AK1157">
        <v>7</v>
      </c>
      <c r="AL1157" t="s">
        <v>2473</v>
      </c>
      <c r="AM1157" t="s">
        <v>2102</v>
      </c>
      <c r="AN1157" t="s">
        <v>2474</v>
      </c>
      <c r="AO1157" t="s">
        <v>74</v>
      </c>
      <c r="AP1157" t="s">
        <v>10570</v>
      </c>
      <c r="AQ1157" t="s">
        <v>74</v>
      </c>
      <c r="AR1157" t="s">
        <v>10571</v>
      </c>
      <c r="AS1157" t="s">
        <v>10572</v>
      </c>
      <c r="AT1157" t="s">
        <v>892</v>
      </c>
      <c r="AU1157">
        <v>2023</v>
      </c>
      <c r="AV1157">
        <v>13</v>
      </c>
      <c r="AW1157">
        <v>1</v>
      </c>
      <c r="AX1157" t="s">
        <v>74</v>
      </c>
      <c r="AY1157" t="s">
        <v>74</v>
      </c>
      <c r="AZ1157" t="s">
        <v>74</v>
      </c>
      <c r="BA1157" t="s">
        <v>74</v>
      </c>
      <c r="BB1157" t="s">
        <v>74</v>
      </c>
      <c r="BC1157" t="s">
        <v>74</v>
      </c>
      <c r="BD1157">
        <v>40</v>
      </c>
      <c r="BE1157" t="s">
        <v>19525</v>
      </c>
      <c r="BF1157" t="str">
        <f>HYPERLINK("http://dx.doi.org/10.3390/bs13010040","http://dx.doi.org/10.3390/bs13010040")</f>
        <v>http://dx.doi.org/10.3390/bs13010040</v>
      </c>
      <c r="BG1157" t="s">
        <v>74</v>
      </c>
      <c r="BH1157" t="s">
        <v>74</v>
      </c>
      <c r="BI1157">
        <v>15</v>
      </c>
      <c r="BJ1157" t="s">
        <v>3203</v>
      </c>
      <c r="BK1157" t="s">
        <v>94</v>
      </c>
      <c r="BL1157" t="s">
        <v>460</v>
      </c>
      <c r="BM1157" t="s">
        <v>19526</v>
      </c>
      <c r="BN1157">
        <v>36661612</v>
      </c>
      <c r="BO1157" t="s">
        <v>3205</v>
      </c>
      <c r="BP1157" t="s">
        <v>74</v>
      </c>
      <c r="BQ1157" t="s">
        <v>74</v>
      </c>
      <c r="BR1157" t="s">
        <v>97</v>
      </c>
      <c r="BS1157" t="s">
        <v>19527</v>
      </c>
      <c r="BT1157" t="str">
        <f>HYPERLINK("https%3A%2F%2Fwww.webofscience.com%2Fwos%2Fwoscc%2Ffull-record%2FWOS:000914325200001","View Full Record in Web of Science")</f>
        <v>View Full Record in Web of Science</v>
      </c>
    </row>
    <row r="1158" spans="1:72" x14ac:dyDescent="0.25">
      <c r="A1158" t="s">
        <v>72</v>
      </c>
      <c r="B1158" t="s">
        <v>19528</v>
      </c>
      <c r="C1158" t="s">
        <v>74</v>
      </c>
      <c r="D1158" t="s">
        <v>74</v>
      </c>
      <c r="E1158" t="s">
        <v>74</v>
      </c>
      <c r="F1158" t="s">
        <v>19529</v>
      </c>
      <c r="G1158" t="s">
        <v>74</v>
      </c>
      <c r="H1158" t="s">
        <v>74</v>
      </c>
      <c r="I1158" t="s">
        <v>19530</v>
      </c>
      <c r="J1158" t="s">
        <v>2059</v>
      </c>
      <c r="K1158" t="s">
        <v>74</v>
      </c>
      <c r="L1158" t="s">
        <v>74</v>
      </c>
      <c r="M1158" t="s">
        <v>77</v>
      </c>
      <c r="N1158" t="s">
        <v>78</v>
      </c>
      <c r="O1158" t="s">
        <v>74</v>
      </c>
      <c r="P1158" t="s">
        <v>74</v>
      </c>
      <c r="Q1158" t="s">
        <v>74</v>
      </c>
      <c r="R1158" t="s">
        <v>74</v>
      </c>
      <c r="S1158" t="s">
        <v>74</v>
      </c>
      <c r="T1158" t="s">
        <v>19531</v>
      </c>
      <c r="U1158" t="s">
        <v>19532</v>
      </c>
      <c r="V1158" t="s">
        <v>19533</v>
      </c>
      <c r="W1158" t="s">
        <v>19534</v>
      </c>
      <c r="X1158" t="s">
        <v>19535</v>
      </c>
      <c r="Y1158" t="s">
        <v>19536</v>
      </c>
      <c r="Z1158" t="s">
        <v>19537</v>
      </c>
      <c r="AA1158" t="s">
        <v>19538</v>
      </c>
      <c r="AB1158" t="s">
        <v>74</v>
      </c>
      <c r="AC1158" t="s">
        <v>74</v>
      </c>
      <c r="AD1158" t="s">
        <v>74</v>
      </c>
      <c r="AE1158" t="s">
        <v>74</v>
      </c>
      <c r="AF1158" t="s">
        <v>74</v>
      </c>
      <c r="AG1158">
        <v>24</v>
      </c>
      <c r="AH1158">
        <v>0</v>
      </c>
      <c r="AI1158">
        <v>0</v>
      </c>
      <c r="AJ1158">
        <v>7</v>
      </c>
      <c r="AK1158">
        <v>7</v>
      </c>
      <c r="AL1158" t="s">
        <v>2067</v>
      </c>
      <c r="AM1158" t="s">
        <v>2068</v>
      </c>
      <c r="AN1158" t="s">
        <v>2069</v>
      </c>
      <c r="AO1158" t="s">
        <v>2070</v>
      </c>
      <c r="AP1158" t="s">
        <v>2071</v>
      </c>
      <c r="AQ1158" t="s">
        <v>74</v>
      </c>
      <c r="AR1158" t="s">
        <v>2072</v>
      </c>
      <c r="AS1158" t="s">
        <v>2073</v>
      </c>
      <c r="AT1158" t="s">
        <v>892</v>
      </c>
      <c r="AU1158">
        <v>2023</v>
      </c>
      <c r="AV1158">
        <v>51</v>
      </c>
      <c r="AW1158">
        <v>1</v>
      </c>
      <c r="AX1158" t="s">
        <v>74</v>
      </c>
      <c r="AY1158" t="s">
        <v>74</v>
      </c>
      <c r="AZ1158" t="s">
        <v>74</v>
      </c>
      <c r="BA1158" t="s">
        <v>74</v>
      </c>
      <c r="BB1158" t="s">
        <v>74</v>
      </c>
      <c r="BC1158" t="s">
        <v>74</v>
      </c>
      <c r="BD1158" t="s">
        <v>19539</v>
      </c>
      <c r="BE1158" t="s">
        <v>19540</v>
      </c>
      <c r="BF1158" t="str">
        <f>HYPERLINK("http://dx.doi.org/10.2224/sbp.11978","http://dx.doi.org/10.2224/sbp.11978")</f>
        <v>http://dx.doi.org/10.2224/sbp.11978</v>
      </c>
      <c r="BG1158" t="s">
        <v>74</v>
      </c>
      <c r="BH1158" t="s">
        <v>74</v>
      </c>
      <c r="BI1158">
        <v>13</v>
      </c>
      <c r="BJ1158" t="s">
        <v>459</v>
      </c>
      <c r="BK1158" t="s">
        <v>94</v>
      </c>
      <c r="BL1158" t="s">
        <v>460</v>
      </c>
      <c r="BM1158" t="s">
        <v>19541</v>
      </c>
      <c r="BN1158" t="s">
        <v>74</v>
      </c>
      <c r="BO1158" t="s">
        <v>74</v>
      </c>
      <c r="BP1158" t="s">
        <v>74</v>
      </c>
      <c r="BQ1158" t="s">
        <v>74</v>
      </c>
      <c r="BR1158" t="s">
        <v>97</v>
      </c>
      <c r="BS1158" t="s">
        <v>19542</v>
      </c>
      <c r="BT1158" t="str">
        <f>HYPERLINK("https%3A%2F%2Fwww.webofscience.com%2Fwos%2Fwoscc%2Ffull-record%2FWOS:000911265600003","View Full Record in Web of Science")</f>
        <v>View Full Record in Web of Science</v>
      </c>
    </row>
    <row r="1159" spans="1:72" x14ac:dyDescent="0.25">
      <c r="A1159" t="s">
        <v>72</v>
      </c>
      <c r="B1159" t="s">
        <v>19543</v>
      </c>
      <c r="C1159" t="s">
        <v>74</v>
      </c>
      <c r="D1159" t="s">
        <v>74</v>
      </c>
      <c r="E1159" t="s">
        <v>74</v>
      </c>
      <c r="F1159" t="s">
        <v>19544</v>
      </c>
      <c r="G1159" t="s">
        <v>74</v>
      </c>
      <c r="H1159" t="s">
        <v>74</v>
      </c>
      <c r="I1159" t="s">
        <v>19545</v>
      </c>
      <c r="J1159" t="s">
        <v>19546</v>
      </c>
      <c r="K1159" t="s">
        <v>74</v>
      </c>
      <c r="L1159" t="s">
        <v>74</v>
      </c>
      <c r="M1159" t="s">
        <v>77</v>
      </c>
      <c r="N1159" t="s">
        <v>78</v>
      </c>
      <c r="O1159" t="s">
        <v>74</v>
      </c>
      <c r="P1159" t="s">
        <v>74</v>
      </c>
      <c r="Q1159" t="s">
        <v>74</v>
      </c>
      <c r="R1159" t="s">
        <v>74</v>
      </c>
      <c r="S1159" t="s">
        <v>74</v>
      </c>
      <c r="T1159" t="s">
        <v>19547</v>
      </c>
      <c r="U1159" t="s">
        <v>74</v>
      </c>
      <c r="V1159" t="s">
        <v>19548</v>
      </c>
      <c r="W1159" t="s">
        <v>19549</v>
      </c>
      <c r="X1159" t="s">
        <v>19550</v>
      </c>
      <c r="Y1159" t="s">
        <v>19551</v>
      </c>
      <c r="Z1159" t="s">
        <v>74</v>
      </c>
      <c r="AA1159" t="s">
        <v>74</v>
      </c>
      <c r="AB1159" t="s">
        <v>74</v>
      </c>
      <c r="AC1159" t="s">
        <v>74</v>
      </c>
      <c r="AD1159" t="s">
        <v>74</v>
      </c>
      <c r="AE1159" t="s">
        <v>74</v>
      </c>
      <c r="AF1159" t="s">
        <v>74</v>
      </c>
      <c r="AG1159">
        <v>37</v>
      </c>
      <c r="AH1159">
        <v>0</v>
      </c>
      <c r="AI1159">
        <v>0</v>
      </c>
      <c r="AJ1159">
        <v>27</v>
      </c>
      <c r="AK1159">
        <v>27</v>
      </c>
      <c r="AL1159" t="s">
        <v>19552</v>
      </c>
      <c r="AM1159" t="s">
        <v>19553</v>
      </c>
      <c r="AN1159" t="s">
        <v>19554</v>
      </c>
      <c r="AO1159" t="s">
        <v>19555</v>
      </c>
      <c r="AP1159" t="s">
        <v>19556</v>
      </c>
      <c r="AQ1159" t="s">
        <v>74</v>
      </c>
      <c r="AR1159" t="s">
        <v>19557</v>
      </c>
      <c r="AS1159" t="s">
        <v>19558</v>
      </c>
      <c r="AT1159" t="s">
        <v>74</v>
      </c>
      <c r="AU1159">
        <v>2023</v>
      </c>
      <c r="AV1159">
        <v>35</v>
      </c>
      <c r="AW1159">
        <v>1</v>
      </c>
      <c r="AX1159" t="s">
        <v>74</v>
      </c>
      <c r="AY1159" t="s">
        <v>74</v>
      </c>
      <c r="AZ1159" t="s">
        <v>74</v>
      </c>
      <c r="BA1159" t="s">
        <v>74</v>
      </c>
      <c r="BB1159">
        <v>35</v>
      </c>
      <c r="BC1159">
        <v>35</v>
      </c>
      <c r="BD1159" t="s">
        <v>74</v>
      </c>
      <c r="BE1159" t="s">
        <v>19559</v>
      </c>
      <c r="BF1159" t="str">
        <f>HYPERLINK("http://dx.doi.org/10.4018/JOEUC.317090","http://dx.doi.org/10.4018/JOEUC.317090")</f>
        <v>http://dx.doi.org/10.4018/JOEUC.317090</v>
      </c>
      <c r="BG1159" t="s">
        <v>74</v>
      </c>
      <c r="BH1159" t="s">
        <v>74</v>
      </c>
      <c r="BI1159">
        <v>1</v>
      </c>
      <c r="BJ1159" t="s">
        <v>960</v>
      </c>
      <c r="BK1159" t="s">
        <v>147</v>
      </c>
      <c r="BL1159" t="s">
        <v>961</v>
      </c>
      <c r="BM1159" t="s">
        <v>19560</v>
      </c>
      <c r="BN1159" t="s">
        <v>74</v>
      </c>
      <c r="BO1159" t="s">
        <v>2482</v>
      </c>
      <c r="BP1159" t="s">
        <v>74</v>
      </c>
      <c r="BQ1159" t="s">
        <v>74</v>
      </c>
      <c r="BR1159" t="s">
        <v>97</v>
      </c>
      <c r="BS1159" t="s">
        <v>19561</v>
      </c>
      <c r="BT1159" t="str">
        <f>HYPERLINK("https%3A%2F%2Fwww.webofscience.com%2Fwos%2Fwoscc%2Ffull-record%2FWOS:000927101900002","View Full Record in Web of Science")</f>
        <v>View Full Record in Web of Science</v>
      </c>
    </row>
    <row r="1160" spans="1:72" x14ac:dyDescent="0.25">
      <c r="A1160" t="s">
        <v>72</v>
      </c>
      <c r="B1160" t="s">
        <v>19562</v>
      </c>
      <c r="C1160" t="s">
        <v>74</v>
      </c>
      <c r="D1160" t="s">
        <v>74</v>
      </c>
      <c r="E1160" t="s">
        <v>74</v>
      </c>
      <c r="F1160" t="s">
        <v>19563</v>
      </c>
      <c r="G1160" t="s">
        <v>74</v>
      </c>
      <c r="H1160" t="s">
        <v>74</v>
      </c>
      <c r="I1160" t="s">
        <v>19564</v>
      </c>
      <c r="J1160" t="s">
        <v>2463</v>
      </c>
      <c r="K1160" t="s">
        <v>74</v>
      </c>
      <c r="L1160" t="s">
        <v>74</v>
      </c>
      <c r="M1160" t="s">
        <v>77</v>
      </c>
      <c r="N1160" t="s">
        <v>78</v>
      </c>
      <c r="O1160" t="s">
        <v>74</v>
      </c>
      <c r="P1160" t="s">
        <v>74</v>
      </c>
      <c r="Q1160" t="s">
        <v>74</v>
      </c>
      <c r="R1160" t="s">
        <v>74</v>
      </c>
      <c r="S1160" t="s">
        <v>74</v>
      </c>
      <c r="T1160" t="s">
        <v>19565</v>
      </c>
      <c r="U1160" t="s">
        <v>19566</v>
      </c>
      <c r="V1160" t="s">
        <v>19567</v>
      </c>
      <c r="W1160" t="s">
        <v>19568</v>
      </c>
      <c r="X1160" t="s">
        <v>19569</v>
      </c>
      <c r="Y1160" t="s">
        <v>19570</v>
      </c>
      <c r="Z1160" t="s">
        <v>19571</v>
      </c>
      <c r="AA1160" t="s">
        <v>74</v>
      </c>
      <c r="AB1160" t="s">
        <v>19572</v>
      </c>
      <c r="AC1160" t="s">
        <v>74</v>
      </c>
      <c r="AD1160" t="s">
        <v>74</v>
      </c>
      <c r="AE1160" t="s">
        <v>74</v>
      </c>
      <c r="AF1160" t="s">
        <v>74</v>
      </c>
      <c r="AG1160">
        <v>91</v>
      </c>
      <c r="AH1160">
        <v>0</v>
      </c>
      <c r="AI1160">
        <v>0</v>
      </c>
      <c r="AJ1160">
        <v>4</v>
      </c>
      <c r="AK1160">
        <v>4</v>
      </c>
      <c r="AL1160" t="s">
        <v>2473</v>
      </c>
      <c r="AM1160" t="s">
        <v>2102</v>
      </c>
      <c r="AN1160" t="s">
        <v>2474</v>
      </c>
      <c r="AO1160" t="s">
        <v>74</v>
      </c>
      <c r="AP1160" t="s">
        <v>2475</v>
      </c>
      <c r="AQ1160" t="s">
        <v>74</v>
      </c>
      <c r="AR1160" t="s">
        <v>2476</v>
      </c>
      <c r="AS1160" t="s">
        <v>2477</v>
      </c>
      <c r="AT1160" t="s">
        <v>892</v>
      </c>
      <c r="AU1160">
        <v>2023</v>
      </c>
      <c r="AV1160">
        <v>15</v>
      </c>
      <c r="AW1160">
        <v>1</v>
      </c>
      <c r="AX1160" t="s">
        <v>74</v>
      </c>
      <c r="AY1160" t="s">
        <v>74</v>
      </c>
      <c r="AZ1160" t="s">
        <v>74</v>
      </c>
      <c r="BA1160" t="s">
        <v>74</v>
      </c>
      <c r="BB1160" t="s">
        <v>74</v>
      </c>
      <c r="BC1160" t="s">
        <v>74</v>
      </c>
      <c r="BD1160">
        <v>670</v>
      </c>
      <c r="BE1160" t="s">
        <v>19573</v>
      </c>
      <c r="BF1160" t="str">
        <f>HYPERLINK("http://dx.doi.org/10.3390/su15010670","http://dx.doi.org/10.3390/su15010670")</f>
        <v>http://dx.doi.org/10.3390/su15010670</v>
      </c>
      <c r="BG1160" t="s">
        <v>74</v>
      </c>
      <c r="BH1160" t="s">
        <v>74</v>
      </c>
      <c r="BI1160">
        <v>23</v>
      </c>
      <c r="BJ1160" t="s">
        <v>2479</v>
      </c>
      <c r="BK1160" t="s">
        <v>147</v>
      </c>
      <c r="BL1160" t="s">
        <v>2480</v>
      </c>
      <c r="BM1160" t="s">
        <v>19574</v>
      </c>
      <c r="BN1160" t="s">
        <v>74</v>
      </c>
      <c r="BO1160" t="s">
        <v>3205</v>
      </c>
      <c r="BP1160" t="s">
        <v>74</v>
      </c>
      <c r="BQ1160" t="s">
        <v>74</v>
      </c>
      <c r="BR1160" t="s">
        <v>97</v>
      </c>
      <c r="BS1160" t="s">
        <v>19575</v>
      </c>
      <c r="BT1160" t="str">
        <f>HYPERLINK("https%3A%2F%2Fwww.webofscience.com%2Fwos%2Fwoscc%2Ffull-record%2FWOS:000908641800001","View Full Record in Web of Science")</f>
        <v>View Full Record in Web of Science</v>
      </c>
    </row>
    <row r="1161" spans="1:72" x14ac:dyDescent="0.25">
      <c r="A1161" t="s">
        <v>72</v>
      </c>
      <c r="B1161" t="s">
        <v>19576</v>
      </c>
      <c r="C1161" t="s">
        <v>74</v>
      </c>
      <c r="D1161" t="s">
        <v>74</v>
      </c>
      <c r="E1161" t="s">
        <v>74</v>
      </c>
      <c r="F1161" t="s">
        <v>19577</v>
      </c>
      <c r="G1161" t="s">
        <v>74</v>
      </c>
      <c r="H1161" t="s">
        <v>74</v>
      </c>
      <c r="I1161" t="s">
        <v>19578</v>
      </c>
      <c r="J1161" t="s">
        <v>2463</v>
      </c>
      <c r="K1161" t="s">
        <v>74</v>
      </c>
      <c r="L1161" t="s">
        <v>74</v>
      </c>
      <c r="M1161" t="s">
        <v>77</v>
      </c>
      <c r="N1161" t="s">
        <v>78</v>
      </c>
      <c r="O1161" t="s">
        <v>74</v>
      </c>
      <c r="P1161" t="s">
        <v>74</v>
      </c>
      <c r="Q1161" t="s">
        <v>74</v>
      </c>
      <c r="R1161" t="s">
        <v>74</v>
      </c>
      <c r="S1161" t="s">
        <v>74</v>
      </c>
      <c r="T1161" t="s">
        <v>19579</v>
      </c>
      <c r="U1161" t="s">
        <v>19580</v>
      </c>
      <c r="V1161" t="s">
        <v>19581</v>
      </c>
      <c r="W1161" t="s">
        <v>19582</v>
      </c>
      <c r="X1161" t="s">
        <v>19583</v>
      </c>
      <c r="Y1161" t="s">
        <v>19584</v>
      </c>
      <c r="Z1161" t="s">
        <v>19585</v>
      </c>
      <c r="AA1161" t="s">
        <v>74</v>
      </c>
      <c r="AB1161" t="s">
        <v>74</v>
      </c>
      <c r="AC1161" t="s">
        <v>74</v>
      </c>
      <c r="AD1161" t="s">
        <v>74</v>
      </c>
      <c r="AE1161" t="s">
        <v>74</v>
      </c>
      <c r="AF1161" t="s">
        <v>74</v>
      </c>
      <c r="AG1161">
        <v>256</v>
      </c>
      <c r="AH1161">
        <v>0</v>
      </c>
      <c r="AI1161">
        <v>0</v>
      </c>
      <c r="AJ1161">
        <v>8</v>
      </c>
      <c r="AK1161">
        <v>8</v>
      </c>
      <c r="AL1161" t="s">
        <v>2473</v>
      </c>
      <c r="AM1161" t="s">
        <v>2102</v>
      </c>
      <c r="AN1161" t="s">
        <v>2474</v>
      </c>
      <c r="AO1161" t="s">
        <v>74</v>
      </c>
      <c r="AP1161" t="s">
        <v>2475</v>
      </c>
      <c r="AQ1161" t="s">
        <v>74</v>
      </c>
      <c r="AR1161" t="s">
        <v>2476</v>
      </c>
      <c r="AS1161" t="s">
        <v>2477</v>
      </c>
      <c r="AT1161" t="s">
        <v>892</v>
      </c>
      <c r="AU1161">
        <v>2023</v>
      </c>
      <c r="AV1161">
        <v>15</v>
      </c>
      <c r="AW1161">
        <v>2</v>
      </c>
      <c r="AX1161" t="s">
        <v>74</v>
      </c>
      <c r="AY1161" t="s">
        <v>74</v>
      </c>
      <c r="AZ1161" t="s">
        <v>74</v>
      </c>
      <c r="BA1161" t="s">
        <v>74</v>
      </c>
      <c r="BB1161" t="s">
        <v>74</v>
      </c>
      <c r="BC1161" t="s">
        <v>74</v>
      </c>
      <c r="BD1161">
        <v>1552</v>
      </c>
      <c r="BE1161" t="s">
        <v>19586</v>
      </c>
      <c r="BF1161" t="str">
        <f>HYPERLINK("http://dx.doi.org/10.3390/su15021552","http://dx.doi.org/10.3390/su15021552")</f>
        <v>http://dx.doi.org/10.3390/su15021552</v>
      </c>
      <c r="BG1161" t="s">
        <v>74</v>
      </c>
      <c r="BH1161" t="s">
        <v>74</v>
      </c>
      <c r="BI1161">
        <v>24</v>
      </c>
      <c r="BJ1161" t="s">
        <v>2479</v>
      </c>
      <c r="BK1161" t="s">
        <v>147</v>
      </c>
      <c r="BL1161" t="s">
        <v>2480</v>
      </c>
      <c r="BM1161" t="s">
        <v>19587</v>
      </c>
      <c r="BN1161" t="s">
        <v>74</v>
      </c>
      <c r="BO1161" t="s">
        <v>2482</v>
      </c>
      <c r="BP1161" t="s">
        <v>74</v>
      </c>
      <c r="BQ1161" t="s">
        <v>74</v>
      </c>
      <c r="BR1161" t="s">
        <v>97</v>
      </c>
      <c r="BS1161" t="s">
        <v>19588</v>
      </c>
      <c r="BT1161" t="str">
        <f>HYPERLINK("https%3A%2F%2Fwww.webofscience.com%2Fwos%2Fwoscc%2Ffull-record%2FWOS:000927184700001","View Full Record in Web of Science")</f>
        <v>View Full Record in Web of Science</v>
      </c>
    </row>
    <row r="1162" spans="1:72" x14ac:dyDescent="0.25">
      <c r="A1162" t="s">
        <v>72</v>
      </c>
      <c r="B1162" t="s">
        <v>19589</v>
      </c>
      <c r="C1162" t="s">
        <v>74</v>
      </c>
      <c r="D1162" t="s">
        <v>74</v>
      </c>
      <c r="E1162" t="s">
        <v>74</v>
      </c>
      <c r="F1162" t="s">
        <v>19590</v>
      </c>
      <c r="G1162" t="s">
        <v>74</v>
      </c>
      <c r="H1162" t="s">
        <v>74</v>
      </c>
      <c r="I1162" t="s">
        <v>19591</v>
      </c>
      <c r="J1162" t="s">
        <v>2463</v>
      </c>
      <c r="K1162" t="s">
        <v>74</v>
      </c>
      <c r="L1162" t="s">
        <v>74</v>
      </c>
      <c r="M1162" t="s">
        <v>77</v>
      </c>
      <c r="N1162" t="s">
        <v>78</v>
      </c>
      <c r="O1162" t="s">
        <v>74</v>
      </c>
      <c r="P1162" t="s">
        <v>74</v>
      </c>
      <c r="Q1162" t="s">
        <v>74</v>
      </c>
      <c r="R1162" t="s">
        <v>74</v>
      </c>
      <c r="S1162" t="s">
        <v>74</v>
      </c>
      <c r="T1162" t="s">
        <v>19592</v>
      </c>
      <c r="U1162" t="s">
        <v>74</v>
      </c>
      <c r="V1162" t="s">
        <v>19593</v>
      </c>
      <c r="W1162" t="s">
        <v>19594</v>
      </c>
      <c r="X1162" t="s">
        <v>19595</v>
      </c>
      <c r="Y1162" t="s">
        <v>19596</v>
      </c>
      <c r="Z1162" t="s">
        <v>19597</v>
      </c>
      <c r="AA1162" t="s">
        <v>19598</v>
      </c>
      <c r="AB1162" t="s">
        <v>19599</v>
      </c>
      <c r="AC1162" t="s">
        <v>74</v>
      </c>
      <c r="AD1162" t="s">
        <v>74</v>
      </c>
      <c r="AE1162" t="s">
        <v>74</v>
      </c>
      <c r="AF1162" t="s">
        <v>74</v>
      </c>
      <c r="AG1162">
        <v>86</v>
      </c>
      <c r="AH1162">
        <v>0</v>
      </c>
      <c r="AI1162">
        <v>0</v>
      </c>
      <c r="AJ1162">
        <v>10</v>
      </c>
      <c r="AK1162">
        <v>10</v>
      </c>
      <c r="AL1162" t="s">
        <v>2473</v>
      </c>
      <c r="AM1162" t="s">
        <v>2102</v>
      </c>
      <c r="AN1162" t="s">
        <v>2474</v>
      </c>
      <c r="AO1162" t="s">
        <v>74</v>
      </c>
      <c r="AP1162" t="s">
        <v>2475</v>
      </c>
      <c r="AQ1162" t="s">
        <v>74</v>
      </c>
      <c r="AR1162" t="s">
        <v>2476</v>
      </c>
      <c r="AS1162" t="s">
        <v>2477</v>
      </c>
      <c r="AT1162" t="s">
        <v>892</v>
      </c>
      <c r="AU1162">
        <v>2023</v>
      </c>
      <c r="AV1162">
        <v>15</v>
      </c>
      <c r="AW1162">
        <v>1</v>
      </c>
      <c r="AX1162" t="s">
        <v>74</v>
      </c>
      <c r="AY1162" t="s">
        <v>74</v>
      </c>
      <c r="AZ1162" t="s">
        <v>74</v>
      </c>
      <c r="BA1162" t="s">
        <v>74</v>
      </c>
      <c r="BB1162" t="s">
        <v>74</v>
      </c>
      <c r="BC1162" t="s">
        <v>74</v>
      </c>
      <c r="BD1162">
        <v>24</v>
      </c>
      <c r="BE1162" t="s">
        <v>19600</v>
      </c>
      <c r="BF1162" t="str">
        <f>HYPERLINK("http://dx.doi.org/10.3390/su15010024","http://dx.doi.org/10.3390/su15010024")</f>
        <v>http://dx.doi.org/10.3390/su15010024</v>
      </c>
      <c r="BG1162" t="s">
        <v>74</v>
      </c>
      <c r="BH1162" t="s">
        <v>74</v>
      </c>
      <c r="BI1162">
        <v>17</v>
      </c>
      <c r="BJ1162" t="s">
        <v>2479</v>
      </c>
      <c r="BK1162" t="s">
        <v>147</v>
      </c>
      <c r="BL1162" t="s">
        <v>2480</v>
      </c>
      <c r="BM1162" t="s">
        <v>19601</v>
      </c>
      <c r="BN1162" t="s">
        <v>74</v>
      </c>
      <c r="BO1162" t="s">
        <v>2482</v>
      </c>
      <c r="BP1162" t="s">
        <v>74</v>
      </c>
      <c r="BQ1162" t="s">
        <v>74</v>
      </c>
      <c r="BR1162" t="s">
        <v>97</v>
      </c>
      <c r="BS1162" t="s">
        <v>19602</v>
      </c>
      <c r="BT1162" t="str">
        <f>HYPERLINK("https%3A%2F%2Fwww.webofscience.com%2Fwos%2Fwoscc%2Ffull-record%2FWOS:000909013800001","View Full Record in Web of Science")</f>
        <v>View Full Record in Web of Science</v>
      </c>
    </row>
    <row r="1163" spans="1:72" x14ac:dyDescent="0.25">
      <c r="A1163" t="s">
        <v>72</v>
      </c>
      <c r="B1163" t="s">
        <v>19603</v>
      </c>
      <c r="C1163" t="s">
        <v>74</v>
      </c>
      <c r="D1163" t="s">
        <v>74</v>
      </c>
      <c r="E1163" t="s">
        <v>74</v>
      </c>
      <c r="F1163" t="s">
        <v>19604</v>
      </c>
      <c r="G1163" t="s">
        <v>74</v>
      </c>
      <c r="H1163" t="s">
        <v>74</v>
      </c>
      <c r="I1163" t="s">
        <v>19605</v>
      </c>
      <c r="J1163" t="s">
        <v>6372</v>
      </c>
      <c r="K1163" t="s">
        <v>74</v>
      </c>
      <c r="L1163" t="s">
        <v>74</v>
      </c>
      <c r="M1163" t="s">
        <v>77</v>
      </c>
      <c r="N1163" t="s">
        <v>78</v>
      </c>
      <c r="O1163" t="s">
        <v>74</v>
      </c>
      <c r="P1163" t="s">
        <v>74</v>
      </c>
      <c r="Q1163" t="s">
        <v>74</v>
      </c>
      <c r="R1163" t="s">
        <v>74</v>
      </c>
      <c r="S1163" t="s">
        <v>74</v>
      </c>
      <c r="T1163" t="s">
        <v>19606</v>
      </c>
      <c r="U1163" t="s">
        <v>19607</v>
      </c>
      <c r="V1163" t="s">
        <v>19608</v>
      </c>
      <c r="W1163" t="s">
        <v>19609</v>
      </c>
      <c r="X1163" t="s">
        <v>14477</v>
      </c>
      <c r="Y1163" t="s">
        <v>19610</v>
      </c>
      <c r="Z1163" t="s">
        <v>19611</v>
      </c>
      <c r="AA1163" t="s">
        <v>19612</v>
      </c>
      <c r="AB1163" t="s">
        <v>19613</v>
      </c>
      <c r="AC1163" t="s">
        <v>19614</v>
      </c>
      <c r="AD1163" t="s">
        <v>19615</v>
      </c>
      <c r="AE1163" t="s">
        <v>19616</v>
      </c>
      <c r="AF1163" t="s">
        <v>74</v>
      </c>
      <c r="AG1163">
        <v>85</v>
      </c>
      <c r="AH1163">
        <v>0</v>
      </c>
      <c r="AI1163">
        <v>0</v>
      </c>
      <c r="AJ1163">
        <v>6</v>
      </c>
      <c r="AK1163">
        <v>6</v>
      </c>
      <c r="AL1163" t="s">
        <v>2473</v>
      </c>
      <c r="AM1163" t="s">
        <v>2102</v>
      </c>
      <c r="AN1163" t="s">
        <v>2474</v>
      </c>
      <c r="AO1163" t="s">
        <v>74</v>
      </c>
      <c r="AP1163" t="s">
        <v>6384</v>
      </c>
      <c r="AQ1163" t="s">
        <v>74</v>
      </c>
      <c r="AR1163" t="s">
        <v>6385</v>
      </c>
      <c r="AS1163" t="s">
        <v>6386</v>
      </c>
      <c r="AT1163" t="s">
        <v>892</v>
      </c>
      <c r="AU1163">
        <v>2023</v>
      </c>
      <c r="AV1163">
        <v>20</v>
      </c>
      <c r="AW1163">
        <v>2</v>
      </c>
      <c r="AX1163" t="s">
        <v>74</v>
      </c>
      <c r="AY1163" t="s">
        <v>74</v>
      </c>
      <c r="AZ1163" t="s">
        <v>74</v>
      </c>
      <c r="BA1163" t="s">
        <v>74</v>
      </c>
      <c r="BB1163" t="s">
        <v>74</v>
      </c>
      <c r="BC1163" t="s">
        <v>74</v>
      </c>
      <c r="BD1163">
        <v>1284</v>
      </c>
      <c r="BE1163" t="s">
        <v>19617</v>
      </c>
      <c r="BF1163" t="str">
        <f>HYPERLINK("http://dx.doi.org/10.3390/ijerph20021284","http://dx.doi.org/10.3390/ijerph20021284")</f>
        <v>http://dx.doi.org/10.3390/ijerph20021284</v>
      </c>
      <c r="BG1163" t="s">
        <v>74</v>
      </c>
      <c r="BH1163" t="s">
        <v>74</v>
      </c>
      <c r="BI1163">
        <v>16</v>
      </c>
      <c r="BJ1163" t="s">
        <v>6388</v>
      </c>
      <c r="BK1163" t="s">
        <v>147</v>
      </c>
      <c r="BL1163" t="s">
        <v>6389</v>
      </c>
      <c r="BM1163" t="s">
        <v>19618</v>
      </c>
      <c r="BN1163">
        <v>36674040</v>
      </c>
      <c r="BO1163" t="s">
        <v>4398</v>
      </c>
      <c r="BP1163" t="s">
        <v>74</v>
      </c>
      <c r="BQ1163" t="s">
        <v>74</v>
      </c>
      <c r="BR1163" t="s">
        <v>97</v>
      </c>
      <c r="BS1163" t="s">
        <v>19619</v>
      </c>
      <c r="BT1163" t="str">
        <f>HYPERLINK("https%3A%2F%2Fwww.webofscience.com%2Fwos%2Fwoscc%2Ffull-record%2FWOS:000915170800001","View Full Record in Web of Science")</f>
        <v>View Full Record in Web of Science</v>
      </c>
    </row>
    <row r="1164" spans="1:72" x14ac:dyDescent="0.25">
      <c r="A1164" t="s">
        <v>72</v>
      </c>
      <c r="B1164" t="s">
        <v>19620</v>
      </c>
      <c r="C1164" t="s">
        <v>74</v>
      </c>
      <c r="D1164" t="s">
        <v>74</v>
      </c>
      <c r="E1164" t="s">
        <v>74</v>
      </c>
      <c r="F1164" t="s">
        <v>19621</v>
      </c>
      <c r="G1164" t="s">
        <v>74</v>
      </c>
      <c r="H1164" t="s">
        <v>74</v>
      </c>
      <c r="I1164" t="s">
        <v>19622</v>
      </c>
      <c r="J1164" t="s">
        <v>17538</v>
      </c>
      <c r="K1164" t="s">
        <v>74</v>
      </c>
      <c r="L1164" t="s">
        <v>74</v>
      </c>
      <c r="M1164" t="s">
        <v>77</v>
      </c>
      <c r="N1164" t="s">
        <v>78</v>
      </c>
      <c r="O1164" t="s">
        <v>74</v>
      </c>
      <c r="P1164" t="s">
        <v>74</v>
      </c>
      <c r="Q1164" t="s">
        <v>74</v>
      </c>
      <c r="R1164" t="s">
        <v>74</v>
      </c>
      <c r="S1164" t="s">
        <v>74</v>
      </c>
      <c r="T1164" t="s">
        <v>19623</v>
      </c>
      <c r="U1164" t="s">
        <v>19624</v>
      </c>
      <c r="V1164" t="s">
        <v>19625</v>
      </c>
      <c r="W1164" t="s">
        <v>19626</v>
      </c>
      <c r="X1164" t="s">
        <v>19627</v>
      </c>
      <c r="Y1164" t="s">
        <v>19628</v>
      </c>
      <c r="Z1164" t="s">
        <v>19629</v>
      </c>
      <c r="AA1164" t="s">
        <v>15352</v>
      </c>
      <c r="AB1164" t="s">
        <v>15353</v>
      </c>
      <c r="AC1164" t="s">
        <v>19630</v>
      </c>
      <c r="AD1164" t="s">
        <v>19631</v>
      </c>
      <c r="AE1164" t="s">
        <v>19632</v>
      </c>
      <c r="AF1164" t="s">
        <v>74</v>
      </c>
      <c r="AG1164">
        <v>135</v>
      </c>
      <c r="AH1164">
        <v>0</v>
      </c>
      <c r="AI1164">
        <v>0</v>
      </c>
      <c r="AJ1164">
        <v>56</v>
      </c>
      <c r="AK1164">
        <v>56</v>
      </c>
      <c r="AL1164" t="s">
        <v>15357</v>
      </c>
      <c r="AM1164" t="s">
        <v>15358</v>
      </c>
      <c r="AN1164" t="s">
        <v>15359</v>
      </c>
      <c r="AO1164" t="s">
        <v>17550</v>
      </c>
      <c r="AP1164" t="s">
        <v>17551</v>
      </c>
      <c r="AQ1164" t="s">
        <v>74</v>
      </c>
      <c r="AR1164" t="s">
        <v>17552</v>
      </c>
      <c r="AS1164" t="s">
        <v>17553</v>
      </c>
      <c r="AT1164" t="s">
        <v>3472</v>
      </c>
      <c r="AU1164">
        <v>2023</v>
      </c>
      <c r="AV1164">
        <v>39</v>
      </c>
      <c r="AW1164">
        <v>1</v>
      </c>
      <c r="AX1164" t="s">
        <v>74</v>
      </c>
      <c r="AY1164" t="s">
        <v>74</v>
      </c>
      <c r="AZ1164" t="s">
        <v>74</v>
      </c>
      <c r="BA1164" t="s">
        <v>74</v>
      </c>
      <c r="BB1164" t="s">
        <v>74</v>
      </c>
      <c r="BC1164" t="s">
        <v>74</v>
      </c>
      <c r="BD1164">
        <v>4022070</v>
      </c>
      <c r="BE1164" t="s">
        <v>19633</v>
      </c>
      <c r="BF1164" t="str">
        <f>HYPERLINK("http://dx.doi.org/10.1061/(ASCE)ME.1943-5479.0001104","http://dx.doi.org/10.1061/(ASCE)ME.1943-5479.0001104")</f>
        <v>http://dx.doi.org/10.1061/(ASCE)ME.1943-5479.0001104</v>
      </c>
      <c r="BG1164" t="s">
        <v>74</v>
      </c>
      <c r="BH1164" t="s">
        <v>74</v>
      </c>
      <c r="BI1164">
        <v>15</v>
      </c>
      <c r="BJ1164" t="s">
        <v>17555</v>
      </c>
      <c r="BK1164" t="s">
        <v>283</v>
      </c>
      <c r="BL1164" t="s">
        <v>14557</v>
      </c>
      <c r="BM1164" t="s">
        <v>19634</v>
      </c>
      <c r="BN1164" t="s">
        <v>74</v>
      </c>
      <c r="BO1164" t="s">
        <v>74</v>
      </c>
      <c r="BP1164" t="s">
        <v>74</v>
      </c>
      <c r="BQ1164" t="s">
        <v>74</v>
      </c>
      <c r="BR1164" t="s">
        <v>97</v>
      </c>
      <c r="BS1164" t="s">
        <v>19635</v>
      </c>
      <c r="BT1164" t="str">
        <f>HYPERLINK("https%3A%2F%2Fwww.webofscience.com%2Fwos%2Fwoscc%2Ffull-record%2FWOS:000886035600005","View Full Record in Web of Science")</f>
        <v>View Full Record in Web of Science</v>
      </c>
    </row>
    <row r="1165" spans="1:72" x14ac:dyDescent="0.25">
      <c r="A1165" t="s">
        <v>72</v>
      </c>
      <c r="B1165" t="s">
        <v>19636</v>
      </c>
      <c r="C1165" t="s">
        <v>74</v>
      </c>
      <c r="D1165" t="s">
        <v>74</v>
      </c>
      <c r="E1165" t="s">
        <v>74</v>
      </c>
      <c r="F1165" t="s">
        <v>19637</v>
      </c>
      <c r="G1165" t="s">
        <v>74</v>
      </c>
      <c r="H1165" t="s">
        <v>74</v>
      </c>
      <c r="I1165" t="s">
        <v>19638</v>
      </c>
      <c r="J1165" t="s">
        <v>19639</v>
      </c>
      <c r="K1165" t="s">
        <v>74</v>
      </c>
      <c r="L1165" t="s">
        <v>74</v>
      </c>
      <c r="M1165" t="s">
        <v>77</v>
      </c>
      <c r="N1165" t="s">
        <v>10095</v>
      </c>
      <c r="O1165" t="s">
        <v>74</v>
      </c>
      <c r="P1165" t="s">
        <v>74</v>
      </c>
      <c r="Q1165" t="s">
        <v>74</v>
      </c>
      <c r="R1165" t="s">
        <v>74</v>
      </c>
      <c r="S1165" t="s">
        <v>74</v>
      </c>
      <c r="T1165" t="s">
        <v>19640</v>
      </c>
      <c r="U1165" t="s">
        <v>19641</v>
      </c>
      <c r="V1165" t="s">
        <v>19642</v>
      </c>
      <c r="W1165" t="s">
        <v>19643</v>
      </c>
      <c r="X1165" t="s">
        <v>19644</v>
      </c>
      <c r="Y1165" t="s">
        <v>19645</v>
      </c>
      <c r="Z1165" t="s">
        <v>19646</v>
      </c>
      <c r="AA1165" t="s">
        <v>19647</v>
      </c>
      <c r="AB1165" t="s">
        <v>19648</v>
      </c>
      <c r="AC1165" t="s">
        <v>19649</v>
      </c>
      <c r="AD1165" t="s">
        <v>19650</v>
      </c>
      <c r="AE1165" t="s">
        <v>19651</v>
      </c>
      <c r="AF1165" t="s">
        <v>74</v>
      </c>
      <c r="AG1165">
        <v>58</v>
      </c>
      <c r="AH1165">
        <v>0</v>
      </c>
      <c r="AI1165">
        <v>0</v>
      </c>
      <c r="AJ1165">
        <v>3</v>
      </c>
      <c r="AK1165">
        <v>3</v>
      </c>
      <c r="AL1165" t="s">
        <v>1006</v>
      </c>
      <c r="AM1165" t="s">
        <v>160</v>
      </c>
      <c r="AN1165" t="s">
        <v>1007</v>
      </c>
      <c r="AO1165" t="s">
        <v>19652</v>
      </c>
      <c r="AP1165" t="s">
        <v>19653</v>
      </c>
      <c r="AQ1165" t="s">
        <v>74</v>
      </c>
      <c r="AR1165" t="s">
        <v>19654</v>
      </c>
      <c r="AS1165" t="s">
        <v>19655</v>
      </c>
      <c r="AT1165" t="s">
        <v>74</v>
      </c>
      <c r="AU1165" t="s">
        <v>74</v>
      </c>
      <c r="AV1165" t="s">
        <v>74</v>
      </c>
      <c r="AW1165" t="s">
        <v>74</v>
      </c>
      <c r="AX1165" t="s">
        <v>74</v>
      </c>
      <c r="AY1165" t="s">
        <v>74</v>
      </c>
      <c r="AZ1165" t="s">
        <v>74</v>
      </c>
      <c r="BA1165" t="s">
        <v>74</v>
      </c>
      <c r="BB1165" t="s">
        <v>74</v>
      </c>
      <c r="BC1165" t="s">
        <v>74</v>
      </c>
      <c r="BD1165" t="s">
        <v>74</v>
      </c>
      <c r="BE1165" t="s">
        <v>19656</v>
      </c>
      <c r="BF1165" t="str">
        <f>HYPERLINK("http://dx.doi.org/10.1093/bjsw/bcac236","http://dx.doi.org/10.1093/bjsw/bcac236")</f>
        <v>http://dx.doi.org/10.1093/bjsw/bcac236</v>
      </c>
      <c r="BG1165" t="s">
        <v>74</v>
      </c>
      <c r="BH1165" t="s">
        <v>17258</v>
      </c>
      <c r="BI1165">
        <v>22</v>
      </c>
      <c r="BJ1165" t="s">
        <v>19657</v>
      </c>
      <c r="BK1165" t="s">
        <v>94</v>
      </c>
      <c r="BL1165" t="s">
        <v>19657</v>
      </c>
      <c r="BM1165" t="s">
        <v>19658</v>
      </c>
      <c r="BN1165" t="s">
        <v>74</v>
      </c>
      <c r="BO1165" t="s">
        <v>74</v>
      </c>
      <c r="BP1165" t="s">
        <v>74</v>
      </c>
      <c r="BQ1165" t="s">
        <v>74</v>
      </c>
      <c r="BR1165" t="s">
        <v>97</v>
      </c>
      <c r="BS1165" t="s">
        <v>19659</v>
      </c>
      <c r="BT1165" t="str">
        <f>HYPERLINK("https%3A%2F%2Fwww.webofscience.com%2Fwos%2Fwoscc%2Ffull-record%2FWOS:000904655700001","View Full Record in Web of Science")</f>
        <v>View Full Record in Web of Science</v>
      </c>
    </row>
    <row r="1166" spans="1:72" x14ac:dyDescent="0.25">
      <c r="A1166" t="s">
        <v>72</v>
      </c>
      <c r="B1166" t="s">
        <v>19660</v>
      </c>
      <c r="C1166" t="s">
        <v>74</v>
      </c>
      <c r="D1166" t="s">
        <v>74</v>
      </c>
      <c r="E1166" t="s">
        <v>74</v>
      </c>
      <c r="F1166" t="s">
        <v>19661</v>
      </c>
      <c r="G1166" t="s">
        <v>74</v>
      </c>
      <c r="H1166" t="s">
        <v>74</v>
      </c>
      <c r="I1166" t="s">
        <v>19662</v>
      </c>
      <c r="J1166" t="s">
        <v>3931</v>
      </c>
      <c r="K1166" t="s">
        <v>74</v>
      </c>
      <c r="L1166" t="s">
        <v>74</v>
      </c>
      <c r="M1166" t="s">
        <v>77</v>
      </c>
      <c r="N1166" t="s">
        <v>78</v>
      </c>
      <c r="O1166" t="s">
        <v>74</v>
      </c>
      <c r="P1166" t="s">
        <v>74</v>
      </c>
      <c r="Q1166" t="s">
        <v>74</v>
      </c>
      <c r="R1166" t="s">
        <v>74</v>
      </c>
      <c r="S1166" t="s">
        <v>74</v>
      </c>
      <c r="T1166" t="s">
        <v>19663</v>
      </c>
      <c r="U1166" t="s">
        <v>19664</v>
      </c>
      <c r="V1166" t="s">
        <v>19665</v>
      </c>
      <c r="W1166" t="s">
        <v>19666</v>
      </c>
      <c r="X1166" t="s">
        <v>19667</v>
      </c>
      <c r="Y1166" t="s">
        <v>4871</v>
      </c>
      <c r="Z1166" t="s">
        <v>19668</v>
      </c>
      <c r="AA1166" t="s">
        <v>19669</v>
      </c>
      <c r="AB1166" t="s">
        <v>19670</v>
      </c>
      <c r="AC1166" t="s">
        <v>74</v>
      </c>
      <c r="AD1166" t="s">
        <v>74</v>
      </c>
      <c r="AE1166" t="s">
        <v>74</v>
      </c>
      <c r="AF1166" t="s">
        <v>74</v>
      </c>
      <c r="AG1166">
        <v>81</v>
      </c>
      <c r="AH1166">
        <v>0</v>
      </c>
      <c r="AI1166">
        <v>0</v>
      </c>
      <c r="AJ1166">
        <v>19</v>
      </c>
      <c r="AK1166">
        <v>19</v>
      </c>
      <c r="AL1166" t="s">
        <v>665</v>
      </c>
      <c r="AM1166" t="s">
        <v>666</v>
      </c>
      <c r="AN1166" t="s">
        <v>667</v>
      </c>
      <c r="AO1166" t="s">
        <v>3939</v>
      </c>
      <c r="AP1166" t="s">
        <v>3940</v>
      </c>
      <c r="AQ1166" t="s">
        <v>74</v>
      </c>
      <c r="AR1166" t="s">
        <v>3941</v>
      </c>
      <c r="AS1166" t="s">
        <v>3942</v>
      </c>
      <c r="AT1166" t="s">
        <v>19083</v>
      </c>
      <c r="AU1166">
        <v>2023</v>
      </c>
      <c r="AV1166">
        <v>44</v>
      </c>
      <c r="AW1166">
        <v>1</v>
      </c>
      <c r="AX1166" t="s">
        <v>74</v>
      </c>
      <c r="AY1166" t="s">
        <v>74</v>
      </c>
      <c r="AZ1166" t="s">
        <v>74</v>
      </c>
      <c r="BA1166" t="s">
        <v>74</v>
      </c>
      <c r="BB1166">
        <v>34</v>
      </c>
      <c r="BC1166">
        <v>51</v>
      </c>
      <c r="BD1166" t="s">
        <v>74</v>
      </c>
      <c r="BE1166" t="s">
        <v>19671</v>
      </c>
      <c r="BF1166" t="str">
        <f>HYPERLINK("http://dx.doi.org/10.1108/LODJ-01-2022-0016","http://dx.doi.org/10.1108/LODJ-01-2022-0016")</f>
        <v>http://dx.doi.org/10.1108/LODJ-01-2022-0016</v>
      </c>
      <c r="BG1166" t="s">
        <v>74</v>
      </c>
      <c r="BH1166" t="s">
        <v>17258</v>
      </c>
      <c r="BI1166">
        <v>18</v>
      </c>
      <c r="BJ1166" t="s">
        <v>442</v>
      </c>
      <c r="BK1166" t="s">
        <v>94</v>
      </c>
      <c r="BL1166" t="s">
        <v>95</v>
      </c>
      <c r="BM1166" t="s">
        <v>19672</v>
      </c>
      <c r="BN1166" t="s">
        <v>74</v>
      </c>
      <c r="BO1166" t="s">
        <v>74</v>
      </c>
      <c r="BP1166" t="s">
        <v>74</v>
      </c>
      <c r="BQ1166" t="s">
        <v>74</v>
      </c>
      <c r="BR1166" t="s">
        <v>97</v>
      </c>
      <c r="BS1166" t="s">
        <v>19673</v>
      </c>
      <c r="BT1166" t="str">
        <f>HYPERLINK("https%3A%2F%2Fwww.webofscience.com%2Fwos%2Fwoscc%2Ffull-record%2FWOS:000903133600001","View Full Record in Web of Science")</f>
        <v>View Full Record in Web of Science</v>
      </c>
    </row>
    <row r="1167" spans="1:72" x14ac:dyDescent="0.25">
      <c r="A1167" t="s">
        <v>72</v>
      </c>
      <c r="B1167" t="s">
        <v>19674</v>
      </c>
      <c r="C1167" t="s">
        <v>74</v>
      </c>
      <c r="D1167" t="s">
        <v>74</v>
      </c>
      <c r="E1167" t="s">
        <v>74</v>
      </c>
      <c r="F1167" t="s">
        <v>19675</v>
      </c>
      <c r="G1167" t="s">
        <v>74</v>
      </c>
      <c r="H1167" t="s">
        <v>74</v>
      </c>
      <c r="I1167" t="s">
        <v>19676</v>
      </c>
      <c r="J1167" t="s">
        <v>2771</v>
      </c>
      <c r="K1167" t="s">
        <v>74</v>
      </c>
      <c r="L1167" t="s">
        <v>74</v>
      </c>
      <c r="M1167" t="s">
        <v>77</v>
      </c>
      <c r="N1167" t="s">
        <v>10095</v>
      </c>
      <c r="O1167" t="s">
        <v>74</v>
      </c>
      <c r="P1167" t="s">
        <v>74</v>
      </c>
      <c r="Q1167" t="s">
        <v>74</v>
      </c>
      <c r="R1167" t="s">
        <v>74</v>
      </c>
      <c r="S1167" t="s">
        <v>74</v>
      </c>
      <c r="T1167" t="s">
        <v>19677</v>
      </c>
      <c r="U1167" t="s">
        <v>19678</v>
      </c>
      <c r="V1167" t="s">
        <v>19679</v>
      </c>
      <c r="W1167" t="s">
        <v>19680</v>
      </c>
      <c r="X1167" t="s">
        <v>19681</v>
      </c>
      <c r="Y1167" t="s">
        <v>19682</v>
      </c>
      <c r="Z1167" t="s">
        <v>19683</v>
      </c>
      <c r="AA1167" t="s">
        <v>19684</v>
      </c>
      <c r="AB1167" t="s">
        <v>19685</v>
      </c>
      <c r="AC1167" t="s">
        <v>74</v>
      </c>
      <c r="AD1167" t="s">
        <v>74</v>
      </c>
      <c r="AE1167" t="s">
        <v>74</v>
      </c>
      <c r="AF1167" t="s">
        <v>74</v>
      </c>
      <c r="AG1167">
        <v>109</v>
      </c>
      <c r="AH1167">
        <v>0</v>
      </c>
      <c r="AI1167">
        <v>0</v>
      </c>
      <c r="AJ1167">
        <v>4</v>
      </c>
      <c r="AK1167">
        <v>4</v>
      </c>
      <c r="AL1167" t="s">
        <v>665</v>
      </c>
      <c r="AM1167" t="s">
        <v>666</v>
      </c>
      <c r="AN1167" t="s">
        <v>667</v>
      </c>
      <c r="AO1167" t="s">
        <v>2781</v>
      </c>
      <c r="AP1167" t="s">
        <v>2782</v>
      </c>
      <c r="AQ1167" t="s">
        <v>74</v>
      </c>
      <c r="AR1167" t="s">
        <v>2771</v>
      </c>
      <c r="AS1167" t="s">
        <v>2783</v>
      </c>
      <c r="AT1167" t="s">
        <v>74</v>
      </c>
      <c r="AU1167" t="s">
        <v>74</v>
      </c>
      <c r="AV1167" t="s">
        <v>74</v>
      </c>
      <c r="AW1167" t="s">
        <v>74</v>
      </c>
      <c r="AX1167" t="s">
        <v>74</v>
      </c>
      <c r="AY1167" t="s">
        <v>74</v>
      </c>
      <c r="AZ1167" t="s">
        <v>74</v>
      </c>
      <c r="BA1167" t="s">
        <v>74</v>
      </c>
      <c r="BB1167" t="s">
        <v>74</v>
      </c>
      <c r="BC1167" t="s">
        <v>74</v>
      </c>
      <c r="BD1167" t="s">
        <v>74</v>
      </c>
      <c r="BE1167" t="s">
        <v>19686</v>
      </c>
      <c r="BF1167" t="str">
        <f>HYPERLINK("http://dx.doi.org/10.1108/K-05-2022-0746","http://dx.doi.org/10.1108/K-05-2022-0746")</f>
        <v>http://dx.doi.org/10.1108/K-05-2022-0746</v>
      </c>
      <c r="BG1167" t="s">
        <v>74</v>
      </c>
      <c r="BH1167" t="s">
        <v>17258</v>
      </c>
      <c r="BI1167">
        <v>20</v>
      </c>
      <c r="BJ1167" t="s">
        <v>2785</v>
      </c>
      <c r="BK1167" t="s">
        <v>283</v>
      </c>
      <c r="BL1167" t="s">
        <v>2786</v>
      </c>
      <c r="BM1167" t="s">
        <v>19687</v>
      </c>
      <c r="BN1167" t="s">
        <v>74</v>
      </c>
      <c r="BO1167" t="s">
        <v>74</v>
      </c>
      <c r="BP1167" t="s">
        <v>74</v>
      </c>
      <c r="BQ1167" t="s">
        <v>74</v>
      </c>
      <c r="BR1167" t="s">
        <v>97</v>
      </c>
      <c r="BS1167" t="s">
        <v>19688</v>
      </c>
      <c r="BT1167" t="str">
        <f>HYPERLINK("https%3A%2F%2Fwww.webofscience.com%2Fwos%2Fwoscc%2Ffull-record%2FWOS:000901562900001","View Full Record in Web of Science")</f>
        <v>View Full Record in Web of Science</v>
      </c>
    </row>
    <row r="1168" spans="1:72" x14ac:dyDescent="0.25">
      <c r="A1168" t="s">
        <v>72</v>
      </c>
      <c r="B1168" t="s">
        <v>19689</v>
      </c>
      <c r="C1168" t="s">
        <v>74</v>
      </c>
      <c r="D1168" t="s">
        <v>74</v>
      </c>
      <c r="E1168" t="s">
        <v>74</v>
      </c>
      <c r="F1168" t="s">
        <v>19690</v>
      </c>
      <c r="G1168" t="s">
        <v>74</v>
      </c>
      <c r="H1168" t="s">
        <v>74</v>
      </c>
      <c r="I1168" t="s">
        <v>19691</v>
      </c>
      <c r="J1168" t="s">
        <v>19692</v>
      </c>
      <c r="K1168" t="s">
        <v>74</v>
      </c>
      <c r="L1168" t="s">
        <v>74</v>
      </c>
      <c r="M1168" t="s">
        <v>77</v>
      </c>
      <c r="N1168" t="s">
        <v>78</v>
      </c>
      <c r="O1168" t="s">
        <v>74</v>
      </c>
      <c r="P1168" t="s">
        <v>74</v>
      </c>
      <c r="Q1168" t="s">
        <v>74</v>
      </c>
      <c r="R1168" t="s">
        <v>74</v>
      </c>
      <c r="S1168" t="s">
        <v>74</v>
      </c>
      <c r="T1168" t="s">
        <v>19693</v>
      </c>
      <c r="U1168" t="s">
        <v>19694</v>
      </c>
      <c r="V1168" t="s">
        <v>19695</v>
      </c>
      <c r="W1168" t="s">
        <v>19696</v>
      </c>
      <c r="X1168" t="s">
        <v>19697</v>
      </c>
      <c r="Y1168" t="s">
        <v>19698</v>
      </c>
      <c r="Z1168" t="s">
        <v>19699</v>
      </c>
      <c r="AA1168" t="s">
        <v>74</v>
      </c>
      <c r="AB1168" t="s">
        <v>19700</v>
      </c>
      <c r="AC1168" t="s">
        <v>74</v>
      </c>
      <c r="AD1168" t="s">
        <v>74</v>
      </c>
      <c r="AE1168" t="s">
        <v>74</v>
      </c>
      <c r="AF1168" t="s">
        <v>74</v>
      </c>
      <c r="AG1168">
        <v>49</v>
      </c>
      <c r="AH1168">
        <v>0</v>
      </c>
      <c r="AI1168">
        <v>0</v>
      </c>
      <c r="AJ1168">
        <v>6</v>
      </c>
      <c r="AK1168">
        <v>6</v>
      </c>
      <c r="AL1168" t="s">
        <v>1099</v>
      </c>
      <c r="AM1168" t="s">
        <v>305</v>
      </c>
      <c r="AN1168" t="s">
        <v>1100</v>
      </c>
      <c r="AO1168" t="s">
        <v>19701</v>
      </c>
      <c r="AP1168" t="s">
        <v>19702</v>
      </c>
      <c r="AQ1168" t="s">
        <v>74</v>
      </c>
      <c r="AR1168" t="s">
        <v>19703</v>
      </c>
      <c r="AS1168" t="s">
        <v>19704</v>
      </c>
      <c r="AT1168" t="s">
        <v>7597</v>
      </c>
      <c r="AU1168">
        <v>2023</v>
      </c>
      <c r="AV1168">
        <v>48</v>
      </c>
      <c r="AW1168">
        <v>4</v>
      </c>
      <c r="AX1168" t="s">
        <v>74</v>
      </c>
      <c r="AY1168" t="s">
        <v>74</v>
      </c>
      <c r="AZ1168" t="s">
        <v>74</v>
      </c>
      <c r="BA1168" t="s">
        <v>74</v>
      </c>
      <c r="BB1168">
        <v>643</v>
      </c>
      <c r="BC1168">
        <v>656</v>
      </c>
      <c r="BD1168" t="s">
        <v>74</v>
      </c>
      <c r="BE1168" t="s">
        <v>19705</v>
      </c>
      <c r="BF1168" t="str">
        <f>HYPERLINK("http://dx.doi.org/10.1080/03075079.2022.2160702","http://dx.doi.org/10.1080/03075079.2022.2160702")</f>
        <v>http://dx.doi.org/10.1080/03075079.2022.2160702</v>
      </c>
      <c r="BG1168" t="s">
        <v>74</v>
      </c>
      <c r="BH1168" t="s">
        <v>17258</v>
      </c>
      <c r="BI1168">
        <v>14</v>
      </c>
      <c r="BJ1168" t="s">
        <v>815</v>
      </c>
      <c r="BK1168" t="s">
        <v>94</v>
      </c>
      <c r="BL1168" t="s">
        <v>815</v>
      </c>
      <c r="BM1168" t="s">
        <v>19706</v>
      </c>
      <c r="BN1168" t="s">
        <v>74</v>
      </c>
      <c r="BO1168" t="s">
        <v>74</v>
      </c>
      <c r="BP1168" t="s">
        <v>74</v>
      </c>
      <c r="BQ1168" t="s">
        <v>74</v>
      </c>
      <c r="BR1168" t="s">
        <v>97</v>
      </c>
      <c r="BS1168" t="s">
        <v>19707</v>
      </c>
      <c r="BT1168" t="str">
        <f>HYPERLINK("https%3A%2F%2Fwww.webofscience.com%2Fwos%2Fwoscc%2Ffull-record%2FWOS:000903648800001","View Full Record in Web of Science")</f>
        <v>View Full Record in Web of Science</v>
      </c>
    </row>
    <row r="1169" spans="1:72" x14ac:dyDescent="0.25">
      <c r="A1169" t="s">
        <v>72</v>
      </c>
      <c r="B1169" t="s">
        <v>8187</v>
      </c>
      <c r="C1169" t="s">
        <v>74</v>
      </c>
      <c r="D1169" t="s">
        <v>74</v>
      </c>
      <c r="E1169" t="s">
        <v>74</v>
      </c>
      <c r="F1169" t="s">
        <v>8188</v>
      </c>
      <c r="G1169" t="s">
        <v>74</v>
      </c>
      <c r="H1169" t="s">
        <v>74</v>
      </c>
      <c r="I1169" t="s">
        <v>19708</v>
      </c>
      <c r="J1169" t="s">
        <v>3184</v>
      </c>
      <c r="K1169" t="s">
        <v>74</v>
      </c>
      <c r="L1169" t="s">
        <v>74</v>
      </c>
      <c r="M1169" t="s">
        <v>77</v>
      </c>
      <c r="N1169" t="s">
        <v>78</v>
      </c>
      <c r="O1169" t="s">
        <v>74</v>
      </c>
      <c r="P1169" t="s">
        <v>74</v>
      </c>
      <c r="Q1169" t="s">
        <v>74</v>
      </c>
      <c r="R1169" t="s">
        <v>74</v>
      </c>
      <c r="S1169" t="s">
        <v>74</v>
      </c>
      <c r="T1169" t="s">
        <v>19709</v>
      </c>
      <c r="U1169" t="s">
        <v>19710</v>
      </c>
      <c r="V1169" t="s">
        <v>19711</v>
      </c>
      <c r="W1169" t="s">
        <v>19712</v>
      </c>
      <c r="X1169" t="s">
        <v>8194</v>
      </c>
      <c r="Y1169" t="s">
        <v>19713</v>
      </c>
      <c r="Z1169" t="s">
        <v>19714</v>
      </c>
      <c r="AA1169" t="s">
        <v>74</v>
      </c>
      <c r="AB1169" t="s">
        <v>74</v>
      </c>
      <c r="AC1169" t="s">
        <v>19715</v>
      </c>
      <c r="AD1169" t="s">
        <v>19716</v>
      </c>
      <c r="AE1169" t="s">
        <v>8200</v>
      </c>
      <c r="AF1169" t="s">
        <v>74</v>
      </c>
      <c r="AG1169">
        <v>102</v>
      </c>
      <c r="AH1169">
        <v>0</v>
      </c>
      <c r="AI1169">
        <v>0</v>
      </c>
      <c r="AJ1169">
        <v>36</v>
      </c>
      <c r="AK1169">
        <v>36</v>
      </c>
      <c r="AL1169" t="s">
        <v>3195</v>
      </c>
      <c r="AM1169" t="s">
        <v>3196</v>
      </c>
      <c r="AN1169" t="s">
        <v>3197</v>
      </c>
      <c r="AO1169" t="s">
        <v>3198</v>
      </c>
      <c r="AP1169" t="s">
        <v>74</v>
      </c>
      <c r="AQ1169" t="s">
        <v>74</v>
      </c>
      <c r="AR1169" t="s">
        <v>3199</v>
      </c>
      <c r="AS1169" t="s">
        <v>3200</v>
      </c>
      <c r="AT1169" t="s">
        <v>19717</v>
      </c>
      <c r="AU1169">
        <v>2022</v>
      </c>
      <c r="AV1169">
        <v>13</v>
      </c>
      <c r="AW1169" t="s">
        <v>74</v>
      </c>
      <c r="AX1169" t="s">
        <v>74</v>
      </c>
      <c r="AY1169" t="s">
        <v>74</v>
      </c>
      <c r="AZ1169" t="s">
        <v>74</v>
      </c>
      <c r="BA1169" t="s">
        <v>74</v>
      </c>
      <c r="BB1169" t="s">
        <v>74</v>
      </c>
      <c r="BC1169" t="s">
        <v>74</v>
      </c>
      <c r="BD1169">
        <v>1022377</v>
      </c>
      <c r="BE1169" t="s">
        <v>19718</v>
      </c>
      <c r="BF1169" t="str">
        <f>HYPERLINK("http://dx.doi.org/10.3389/fpsyg.2022.1022377","http://dx.doi.org/10.3389/fpsyg.2022.1022377")</f>
        <v>http://dx.doi.org/10.3389/fpsyg.2022.1022377</v>
      </c>
      <c r="BG1169" t="s">
        <v>74</v>
      </c>
      <c r="BH1169" t="s">
        <v>74</v>
      </c>
      <c r="BI1169">
        <v>15</v>
      </c>
      <c r="BJ1169" t="s">
        <v>3203</v>
      </c>
      <c r="BK1169" t="s">
        <v>94</v>
      </c>
      <c r="BL1169" t="s">
        <v>460</v>
      </c>
      <c r="BM1169" t="s">
        <v>19719</v>
      </c>
      <c r="BN1169">
        <v>36600721</v>
      </c>
      <c r="BO1169" t="s">
        <v>4398</v>
      </c>
      <c r="BP1169" t="s">
        <v>74</v>
      </c>
      <c r="BQ1169" t="s">
        <v>74</v>
      </c>
      <c r="BR1169" t="s">
        <v>97</v>
      </c>
      <c r="BS1169" t="s">
        <v>19720</v>
      </c>
      <c r="BT1169" t="str">
        <f>HYPERLINK("https%3A%2F%2Fwww.webofscience.com%2Fwos%2Fwoscc%2Ffull-record%2FWOS:000905957300001","View Full Record in Web of Science")</f>
        <v>View Full Record in Web of Science</v>
      </c>
    </row>
    <row r="1170" spans="1:72" x14ac:dyDescent="0.25">
      <c r="A1170" t="s">
        <v>72</v>
      </c>
      <c r="B1170" t="s">
        <v>19721</v>
      </c>
      <c r="C1170" t="s">
        <v>74</v>
      </c>
      <c r="D1170" t="s">
        <v>74</v>
      </c>
      <c r="E1170" t="s">
        <v>74</v>
      </c>
      <c r="F1170" t="s">
        <v>19722</v>
      </c>
      <c r="G1170" t="s">
        <v>74</v>
      </c>
      <c r="H1170" t="s">
        <v>74</v>
      </c>
      <c r="I1170" t="s">
        <v>19723</v>
      </c>
      <c r="J1170" t="s">
        <v>3184</v>
      </c>
      <c r="K1170" t="s">
        <v>74</v>
      </c>
      <c r="L1170" t="s">
        <v>74</v>
      </c>
      <c r="M1170" t="s">
        <v>77</v>
      </c>
      <c r="N1170" t="s">
        <v>78</v>
      </c>
      <c r="O1170" t="s">
        <v>74</v>
      </c>
      <c r="P1170" t="s">
        <v>74</v>
      </c>
      <c r="Q1170" t="s">
        <v>74</v>
      </c>
      <c r="R1170" t="s">
        <v>74</v>
      </c>
      <c r="S1170" t="s">
        <v>74</v>
      </c>
      <c r="T1170" t="s">
        <v>19724</v>
      </c>
      <c r="U1170" t="s">
        <v>19725</v>
      </c>
      <c r="V1170" t="s">
        <v>19726</v>
      </c>
      <c r="W1170" t="s">
        <v>19727</v>
      </c>
      <c r="X1170" t="s">
        <v>19728</v>
      </c>
      <c r="Y1170" t="s">
        <v>19729</v>
      </c>
      <c r="Z1170" t="s">
        <v>19730</v>
      </c>
      <c r="AA1170" t="s">
        <v>74</v>
      </c>
      <c r="AB1170" t="s">
        <v>74</v>
      </c>
      <c r="AC1170" t="s">
        <v>19731</v>
      </c>
      <c r="AD1170" t="s">
        <v>19732</v>
      </c>
      <c r="AE1170" t="s">
        <v>19733</v>
      </c>
      <c r="AF1170" t="s">
        <v>74</v>
      </c>
      <c r="AG1170">
        <v>78</v>
      </c>
      <c r="AH1170">
        <v>0</v>
      </c>
      <c r="AI1170">
        <v>0</v>
      </c>
      <c r="AJ1170">
        <v>7</v>
      </c>
      <c r="AK1170">
        <v>7</v>
      </c>
      <c r="AL1170" t="s">
        <v>3195</v>
      </c>
      <c r="AM1170" t="s">
        <v>3196</v>
      </c>
      <c r="AN1170" t="s">
        <v>3197</v>
      </c>
      <c r="AO1170" t="s">
        <v>3198</v>
      </c>
      <c r="AP1170" t="s">
        <v>74</v>
      </c>
      <c r="AQ1170" t="s">
        <v>74</v>
      </c>
      <c r="AR1170" t="s">
        <v>3199</v>
      </c>
      <c r="AS1170" t="s">
        <v>3200</v>
      </c>
      <c r="AT1170" t="s">
        <v>19734</v>
      </c>
      <c r="AU1170">
        <v>2022</v>
      </c>
      <c r="AV1170">
        <v>13</v>
      </c>
      <c r="AW1170" t="s">
        <v>74</v>
      </c>
      <c r="AX1170" t="s">
        <v>74</v>
      </c>
      <c r="AY1170" t="s">
        <v>74</v>
      </c>
      <c r="AZ1170" t="s">
        <v>74</v>
      </c>
      <c r="BA1170" t="s">
        <v>74</v>
      </c>
      <c r="BB1170" t="s">
        <v>74</v>
      </c>
      <c r="BC1170" t="s">
        <v>74</v>
      </c>
      <c r="BD1170">
        <v>988771</v>
      </c>
      <c r="BE1170" t="s">
        <v>19735</v>
      </c>
      <c r="BF1170" t="str">
        <f>HYPERLINK("http://dx.doi.org/10.3389/fpsyg.2022.988771","http://dx.doi.org/10.3389/fpsyg.2022.988771")</f>
        <v>http://dx.doi.org/10.3389/fpsyg.2022.988771</v>
      </c>
      <c r="BG1170" t="s">
        <v>74</v>
      </c>
      <c r="BH1170" t="s">
        <v>74</v>
      </c>
      <c r="BI1170">
        <v>14</v>
      </c>
      <c r="BJ1170" t="s">
        <v>3203</v>
      </c>
      <c r="BK1170" t="s">
        <v>94</v>
      </c>
      <c r="BL1170" t="s">
        <v>460</v>
      </c>
      <c r="BM1170" t="s">
        <v>19736</v>
      </c>
      <c r="BN1170">
        <v>36591019</v>
      </c>
      <c r="BO1170" t="s">
        <v>4398</v>
      </c>
      <c r="BP1170" t="s">
        <v>74</v>
      </c>
      <c r="BQ1170" t="s">
        <v>74</v>
      </c>
      <c r="BR1170" t="s">
        <v>97</v>
      </c>
      <c r="BS1170" t="s">
        <v>19737</v>
      </c>
      <c r="BT1170" t="str">
        <f>HYPERLINK("https%3A%2F%2Fwww.webofscience.com%2Fwos%2Fwoscc%2Ffull-record%2FWOS:000905557300001","View Full Record in Web of Science")</f>
        <v>View Full Record in Web of Science</v>
      </c>
    </row>
    <row r="1171" spans="1:72" x14ac:dyDescent="0.25">
      <c r="A1171" t="s">
        <v>72</v>
      </c>
      <c r="B1171" t="s">
        <v>19738</v>
      </c>
      <c r="C1171" t="s">
        <v>74</v>
      </c>
      <c r="D1171" t="s">
        <v>74</v>
      </c>
      <c r="E1171" t="s">
        <v>74</v>
      </c>
      <c r="F1171" t="s">
        <v>19739</v>
      </c>
      <c r="G1171" t="s">
        <v>74</v>
      </c>
      <c r="H1171" t="s">
        <v>74</v>
      </c>
      <c r="I1171" t="s">
        <v>19740</v>
      </c>
      <c r="J1171" t="s">
        <v>2365</v>
      </c>
      <c r="K1171" t="s">
        <v>74</v>
      </c>
      <c r="L1171" t="s">
        <v>74</v>
      </c>
      <c r="M1171" t="s">
        <v>77</v>
      </c>
      <c r="N1171" t="s">
        <v>78</v>
      </c>
      <c r="O1171" t="s">
        <v>74</v>
      </c>
      <c r="P1171" t="s">
        <v>74</v>
      </c>
      <c r="Q1171" t="s">
        <v>74</v>
      </c>
      <c r="R1171" t="s">
        <v>74</v>
      </c>
      <c r="S1171" t="s">
        <v>74</v>
      </c>
      <c r="T1171" t="s">
        <v>19741</v>
      </c>
      <c r="U1171" t="s">
        <v>19742</v>
      </c>
      <c r="V1171" t="s">
        <v>19743</v>
      </c>
      <c r="W1171" t="s">
        <v>19744</v>
      </c>
      <c r="X1171" t="s">
        <v>19745</v>
      </c>
      <c r="Y1171" t="s">
        <v>19746</v>
      </c>
      <c r="Z1171" t="s">
        <v>19747</v>
      </c>
      <c r="AA1171" t="s">
        <v>74</v>
      </c>
      <c r="AB1171" t="s">
        <v>74</v>
      </c>
      <c r="AC1171" t="s">
        <v>74</v>
      </c>
      <c r="AD1171" t="s">
        <v>74</v>
      </c>
      <c r="AE1171" t="s">
        <v>74</v>
      </c>
      <c r="AF1171" t="s">
        <v>74</v>
      </c>
      <c r="AG1171">
        <v>91</v>
      </c>
      <c r="AH1171">
        <v>0</v>
      </c>
      <c r="AI1171">
        <v>0</v>
      </c>
      <c r="AJ1171">
        <v>14</v>
      </c>
      <c r="AK1171">
        <v>14</v>
      </c>
      <c r="AL1171" t="s">
        <v>329</v>
      </c>
      <c r="AM1171" t="s">
        <v>330</v>
      </c>
      <c r="AN1171" t="s">
        <v>331</v>
      </c>
      <c r="AO1171" t="s">
        <v>2375</v>
      </c>
      <c r="AP1171" t="s">
        <v>2376</v>
      </c>
      <c r="AQ1171" t="s">
        <v>74</v>
      </c>
      <c r="AR1171" t="s">
        <v>2377</v>
      </c>
      <c r="AS1171" t="s">
        <v>2378</v>
      </c>
      <c r="AT1171" t="s">
        <v>405</v>
      </c>
      <c r="AU1171">
        <v>2023</v>
      </c>
      <c r="AV1171">
        <v>187</v>
      </c>
      <c r="AW1171" t="s">
        <v>74</v>
      </c>
      <c r="AX1171" t="s">
        <v>74</v>
      </c>
      <c r="AY1171" t="s">
        <v>74</v>
      </c>
      <c r="AZ1171" t="s">
        <v>74</v>
      </c>
      <c r="BA1171" t="s">
        <v>74</v>
      </c>
      <c r="BB1171" t="s">
        <v>74</v>
      </c>
      <c r="BC1171" t="s">
        <v>74</v>
      </c>
      <c r="BD1171">
        <v>122247</v>
      </c>
      <c r="BE1171" t="s">
        <v>19748</v>
      </c>
      <c r="BF1171" t="str">
        <f>HYPERLINK("http://dx.doi.org/10.1016/j.techfore.2022.122247","http://dx.doi.org/10.1016/j.techfore.2022.122247")</f>
        <v>http://dx.doi.org/10.1016/j.techfore.2022.122247</v>
      </c>
      <c r="BG1171" t="s">
        <v>74</v>
      </c>
      <c r="BH1171" t="s">
        <v>17258</v>
      </c>
      <c r="BI1171">
        <v>10</v>
      </c>
      <c r="BJ1171" t="s">
        <v>2380</v>
      </c>
      <c r="BK1171" t="s">
        <v>94</v>
      </c>
      <c r="BL1171" t="s">
        <v>2246</v>
      </c>
      <c r="BM1171" t="s">
        <v>19749</v>
      </c>
      <c r="BN1171">
        <v>36471723</v>
      </c>
      <c r="BO1171" t="s">
        <v>718</v>
      </c>
      <c r="BP1171" t="s">
        <v>74</v>
      </c>
      <c r="BQ1171" t="s">
        <v>74</v>
      </c>
      <c r="BR1171" t="s">
        <v>97</v>
      </c>
      <c r="BS1171" t="s">
        <v>19750</v>
      </c>
      <c r="BT1171" t="str">
        <f>HYPERLINK("https%3A%2F%2Fwww.webofscience.com%2Fwos%2Fwoscc%2Ffull-record%2FWOS:000969505700024","View Full Record in Web of Science")</f>
        <v>View Full Record in Web of Science</v>
      </c>
    </row>
    <row r="1172" spans="1:72" x14ac:dyDescent="0.25">
      <c r="A1172" t="s">
        <v>72</v>
      </c>
      <c r="B1172" t="s">
        <v>19751</v>
      </c>
      <c r="C1172" t="s">
        <v>74</v>
      </c>
      <c r="D1172" t="s">
        <v>74</v>
      </c>
      <c r="E1172" t="s">
        <v>74</v>
      </c>
      <c r="F1172" t="s">
        <v>19752</v>
      </c>
      <c r="G1172" t="s">
        <v>74</v>
      </c>
      <c r="H1172" t="s">
        <v>74</v>
      </c>
      <c r="I1172" t="s">
        <v>19753</v>
      </c>
      <c r="J1172" t="s">
        <v>3184</v>
      </c>
      <c r="K1172" t="s">
        <v>74</v>
      </c>
      <c r="L1172" t="s">
        <v>74</v>
      </c>
      <c r="M1172" t="s">
        <v>77</v>
      </c>
      <c r="N1172" t="s">
        <v>78</v>
      </c>
      <c r="O1172" t="s">
        <v>74</v>
      </c>
      <c r="P1172" t="s">
        <v>74</v>
      </c>
      <c r="Q1172" t="s">
        <v>74</v>
      </c>
      <c r="R1172" t="s">
        <v>74</v>
      </c>
      <c r="S1172" t="s">
        <v>74</v>
      </c>
      <c r="T1172" t="s">
        <v>19754</v>
      </c>
      <c r="U1172" t="s">
        <v>19755</v>
      </c>
      <c r="V1172" t="s">
        <v>19756</v>
      </c>
      <c r="W1172" t="s">
        <v>19757</v>
      </c>
      <c r="X1172" t="s">
        <v>19758</v>
      </c>
      <c r="Y1172" t="s">
        <v>19759</v>
      </c>
      <c r="Z1172" t="s">
        <v>19760</v>
      </c>
      <c r="AA1172" t="s">
        <v>74</v>
      </c>
      <c r="AB1172" t="s">
        <v>74</v>
      </c>
      <c r="AC1172" t="s">
        <v>19761</v>
      </c>
      <c r="AD1172" t="s">
        <v>19762</v>
      </c>
      <c r="AE1172" t="s">
        <v>19763</v>
      </c>
      <c r="AF1172" t="s">
        <v>74</v>
      </c>
      <c r="AG1172">
        <v>110</v>
      </c>
      <c r="AH1172">
        <v>0</v>
      </c>
      <c r="AI1172">
        <v>0</v>
      </c>
      <c r="AJ1172">
        <v>35</v>
      </c>
      <c r="AK1172">
        <v>35</v>
      </c>
      <c r="AL1172" t="s">
        <v>3195</v>
      </c>
      <c r="AM1172" t="s">
        <v>3196</v>
      </c>
      <c r="AN1172" t="s">
        <v>3197</v>
      </c>
      <c r="AO1172" t="s">
        <v>3198</v>
      </c>
      <c r="AP1172" t="s">
        <v>74</v>
      </c>
      <c r="AQ1172" t="s">
        <v>74</v>
      </c>
      <c r="AR1172" t="s">
        <v>3199</v>
      </c>
      <c r="AS1172" t="s">
        <v>3200</v>
      </c>
      <c r="AT1172" t="s">
        <v>19764</v>
      </c>
      <c r="AU1172">
        <v>2022</v>
      </c>
      <c r="AV1172">
        <v>13</v>
      </c>
      <c r="AW1172" t="s">
        <v>74</v>
      </c>
      <c r="AX1172" t="s">
        <v>74</v>
      </c>
      <c r="AY1172" t="s">
        <v>74</v>
      </c>
      <c r="AZ1172" t="s">
        <v>74</v>
      </c>
      <c r="BA1172" t="s">
        <v>74</v>
      </c>
      <c r="BB1172" t="s">
        <v>74</v>
      </c>
      <c r="BC1172" t="s">
        <v>74</v>
      </c>
      <c r="BD1172">
        <v>1009209</v>
      </c>
      <c r="BE1172" t="s">
        <v>19765</v>
      </c>
      <c r="BF1172" t="str">
        <f>HYPERLINK("http://dx.doi.org/10.3389/fpsyg.2022.1009209","http://dx.doi.org/10.3389/fpsyg.2022.1009209")</f>
        <v>http://dx.doi.org/10.3389/fpsyg.2022.1009209</v>
      </c>
      <c r="BG1172" t="s">
        <v>74</v>
      </c>
      <c r="BH1172" t="s">
        <v>74</v>
      </c>
      <c r="BI1172">
        <v>17</v>
      </c>
      <c r="BJ1172" t="s">
        <v>3203</v>
      </c>
      <c r="BK1172" t="s">
        <v>94</v>
      </c>
      <c r="BL1172" t="s">
        <v>460</v>
      </c>
      <c r="BM1172" t="s">
        <v>19766</v>
      </c>
      <c r="BN1172">
        <v>36578690</v>
      </c>
      <c r="BO1172" t="s">
        <v>4398</v>
      </c>
      <c r="BP1172" t="s">
        <v>74</v>
      </c>
      <c r="BQ1172" t="s">
        <v>74</v>
      </c>
      <c r="BR1172" t="s">
        <v>97</v>
      </c>
      <c r="BS1172" t="s">
        <v>19767</v>
      </c>
      <c r="BT1172" t="str">
        <f>HYPERLINK("https%3A%2F%2Fwww.webofscience.com%2Fwos%2Fwoscc%2Ffull-record%2FWOS:000901912800001","View Full Record in Web of Science")</f>
        <v>View Full Record in Web of Science</v>
      </c>
    </row>
    <row r="1173" spans="1:72" x14ac:dyDescent="0.25">
      <c r="A1173" t="s">
        <v>72</v>
      </c>
      <c r="B1173" t="s">
        <v>19768</v>
      </c>
      <c r="C1173" t="s">
        <v>74</v>
      </c>
      <c r="D1173" t="s">
        <v>74</v>
      </c>
      <c r="E1173" t="s">
        <v>74</v>
      </c>
      <c r="F1173" t="s">
        <v>19769</v>
      </c>
      <c r="G1173" t="s">
        <v>74</v>
      </c>
      <c r="H1173" t="s">
        <v>74</v>
      </c>
      <c r="I1173" t="s">
        <v>19770</v>
      </c>
      <c r="J1173" t="s">
        <v>3184</v>
      </c>
      <c r="K1173" t="s">
        <v>74</v>
      </c>
      <c r="L1173" t="s">
        <v>74</v>
      </c>
      <c r="M1173" t="s">
        <v>77</v>
      </c>
      <c r="N1173" t="s">
        <v>78</v>
      </c>
      <c r="O1173" t="s">
        <v>74</v>
      </c>
      <c r="P1173" t="s">
        <v>74</v>
      </c>
      <c r="Q1173" t="s">
        <v>74</v>
      </c>
      <c r="R1173" t="s">
        <v>74</v>
      </c>
      <c r="S1173" t="s">
        <v>74</v>
      </c>
      <c r="T1173" t="s">
        <v>19771</v>
      </c>
      <c r="U1173" t="s">
        <v>19772</v>
      </c>
      <c r="V1173" t="s">
        <v>19773</v>
      </c>
      <c r="W1173" t="s">
        <v>19774</v>
      </c>
      <c r="X1173" t="s">
        <v>19775</v>
      </c>
      <c r="Y1173" t="s">
        <v>19776</v>
      </c>
      <c r="Z1173" t="s">
        <v>19777</v>
      </c>
      <c r="AA1173" t="s">
        <v>74</v>
      </c>
      <c r="AB1173" t="s">
        <v>74</v>
      </c>
      <c r="AC1173" t="s">
        <v>19778</v>
      </c>
      <c r="AD1173" t="s">
        <v>19779</v>
      </c>
      <c r="AE1173" t="s">
        <v>19780</v>
      </c>
      <c r="AF1173" t="s">
        <v>74</v>
      </c>
      <c r="AG1173">
        <v>81</v>
      </c>
      <c r="AH1173">
        <v>0</v>
      </c>
      <c r="AI1173">
        <v>0</v>
      </c>
      <c r="AJ1173">
        <v>21</v>
      </c>
      <c r="AK1173">
        <v>21</v>
      </c>
      <c r="AL1173" t="s">
        <v>3195</v>
      </c>
      <c r="AM1173" t="s">
        <v>3196</v>
      </c>
      <c r="AN1173" t="s">
        <v>3197</v>
      </c>
      <c r="AO1173" t="s">
        <v>3198</v>
      </c>
      <c r="AP1173" t="s">
        <v>74</v>
      </c>
      <c r="AQ1173" t="s">
        <v>74</v>
      </c>
      <c r="AR1173" t="s">
        <v>3199</v>
      </c>
      <c r="AS1173" t="s">
        <v>3200</v>
      </c>
      <c r="AT1173" t="s">
        <v>6679</v>
      </c>
      <c r="AU1173">
        <v>2022</v>
      </c>
      <c r="AV1173">
        <v>13</v>
      </c>
      <c r="AW1173" t="s">
        <v>74</v>
      </c>
      <c r="AX1173" t="s">
        <v>74</v>
      </c>
      <c r="AY1173" t="s">
        <v>74</v>
      </c>
      <c r="AZ1173" t="s">
        <v>74</v>
      </c>
      <c r="BA1173" t="s">
        <v>74</v>
      </c>
      <c r="BB1173" t="s">
        <v>74</v>
      </c>
      <c r="BC1173" t="s">
        <v>74</v>
      </c>
      <c r="BD1173">
        <v>938762</v>
      </c>
      <c r="BE1173" t="s">
        <v>19781</v>
      </c>
      <c r="BF1173" t="str">
        <f>HYPERLINK("http://dx.doi.org/10.3389/fpsyg.2022.938762","http://dx.doi.org/10.3389/fpsyg.2022.938762")</f>
        <v>http://dx.doi.org/10.3389/fpsyg.2022.938762</v>
      </c>
      <c r="BG1173" t="s">
        <v>74</v>
      </c>
      <c r="BH1173" t="s">
        <v>74</v>
      </c>
      <c r="BI1173">
        <v>13</v>
      </c>
      <c r="BJ1173" t="s">
        <v>3203</v>
      </c>
      <c r="BK1173" t="s">
        <v>94</v>
      </c>
      <c r="BL1173" t="s">
        <v>460</v>
      </c>
      <c r="BM1173" t="s">
        <v>19782</v>
      </c>
      <c r="BN1173">
        <v>36570996</v>
      </c>
      <c r="BO1173" t="s">
        <v>4398</v>
      </c>
      <c r="BP1173" t="s">
        <v>74</v>
      </c>
      <c r="BQ1173" t="s">
        <v>74</v>
      </c>
      <c r="BR1173" t="s">
        <v>97</v>
      </c>
      <c r="BS1173" t="s">
        <v>19783</v>
      </c>
      <c r="BT1173" t="str">
        <f>HYPERLINK("https%3A%2F%2Fwww.webofscience.com%2Fwos%2Fwoscc%2Ffull-record%2FWOS:000900968700001","View Full Record in Web of Science")</f>
        <v>View Full Record in Web of Science</v>
      </c>
    </row>
    <row r="1174" spans="1:72" x14ac:dyDescent="0.25">
      <c r="A1174" t="s">
        <v>72</v>
      </c>
      <c r="B1174" t="s">
        <v>19784</v>
      </c>
      <c r="C1174" t="s">
        <v>74</v>
      </c>
      <c r="D1174" t="s">
        <v>74</v>
      </c>
      <c r="E1174" t="s">
        <v>74</v>
      </c>
      <c r="F1174" t="s">
        <v>19785</v>
      </c>
      <c r="G1174" t="s">
        <v>74</v>
      </c>
      <c r="H1174" t="s">
        <v>74</v>
      </c>
      <c r="I1174" t="s">
        <v>19786</v>
      </c>
      <c r="J1174" t="s">
        <v>3184</v>
      </c>
      <c r="K1174" t="s">
        <v>74</v>
      </c>
      <c r="L1174" t="s">
        <v>74</v>
      </c>
      <c r="M1174" t="s">
        <v>77</v>
      </c>
      <c r="N1174" t="s">
        <v>78</v>
      </c>
      <c r="O1174" t="s">
        <v>74</v>
      </c>
      <c r="P1174" t="s">
        <v>74</v>
      </c>
      <c r="Q1174" t="s">
        <v>74</v>
      </c>
      <c r="R1174" t="s">
        <v>74</v>
      </c>
      <c r="S1174" t="s">
        <v>74</v>
      </c>
      <c r="T1174" t="s">
        <v>19787</v>
      </c>
      <c r="U1174" t="s">
        <v>19788</v>
      </c>
      <c r="V1174" t="s">
        <v>19789</v>
      </c>
      <c r="W1174" t="s">
        <v>19790</v>
      </c>
      <c r="X1174" t="s">
        <v>74</v>
      </c>
      <c r="Y1174" t="s">
        <v>19791</v>
      </c>
      <c r="Z1174" t="s">
        <v>19792</v>
      </c>
      <c r="AA1174" t="s">
        <v>74</v>
      </c>
      <c r="AB1174" t="s">
        <v>74</v>
      </c>
      <c r="AC1174" t="s">
        <v>74</v>
      </c>
      <c r="AD1174" t="s">
        <v>74</v>
      </c>
      <c r="AE1174" t="s">
        <v>74</v>
      </c>
      <c r="AF1174" t="s">
        <v>74</v>
      </c>
      <c r="AG1174">
        <v>72</v>
      </c>
      <c r="AH1174">
        <v>0</v>
      </c>
      <c r="AI1174">
        <v>0</v>
      </c>
      <c r="AJ1174">
        <v>7</v>
      </c>
      <c r="AK1174">
        <v>7</v>
      </c>
      <c r="AL1174" t="s">
        <v>3195</v>
      </c>
      <c r="AM1174" t="s">
        <v>3196</v>
      </c>
      <c r="AN1174" t="s">
        <v>3197</v>
      </c>
      <c r="AO1174" t="s">
        <v>3198</v>
      </c>
      <c r="AP1174" t="s">
        <v>74</v>
      </c>
      <c r="AQ1174" t="s">
        <v>74</v>
      </c>
      <c r="AR1174" t="s">
        <v>3199</v>
      </c>
      <c r="AS1174" t="s">
        <v>3200</v>
      </c>
      <c r="AT1174" t="s">
        <v>19793</v>
      </c>
      <c r="AU1174">
        <v>2022</v>
      </c>
      <c r="AV1174">
        <v>13</v>
      </c>
      <c r="AW1174" t="s">
        <v>74</v>
      </c>
      <c r="AX1174" t="s">
        <v>74</v>
      </c>
      <c r="AY1174" t="s">
        <v>74</v>
      </c>
      <c r="AZ1174" t="s">
        <v>74</v>
      </c>
      <c r="BA1174" t="s">
        <v>74</v>
      </c>
      <c r="BB1174" t="s">
        <v>74</v>
      </c>
      <c r="BC1174" t="s">
        <v>74</v>
      </c>
      <c r="BD1174">
        <v>1059572</v>
      </c>
      <c r="BE1174" t="s">
        <v>19794</v>
      </c>
      <c r="BF1174" t="str">
        <f>HYPERLINK("http://dx.doi.org/10.3389/fpsyg.2022.1059572","http://dx.doi.org/10.3389/fpsyg.2022.1059572")</f>
        <v>http://dx.doi.org/10.3389/fpsyg.2022.1059572</v>
      </c>
      <c r="BG1174" t="s">
        <v>74</v>
      </c>
      <c r="BH1174" t="s">
        <v>74</v>
      </c>
      <c r="BI1174">
        <v>13</v>
      </c>
      <c r="BJ1174" t="s">
        <v>3203</v>
      </c>
      <c r="BK1174" t="s">
        <v>94</v>
      </c>
      <c r="BL1174" t="s">
        <v>460</v>
      </c>
      <c r="BM1174" t="s">
        <v>19795</v>
      </c>
      <c r="BN1174">
        <v>36544448</v>
      </c>
      <c r="BO1174" t="s">
        <v>3205</v>
      </c>
      <c r="BP1174" t="s">
        <v>74</v>
      </c>
      <c r="BQ1174" t="s">
        <v>74</v>
      </c>
      <c r="BR1174" t="s">
        <v>97</v>
      </c>
      <c r="BS1174" t="s">
        <v>19796</v>
      </c>
      <c r="BT1174" t="str">
        <f>HYPERLINK("https%3A%2F%2Fwww.webofscience.com%2Fwos%2Fwoscc%2Ffull-record%2FWOS:000899653400001","View Full Record in Web of Science")</f>
        <v>View Full Record in Web of Science</v>
      </c>
    </row>
    <row r="1175" spans="1:72" x14ac:dyDescent="0.25">
      <c r="A1175" t="s">
        <v>72</v>
      </c>
      <c r="B1175" t="s">
        <v>19797</v>
      </c>
      <c r="C1175" t="s">
        <v>74</v>
      </c>
      <c r="D1175" t="s">
        <v>74</v>
      </c>
      <c r="E1175" t="s">
        <v>74</v>
      </c>
      <c r="F1175" t="s">
        <v>19798</v>
      </c>
      <c r="G1175" t="s">
        <v>74</v>
      </c>
      <c r="H1175" t="s">
        <v>74</v>
      </c>
      <c r="I1175" t="s">
        <v>19799</v>
      </c>
      <c r="J1175" t="s">
        <v>2463</v>
      </c>
      <c r="K1175" t="s">
        <v>74</v>
      </c>
      <c r="L1175" t="s">
        <v>74</v>
      </c>
      <c r="M1175" t="s">
        <v>77</v>
      </c>
      <c r="N1175" t="s">
        <v>78</v>
      </c>
      <c r="O1175" t="s">
        <v>74</v>
      </c>
      <c r="P1175" t="s">
        <v>74</v>
      </c>
      <c r="Q1175" t="s">
        <v>74</v>
      </c>
      <c r="R1175" t="s">
        <v>74</v>
      </c>
      <c r="S1175" t="s">
        <v>74</v>
      </c>
      <c r="T1175" t="s">
        <v>19800</v>
      </c>
      <c r="U1175" t="s">
        <v>19801</v>
      </c>
      <c r="V1175" t="s">
        <v>19802</v>
      </c>
      <c r="W1175" t="s">
        <v>19803</v>
      </c>
      <c r="X1175" t="s">
        <v>19804</v>
      </c>
      <c r="Y1175" t="s">
        <v>19805</v>
      </c>
      <c r="Z1175" t="s">
        <v>19806</v>
      </c>
      <c r="AA1175" t="s">
        <v>74</v>
      </c>
      <c r="AB1175" t="s">
        <v>74</v>
      </c>
      <c r="AC1175" t="s">
        <v>74</v>
      </c>
      <c r="AD1175" t="s">
        <v>74</v>
      </c>
      <c r="AE1175" t="s">
        <v>74</v>
      </c>
      <c r="AF1175" t="s">
        <v>74</v>
      </c>
      <c r="AG1175">
        <v>91</v>
      </c>
      <c r="AH1175">
        <v>0</v>
      </c>
      <c r="AI1175">
        <v>0</v>
      </c>
      <c r="AJ1175">
        <v>2</v>
      </c>
      <c r="AK1175">
        <v>2</v>
      </c>
      <c r="AL1175" t="s">
        <v>2473</v>
      </c>
      <c r="AM1175" t="s">
        <v>2102</v>
      </c>
      <c r="AN1175" t="s">
        <v>2474</v>
      </c>
      <c r="AO1175" t="s">
        <v>74</v>
      </c>
      <c r="AP1175" t="s">
        <v>2475</v>
      </c>
      <c r="AQ1175" t="s">
        <v>74</v>
      </c>
      <c r="AR1175" t="s">
        <v>2476</v>
      </c>
      <c r="AS1175" t="s">
        <v>2477</v>
      </c>
      <c r="AT1175" t="s">
        <v>375</v>
      </c>
      <c r="AU1175">
        <v>2022</v>
      </c>
      <c r="AV1175">
        <v>14</v>
      </c>
      <c r="AW1175">
        <v>23</v>
      </c>
      <c r="AX1175" t="s">
        <v>74</v>
      </c>
      <c r="AY1175" t="s">
        <v>74</v>
      </c>
      <c r="AZ1175" t="s">
        <v>74</v>
      </c>
      <c r="BA1175" t="s">
        <v>74</v>
      </c>
      <c r="BB1175" t="s">
        <v>74</v>
      </c>
      <c r="BC1175" t="s">
        <v>74</v>
      </c>
      <c r="BD1175">
        <v>15891</v>
      </c>
      <c r="BE1175" t="s">
        <v>19807</v>
      </c>
      <c r="BF1175" t="str">
        <f>HYPERLINK("http://dx.doi.org/10.3390/su142315891","http://dx.doi.org/10.3390/su142315891")</f>
        <v>http://dx.doi.org/10.3390/su142315891</v>
      </c>
      <c r="BG1175" t="s">
        <v>74</v>
      </c>
      <c r="BH1175" t="s">
        <v>74</v>
      </c>
      <c r="BI1175">
        <v>17</v>
      </c>
      <c r="BJ1175" t="s">
        <v>2479</v>
      </c>
      <c r="BK1175" t="s">
        <v>147</v>
      </c>
      <c r="BL1175" t="s">
        <v>2480</v>
      </c>
      <c r="BM1175" t="s">
        <v>19808</v>
      </c>
      <c r="BN1175" t="s">
        <v>74</v>
      </c>
      <c r="BO1175" t="s">
        <v>2482</v>
      </c>
      <c r="BP1175" t="s">
        <v>74</v>
      </c>
      <c r="BQ1175" t="s">
        <v>74</v>
      </c>
      <c r="BR1175" t="s">
        <v>97</v>
      </c>
      <c r="BS1175" t="s">
        <v>19809</v>
      </c>
      <c r="BT1175" t="str">
        <f>HYPERLINK("https%3A%2F%2Fwww.webofscience.com%2Fwos%2Fwoscc%2Ffull-record%2FWOS:000896395700001","View Full Record in Web of Science")</f>
        <v>View Full Record in Web of Science</v>
      </c>
    </row>
    <row r="1176" spans="1:72" x14ac:dyDescent="0.25">
      <c r="A1176" t="s">
        <v>72</v>
      </c>
      <c r="B1176" t="s">
        <v>19810</v>
      </c>
      <c r="C1176" t="s">
        <v>74</v>
      </c>
      <c r="D1176" t="s">
        <v>74</v>
      </c>
      <c r="E1176" t="s">
        <v>74</v>
      </c>
      <c r="F1176" t="s">
        <v>19811</v>
      </c>
      <c r="G1176" t="s">
        <v>74</v>
      </c>
      <c r="H1176" t="s">
        <v>74</v>
      </c>
      <c r="I1176" t="s">
        <v>19812</v>
      </c>
      <c r="J1176" t="s">
        <v>2059</v>
      </c>
      <c r="K1176" t="s">
        <v>74</v>
      </c>
      <c r="L1176" t="s">
        <v>74</v>
      </c>
      <c r="M1176" t="s">
        <v>77</v>
      </c>
      <c r="N1176" t="s">
        <v>78</v>
      </c>
      <c r="O1176" t="s">
        <v>74</v>
      </c>
      <c r="P1176" t="s">
        <v>74</v>
      </c>
      <c r="Q1176" t="s">
        <v>74</v>
      </c>
      <c r="R1176" t="s">
        <v>74</v>
      </c>
      <c r="S1176" t="s">
        <v>74</v>
      </c>
      <c r="T1176" t="s">
        <v>19813</v>
      </c>
      <c r="U1176" t="s">
        <v>19814</v>
      </c>
      <c r="V1176" t="s">
        <v>19815</v>
      </c>
      <c r="W1176" t="s">
        <v>19816</v>
      </c>
      <c r="X1176" t="s">
        <v>19817</v>
      </c>
      <c r="Y1176" t="s">
        <v>19818</v>
      </c>
      <c r="Z1176" t="s">
        <v>19819</v>
      </c>
      <c r="AA1176" t="s">
        <v>19820</v>
      </c>
      <c r="AB1176" t="s">
        <v>19821</v>
      </c>
      <c r="AC1176" t="s">
        <v>74</v>
      </c>
      <c r="AD1176" t="s">
        <v>74</v>
      </c>
      <c r="AE1176" t="s">
        <v>74</v>
      </c>
      <c r="AF1176" t="s">
        <v>74</v>
      </c>
      <c r="AG1176">
        <v>40</v>
      </c>
      <c r="AH1176">
        <v>0</v>
      </c>
      <c r="AI1176">
        <v>0</v>
      </c>
      <c r="AJ1176">
        <v>26</v>
      </c>
      <c r="AK1176">
        <v>26</v>
      </c>
      <c r="AL1176" t="s">
        <v>2067</v>
      </c>
      <c r="AM1176" t="s">
        <v>2068</v>
      </c>
      <c r="AN1176" t="s">
        <v>2069</v>
      </c>
      <c r="AO1176" t="s">
        <v>2070</v>
      </c>
      <c r="AP1176" t="s">
        <v>2071</v>
      </c>
      <c r="AQ1176" t="s">
        <v>74</v>
      </c>
      <c r="AR1176" t="s">
        <v>2072</v>
      </c>
      <c r="AS1176" t="s">
        <v>2073</v>
      </c>
      <c r="AT1176" t="s">
        <v>375</v>
      </c>
      <c r="AU1176">
        <v>2022</v>
      </c>
      <c r="AV1176">
        <v>50</v>
      </c>
      <c r="AW1176">
        <v>12</v>
      </c>
      <c r="AX1176" t="s">
        <v>74</v>
      </c>
      <c r="AY1176" t="s">
        <v>74</v>
      </c>
      <c r="AZ1176" t="s">
        <v>74</v>
      </c>
      <c r="BA1176" t="s">
        <v>74</v>
      </c>
      <c r="BB1176" t="s">
        <v>74</v>
      </c>
      <c r="BC1176" t="s">
        <v>74</v>
      </c>
      <c r="BD1176" t="s">
        <v>19822</v>
      </c>
      <c r="BE1176" t="s">
        <v>19823</v>
      </c>
      <c r="BF1176" t="str">
        <f>HYPERLINK("http://dx.doi.org/10.2224/sbp.11934","http://dx.doi.org/10.2224/sbp.11934")</f>
        <v>http://dx.doi.org/10.2224/sbp.11934</v>
      </c>
      <c r="BG1176" t="s">
        <v>74</v>
      </c>
      <c r="BH1176" t="s">
        <v>74</v>
      </c>
      <c r="BI1176">
        <v>10</v>
      </c>
      <c r="BJ1176" t="s">
        <v>459</v>
      </c>
      <c r="BK1176" t="s">
        <v>94</v>
      </c>
      <c r="BL1176" t="s">
        <v>460</v>
      </c>
      <c r="BM1176" t="s">
        <v>19824</v>
      </c>
      <c r="BN1176" t="s">
        <v>74</v>
      </c>
      <c r="BO1176" t="s">
        <v>74</v>
      </c>
      <c r="BP1176" t="s">
        <v>74</v>
      </c>
      <c r="BQ1176" t="s">
        <v>74</v>
      </c>
      <c r="BR1176" t="s">
        <v>97</v>
      </c>
      <c r="BS1176" t="s">
        <v>19825</v>
      </c>
      <c r="BT1176" t="str">
        <f>HYPERLINK("https%3A%2F%2Fwww.webofscience.com%2Fwos%2Fwoscc%2Ffull-record%2FWOS:000893308600010","View Full Record in Web of Science")</f>
        <v>View Full Record in Web of Science</v>
      </c>
    </row>
    <row r="1177" spans="1:72" x14ac:dyDescent="0.25">
      <c r="A1177" t="s">
        <v>72</v>
      </c>
      <c r="B1177" t="s">
        <v>19826</v>
      </c>
      <c r="C1177" t="s">
        <v>74</v>
      </c>
      <c r="D1177" t="s">
        <v>74</v>
      </c>
      <c r="E1177" t="s">
        <v>74</v>
      </c>
      <c r="F1177" t="s">
        <v>19827</v>
      </c>
      <c r="G1177" t="s">
        <v>74</v>
      </c>
      <c r="H1177" t="s">
        <v>74</v>
      </c>
      <c r="I1177" t="s">
        <v>19828</v>
      </c>
      <c r="J1177" t="s">
        <v>2463</v>
      </c>
      <c r="K1177" t="s">
        <v>74</v>
      </c>
      <c r="L1177" t="s">
        <v>74</v>
      </c>
      <c r="M1177" t="s">
        <v>77</v>
      </c>
      <c r="N1177" t="s">
        <v>78</v>
      </c>
      <c r="O1177" t="s">
        <v>74</v>
      </c>
      <c r="P1177" t="s">
        <v>74</v>
      </c>
      <c r="Q1177" t="s">
        <v>74</v>
      </c>
      <c r="R1177" t="s">
        <v>74</v>
      </c>
      <c r="S1177" t="s">
        <v>74</v>
      </c>
      <c r="T1177" t="s">
        <v>19829</v>
      </c>
      <c r="U1177" t="s">
        <v>19830</v>
      </c>
      <c r="V1177" t="s">
        <v>19831</v>
      </c>
      <c r="W1177" t="s">
        <v>19832</v>
      </c>
      <c r="X1177" t="s">
        <v>19833</v>
      </c>
      <c r="Y1177" t="s">
        <v>19834</v>
      </c>
      <c r="Z1177" t="s">
        <v>19835</v>
      </c>
      <c r="AA1177" t="s">
        <v>19836</v>
      </c>
      <c r="AB1177" t="s">
        <v>74</v>
      </c>
      <c r="AC1177" t="s">
        <v>19837</v>
      </c>
      <c r="AD1177" t="s">
        <v>19838</v>
      </c>
      <c r="AE1177" t="s">
        <v>19839</v>
      </c>
      <c r="AF1177" t="s">
        <v>74</v>
      </c>
      <c r="AG1177">
        <v>46</v>
      </c>
      <c r="AH1177">
        <v>0</v>
      </c>
      <c r="AI1177">
        <v>0</v>
      </c>
      <c r="AJ1177">
        <v>9</v>
      </c>
      <c r="AK1177">
        <v>9</v>
      </c>
      <c r="AL1177" t="s">
        <v>2473</v>
      </c>
      <c r="AM1177" t="s">
        <v>2102</v>
      </c>
      <c r="AN1177" t="s">
        <v>2474</v>
      </c>
      <c r="AO1177" t="s">
        <v>74</v>
      </c>
      <c r="AP1177" t="s">
        <v>2475</v>
      </c>
      <c r="AQ1177" t="s">
        <v>74</v>
      </c>
      <c r="AR1177" t="s">
        <v>2476</v>
      </c>
      <c r="AS1177" t="s">
        <v>2477</v>
      </c>
      <c r="AT1177" t="s">
        <v>375</v>
      </c>
      <c r="AU1177">
        <v>2022</v>
      </c>
      <c r="AV1177">
        <v>14</v>
      </c>
      <c r="AW1177">
        <v>24</v>
      </c>
      <c r="AX1177" t="s">
        <v>74</v>
      </c>
      <c r="AY1177" t="s">
        <v>74</v>
      </c>
      <c r="AZ1177" t="s">
        <v>74</v>
      </c>
      <c r="BA1177" t="s">
        <v>74</v>
      </c>
      <c r="BB1177" t="s">
        <v>74</v>
      </c>
      <c r="BC1177" t="s">
        <v>74</v>
      </c>
      <c r="BD1177">
        <v>16592</v>
      </c>
      <c r="BE1177" t="s">
        <v>19840</v>
      </c>
      <c r="BF1177" t="str">
        <f>HYPERLINK("http://dx.doi.org/10.3390/su142416592","http://dx.doi.org/10.3390/su142416592")</f>
        <v>http://dx.doi.org/10.3390/su142416592</v>
      </c>
      <c r="BG1177" t="s">
        <v>74</v>
      </c>
      <c r="BH1177" t="s">
        <v>74</v>
      </c>
      <c r="BI1177">
        <v>26</v>
      </c>
      <c r="BJ1177" t="s">
        <v>2479</v>
      </c>
      <c r="BK1177" t="s">
        <v>147</v>
      </c>
      <c r="BL1177" t="s">
        <v>2480</v>
      </c>
      <c r="BM1177" t="s">
        <v>19841</v>
      </c>
      <c r="BN1177" t="s">
        <v>74</v>
      </c>
      <c r="BO1177" t="s">
        <v>3205</v>
      </c>
      <c r="BP1177" t="s">
        <v>74</v>
      </c>
      <c r="BQ1177" t="s">
        <v>74</v>
      </c>
      <c r="BR1177" t="s">
        <v>97</v>
      </c>
      <c r="BS1177" t="s">
        <v>19842</v>
      </c>
      <c r="BT1177" t="str">
        <f>HYPERLINK("https%3A%2F%2Fwww.webofscience.com%2Fwos%2Fwoscc%2Ffull-record%2FWOS:000902975200001","View Full Record in Web of Science")</f>
        <v>View Full Record in Web of Science</v>
      </c>
    </row>
    <row r="1178" spans="1:72" x14ac:dyDescent="0.25">
      <c r="A1178" t="s">
        <v>72</v>
      </c>
      <c r="B1178" t="s">
        <v>19843</v>
      </c>
      <c r="C1178" t="s">
        <v>74</v>
      </c>
      <c r="D1178" t="s">
        <v>74</v>
      </c>
      <c r="E1178" t="s">
        <v>74</v>
      </c>
      <c r="F1178" t="s">
        <v>19844</v>
      </c>
      <c r="G1178" t="s">
        <v>74</v>
      </c>
      <c r="H1178" t="s">
        <v>74</v>
      </c>
      <c r="I1178" t="s">
        <v>19845</v>
      </c>
      <c r="J1178" t="s">
        <v>19846</v>
      </c>
      <c r="K1178" t="s">
        <v>74</v>
      </c>
      <c r="L1178" t="s">
        <v>74</v>
      </c>
      <c r="M1178" t="s">
        <v>77</v>
      </c>
      <c r="N1178" t="s">
        <v>78</v>
      </c>
      <c r="O1178" t="s">
        <v>74</v>
      </c>
      <c r="P1178" t="s">
        <v>74</v>
      </c>
      <c r="Q1178" t="s">
        <v>74</v>
      </c>
      <c r="R1178" t="s">
        <v>74</v>
      </c>
      <c r="S1178" t="s">
        <v>74</v>
      </c>
      <c r="T1178" t="s">
        <v>19847</v>
      </c>
      <c r="U1178" t="s">
        <v>19848</v>
      </c>
      <c r="V1178" t="s">
        <v>19849</v>
      </c>
      <c r="W1178" t="s">
        <v>19850</v>
      </c>
      <c r="X1178" t="s">
        <v>4269</v>
      </c>
      <c r="Y1178" t="s">
        <v>19851</v>
      </c>
      <c r="Z1178" t="s">
        <v>19852</v>
      </c>
      <c r="AA1178" t="s">
        <v>74</v>
      </c>
      <c r="AB1178" t="s">
        <v>74</v>
      </c>
      <c r="AC1178" t="s">
        <v>74</v>
      </c>
      <c r="AD1178" t="s">
        <v>74</v>
      </c>
      <c r="AE1178" t="s">
        <v>74</v>
      </c>
      <c r="AF1178" t="s">
        <v>74</v>
      </c>
      <c r="AG1178">
        <v>53</v>
      </c>
      <c r="AH1178">
        <v>0</v>
      </c>
      <c r="AI1178">
        <v>0</v>
      </c>
      <c r="AJ1178">
        <v>15</v>
      </c>
      <c r="AK1178">
        <v>15</v>
      </c>
      <c r="AL1178" t="s">
        <v>1099</v>
      </c>
      <c r="AM1178" t="s">
        <v>305</v>
      </c>
      <c r="AN1178" t="s">
        <v>1100</v>
      </c>
      <c r="AO1178" t="s">
        <v>19853</v>
      </c>
      <c r="AP1178" t="s">
        <v>19854</v>
      </c>
      <c r="AQ1178" t="s">
        <v>74</v>
      </c>
      <c r="AR1178" t="s">
        <v>19855</v>
      </c>
      <c r="AS1178" t="s">
        <v>19856</v>
      </c>
      <c r="AT1178" t="s">
        <v>19857</v>
      </c>
      <c r="AU1178">
        <v>2022</v>
      </c>
      <c r="AV1178">
        <v>32</v>
      </c>
      <c r="AW1178">
        <v>6</v>
      </c>
      <c r="AX1178" t="s">
        <v>74</v>
      </c>
      <c r="AY1178" t="s">
        <v>74</v>
      </c>
      <c r="AZ1178" t="s">
        <v>74</v>
      </c>
      <c r="BA1178" t="s">
        <v>74</v>
      </c>
      <c r="BB1178">
        <v>545</v>
      </c>
      <c r="BC1178">
        <v>551</v>
      </c>
      <c r="BD1178" t="s">
        <v>74</v>
      </c>
      <c r="BE1178" t="s">
        <v>19858</v>
      </c>
      <c r="BF1178" t="str">
        <f>HYPERLINK("http://dx.doi.org/10.1080/14330237.2022.2121484","http://dx.doi.org/10.1080/14330237.2022.2121484")</f>
        <v>http://dx.doi.org/10.1080/14330237.2022.2121484</v>
      </c>
      <c r="BG1178" t="s">
        <v>74</v>
      </c>
      <c r="BH1178" t="s">
        <v>74</v>
      </c>
      <c r="BI1178">
        <v>7</v>
      </c>
      <c r="BJ1178" t="s">
        <v>3203</v>
      </c>
      <c r="BK1178" t="s">
        <v>94</v>
      </c>
      <c r="BL1178" t="s">
        <v>460</v>
      </c>
      <c r="BM1178" t="s">
        <v>19859</v>
      </c>
      <c r="BN1178" t="s">
        <v>74</v>
      </c>
      <c r="BO1178" t="s">
        <v>74</v>
      </c>
      <c r="BP1178" t="s">
        <v>74</v>
      </c>
      <c r="BQ1178" t="s">
        <v>74</v>
      </c>
      <c r="BR1178" t="s">
        <v>97</v>
      </c>
      <c r="BS1178" t="s">
        <v>19860</v>
      </c>
      <c r="BT1178" t="str">
        <f>HYPERLINK("https%3A%2F%2Fwww.webofscience.com%2Fwos%2Fwoscc%2Ffull-record%2FWOS:000902431200002","View Full Record in Web of Science")</f>
        <v>View Full Record in Web of Science</v>
      </c>
    </row>
    <row r="1179" spans="1:72" x14ac:dyDescent="0.25">
      <c r="A1179" t="s">
        <v>72</v>
      </c>
      <c r="B1179" t="s">
        <v>19861</v>
      </c>
      <c r="C1179" t="s">
        <v>74</v>
      </c>
      <c r="D1179" t="s">
        <v>74</v>
      </c>
      <c r="E1179" t="s">
        <v>74</v>
      </c>
      <c r="F1179" t="s">
        <v>19862</v>
      </c>
      <c r="G1179" t="s">
        <v>74</v>
      </c>
      <c r="H1179" t="s">
        <v>74</v>
      </c>
      <c r="I1179" t="s">
        <v>19863</v>
      </c>
      <c r="J1179" t="s">
        <v>3184</v>
      </c>
      <c r="K1179" t="s">
        <v>74</v>
      </c>
      <c r="L1179" t="s">
        <v>74</v>
      </c>
      <c r="M1179" t="s">
        <v>77</v>
      </c>
      <c r="N1179" t="s">
        <v>78</v>
      </c>
      <c r="O1179" t="s">
        <v>74</v>
      </c>
      <c r="P1179" t="s">
        <v>74</v>
      </c>
      <c r="Q1179" t="s">
        <v>74</v>
      </c>
      <c r="R1179" t="s">
        <v>74</v>
      </c>
      <c r="S1179" t="s">
        <v>74</v>
      </c>
      <c r="T1179" t="s">
        <v>19864</v>
      </c>
      <c r="U1179" t="s">
        <v>19865</v>
      </c>
      <c r="V1179" t="s">
        <v>19866</v>
      </c>
      <c r="W1179" t="s">
        <v>19867</v>
      </c>
      <c r="X1179" t="s">
        <v>19868</v>
      </c>
      <c r="Y1179" t="s">
        <v>19869</v>
      </c>
      <c r="Z1179" t="s">
        <v>19870</v>
      </c>
      <c r="AA1179" t="s">
        <v>74</v>
      </c>
      <c r="AB1179" t="s">
        <v>19871</v>
      </c>
      <c r="AC1179" t="s">
        <v>19872</v>
      </c>
      <c r="AD1179" t="s">
        <v>19873</v>
      </c>
      <c r="AE1179" t="s">
        <v>19874</v>
      </c>
      <c r="AF1179" t="s">
        <v>74</v>
      </c>
      <c r="AG1179">
        <v>75</v>
      </c>
      <c r="AH1179">
        <v>0</v>
      </c>
      <c r="AI1179">
        <v>0</v>
      </c>
      <c r="AJ1179">
        <v>23</v>
      </c>
      <c r="AK1179">
        <v>23</v>
      </c>
      <c r="AL1179" t="s">
        <v>3195</v>
      </c>
      <c r="AM1179" t="s">
        <v>3196</v>
      </c>
      <c r="AN1179" t="s">
        <v>3197</v>
      </c>
      <c r="AO1179" t="s">
        <v>3198</v>
      </c>
      <c r="AP1179" t="s">
        <v>74</v>
      </c>
      <c r="AQ1179" t="s">
        <v>74</v>
      </c>
      <c r="AR1179" t="s">
        <v>3199</v>
      </c>
      <c r="AS1179" t="s">
        <v>3200</v>
      </c>
      <c r="AT1179" t="s">
        <v>19857</v>
      </c>
      <c r="AU1179">
        <v>2022</v>
      </c>
      <c r="AV1179">
        <v>13</v>
      </c>
      <c r="AW1179" t="s">
        <v>74</v>
      </c>
      <c r="AX1179" t="s">
        <v>74</v>
      </c>
      <c r="AY1179" t="s">
        <v>74</v>
      </c>
      <c r="AZ1179" t="s">
        <v>74</v>
      </c>
      <c r="BA1179" t="s">
        <v>74</v>
      </c>
      <c r="BB1179" t="s">
        <v>74</v>
      </c>
      <c r="BC1179" t="s">
        <v>74</v>
      </c>
      <c r="BD1179">
        <v>1001277</v>
      </c>
      <c r="BE1179" t="s">
        <v>19875</v>
      </c>
      <c r="BF1179" t="str">
        <f>HYPERLINK("http://dx.doi.org/10.3389/fpsyg.2022.1001277","http://dx.doi.org/10.3389/fpsyg.2022.1001277")</f>
        <v>http://dx.doi.org/10.3389/fpsyg.2022.1001277</v>
      </c>
      <c r="BG1179" t="s">
        <v>74</v>
      </c>
      <c r="BH1179" t="s">
        <v>74</v>
      </c>
      <c r="BI1179">
        <v>14</v>
      </c>
      <c r="BJ1179" t="s">
        <v>3203</v>
      </c>
      <c r="BK1179" t="s">
        <v>94</v>
      </c>
      <c r="BL1179" t="s">
        <v>460</v>
      </c>
      <c r="BM1179" t="s">
        <v>19876</v>
      </c>
      <c r="BN1179">
        <v>36524187</v>
      </c>
      <c r="BO1179" t="s">
        <v>3205</v>
      </c>
      <c r="BP1179" t="s">
        <v>74</v>
      </c>
      <c r="BQ1179" t="s">
        <v>74</v>
      </c>
      <c r="BR1179" t="s">
        <v>97</v>
      </c>
      <c r="BS1179" t="s">
        <v>19877</v>
      </c>
      <c r="BT1179" t="str">
        <f>HYPERLINK("https%3A%2F%2Fwww.webofscience.com%2Fwos%2Fwoscc%2Ffull-record%2FWOS:000897861700001","View Full Record in Web of Science")</f>
        <v>View Full Record in Web of Science</v>
      </c>
    </row>
    <row r="1180" spans="1:72" x14ac:dyDescent="0.25">
      <c r="A1180" t="s">
        <v>72</v>
      </c>
      <c r="B1180" t="s">
        <v>19878</v>
      </c>
      <c r="C1180" t="s">
        <v>74</v>
      </c>
      <c r="D1180" t="s">
        <v>74</v>
      </c>
      <c r="E1180" t="s">
        <v>74</v>
      </c>
      <c r="F1180" t="s">
        <v>19879</v>
      </c>
      <c r="G1180" t="s">
        <v>74</v>
      </c>
      <c r="H1180" t="s">
        <v>74</v>
      </c>
      <c r="I1180" t="s">
        <v>19880</v>
      </c>
      <c r="J1180" t="s">
        <v>4081</v>
      </c>
      <c r="K1180" t="s">
        <v>74</v>
      </c>
      <c r="L1180" t="s">
        <v>74</v>
      </c>
      <c r="M1180" t="s">
        <v>77</v>
      </c>
      <c r="N1180" t="s">
        <v>78</v>
      </c>
      <c r="O1180" t="s">
        <v>74</v>
      </c>
      <c r="P1180" t="s">
        <v>74</v>
      </c>
      <c r="Q1180" t="s">
        <v>74</v>
      </c>
      <c r="R1180" t="s">
        <v>74</v>
      </c>
      <c r="S1180" t="s">
        <v>74</v>
      </c>
      <c r="T1180" t="s">
        <v>19881</v>
      </c>
      <c r="U1180" t="s">
        <v>19882</v>
      </c>
      <c r="V1180" t="s">
        <v>19883</v>
      </c>
      <c r="W1180" t="s">
        <v>19884</v>
      </c>
      <c r="X1180" t="s">
        <v>19885</v>
      </c>
      <c r="Y1180" t="s">
        <v>19886</v>
      </c>
      <c r="Z1180" t="s">
        <v>19887</v>
      </c>
      <c r="AA1180" t="s">
        <v>19888</v>
      </c>
      <c r="AB1180" t="s">
        <v>19889</v>
      </c>
      <c r="AC1180" t="s">
        <v>19890</v>
      </c>
      <c r="AD1180" t="s">
        <v>19891</v>
      </c>
      <c r="AE1180" t="s">
        <v>19892</v>
      </c>
      <c r="AF1180" t="s">
        <v>74</v>
      </c>
      <c r="AG1180">
        <v>56</v>
      </c>
      <c r="AH1180">
        <v>0</v>
      </c>
      <c r="AI1180">
        <v>0</v>
      </c>
      <c r="AJ1180">
        <v>11</v>
      </c>
      <c r="AK1180">
        <v>13</v>
      </c>
      <c r="AL1180" t="s">
        <v>7063</v>
      </c>
      <c r="AM1180" t="s">
        <v>541</v>
      </c>
      <c r="AN1180" t="s">
        <v>7064</v>
      </c>
      <c r="AO1180" t="s">
        <v>4093</v>
      </c>
      <c r="AP1180" t="s">
        <v>4094</v>
      </c>
      <c r="AQ1180" t="s">
        <v>74</v>
      </c>
      <c r="AR1180" t="s">
        <v>4095</v>
      </c>
      <c r="AS1180" t="s">
        <v>4096</v>
      </c>
      <c r="AT1180" t="s">
        <v>584</v>
      </c>
      <c r="AU1180">
        <v>2022</v>
      </c>
      <c r="AV1180">
        <v>30</v>
      </c>
      <c r="AW1180">
        <v>8</v>
      </c>
      <c r="AX1180" t="s">
        <v>74</v>
      </c>
      <c r="AY1180" t="s">
        <v>74</v>
      </c>
      <c r="AZ1180" t="s">
        <v>74</v>
      </c>
      <c r="BA1180" t="s">
        <v>74</v>
      </c>
      <c r="BB1180">
        <v>4116</v>
      </c>
      <c r="BC1180">
        <v>4125</v>
      </c>
      <c r="BD1180" t="s">
        <v>74</v>
      </c>
      <c r="BE1180" t="s">
        <v>19893</v>
      </c>
      <c r="BF1180" t="str">
        <f>HYPERLINK("http://dx.doi.org/10.1111/jonm.13877","http://dx.doi.org/10.1111/jonm.13877")</f>
        <v>http://dx.doi.org/10.1111/jonm.13877</v>
      </c>
      <c r="BG1180" t="s">
        <v>74</v>
      </c>
      <c r="BH1180" t="s">
        <v>17302</v>
      </c>
      <c r="BI1180">
        <v>10</v>
      </c>
      <c r="BJ1180" t="s">
        <v>4098</v>
      </c>
      <c r="BK1180" t="s">
        <v>147</v>
      </c>
      <c r="BL1180" t="s">
        <v>4099</v>
      </c>
      <c r="BM1180" t="s">
        <v>19894</v>
      </c>
      <c r="BN1180">
        <v>36262030</v>
      </c>
      <c r="BO1180" t="s">
        <v>74</v>
      </c>
      <c r="BP1180" t="s">
        <v>74</v>
      </c>
      <c r="BQ1180" t="s">
        <v>74</v>
      </c>
      <c r="BR1180" t="s">
        <v>97</v>
      </c>
      <c r="BS1180" t="s">
        <v>19895</v>
      </c>
      <c r="BT1180" t="str">
        <f>HYPERLINK("https%3A%2F%2Fwww.webofscience.com%2Fwos%2Fwoscc%2Ffull-record%2FWOS:000891201200001","View Full Record in Web of Science")</f>
        <v>View Full Record in Web of Science</v>
      </c>
    </row>
    <row r="1181" spans="1:72" x14ac:dyDescent="0.25">
      <c r="A1181" t="s">
        <v>72</v>
      </c>
      <c r="B1181" t="s">
        <v>19896</v>
      </c>
      <c r="C1181" t="s">
        <v>74</v>
      </c>
      <c r="D1181" t="s">
        <v>74</v>
      </c>
      <c r="E1181" t="s">
        <v>74</v>
      </c>
      <c r="F1181" t="s">
        <v>19897</v>
      </c>
      <c r="G1181" t="s">
        <v>74</v>
      </c>
      <c r="H1181" t="s">
        <v>74</v>
      </c>
      <c r="I1181" t="s">
        <v>19898</v>
      </c>
      <c r="J1181" t="s">
        <v>2182</v>
      </c>
      <c r="K1181" t="s">
        <v>74</v>
      </c>
      <c r="L1181" t="s">
        <v>74</v>
      </c>
      <c r="M1181" t="s">
        <v>77</v>
      </c>
      <c r="N1181" t="s">
        <v>78</v>
      </c>
      <c r="O1181" t="s">
        <v>74</v>
      </c>
      <c r="P1181" t="s">
        <v>74</v>
      </c>
      <c r="Q1181" t="s">
        <v>74</v>
      </c>
      <c r="R1181" t="s">
        <v>74</v>
      </c>
      <c r="S1181" t="s">
        <v>74</v>
      </c>
      <c r="T1181" t="s">
        <v>19899</v>
      </c>
      <c r="U1181" t="s">
        <v>19900</v>
      </c>
      <c r="V1181" t="s">
        <v>19901</v>
      </c>
      <c r="W1181" t="s">
        <v>19902</v>
      </c>
      <c r="X1181" t="s">
        <v>19903</v>
      </c>
      <c r="Y1181" t="s">
        <v>19904</v>
      </c>
      <c r="Z1181" t="s">
        <v>19905</v>
      </c>
      <c r="AA1181" t="s">
        <v>19906</v>
      </c>
      <c r="AB1181" t="s">
        <v>19907</v>
      </c>
      <c r="AC1181" t="s">
        <v>19908</v>
      </c>
      <c r="AD1181" t="s">
        <v>19909</v>
      </c>
      <c r="AE1181" t="s">
        <v>19910</v>
      </c>
      <c r="AF1181" t="s">
        <v>74</v>
      </c>
      <c r="AG1181">
        <v>57</v>
      </c>
      <c r="AH1181">
        <v>0</v>
      </c>
      <c r="AI1181">
        <v>0</v>
      </c>
      <c r="AJ1181">
        <v>72</v>
      </c>
      <c r="AK1181">
        <v>72</v>
      </c>
      <c r="AL1181" t="s">
        <v>665</v>
      </c>
      <c r="AM1181" t="s">
        <v>666</v>
      </c>
      <c r="AN1181" t="s">
        <v>667</v>
      </c>
      <c r="AO1181" t="s">
        <v>2192</v>
      </c>
      <c r="AP1181" t="s">
        <v>2193</v>
      </c>
      <c r="AQ1181" t="s">
        <v>74</v>
      </c>
      <c r="AR1181" t="s">
        <v>2194</v>
      </c>
      <c r="AS1181" t="s">
        <v>2195</v>
      </c>
      <c r="AT1181" t="s">
        <v>19911</v>
      </c>
      <c r="AU1181">
        <v>2023</v>
      </c>
      <c r="AV1181">
        <v>38</v>
      </c>
      <c r="AW1181">
        <v>1</v>
      </c>
      <c r="AX1181" t="s">
        <v>74</v>
      </c>
      <c r="AY1181" t="s">
        <v>74</v>
      </c>
      <c r="AZ1181" t="s">
        <v>74</v>
      </c>
      <c r="BA1181" t="s">
        <v>74</v>
      </c>
      <c r="BB1181">
        <v>73</v>
      </c>
      <c r="BC1181">
        <v>87</v>
      </c>
      <c r="BD1181" t="s">
        <v>74</v>
      </c>
      <c r="BE1181" t="s">
        <v>19912</v>
      </c>
      <c r="BF1181" t="str">
        <f>HYPERLINK("http://dx.doi.org/10.1108/JMP-12-2021-0670","http://dx.doi.org/10.1108/JMP-12-2021-0670")</f>
        <v>http://dx.doi.org/10.1108/JMP-12-2021-0670</v>
      </c>
      <c r="BG1181" t="s">
        <v>74</v>
      </c>
      <c r="BH1181" t="s">
        <v>17302</v>
      </c>
      <c r="BI1181">
        <v>15</v>
      </c>
      <c r="BJ1181" t="s">
        <v>202</v>
      </c>
      <c r="BK1181" t="s">
        <v>94</v>
      </c>
      <c r="BL1181" t="s">
        <v>203</v>
      </c>
      <c r="BM1181" t="s">
        <v>19913</v>
      </c>
      <c r="BN1181" t="s">
        <v>74</v>
      </c>
      <c r="BO1181" t="s">
        <v>74</v>
      </c>
      <c r="BP1181" t="s">
        <v>74</v>
      </c>
      <c r="BQ1181" t="s">
        <v>74</v>
      </c>
      <c r="BR1181" t="s">
        <v>97</v>
      </c>
      <c r="BS1181" t="s">
        <v>19914</v>
      </c>
      <c r="BT1181" t="str">
        <f>HYPERLINK("https%3A%2F%2Fwww.webofscience.com%2Fwos%2Fwoscc%2Ffull-record%2FWOS:000889754300001","View Full Record in Web of Science")</f>
        <v>View Full Record in Web of Science</v>
      </c>
    </row>
    <row r="1182" spans="1:72" x14ac:dyDescent="0.25">
      <c r="A1182" t="s">
        <v>72</v>
      </c>
      <c r="B1182" t="s">
        <v>19915</v>
      </c>
      <c r="C1182" t="s">
        <v>74</v>
      </c>
      <c r="D1182" t="s">
        <v>74</v>
      </c>
      <c r="E1182" t="s">
        <v>74</v>
      </c>
      <c r="F1182" t="s">
        <v>19916</v>
      </c>
      <c r="G1182" t="s">
        <v>74</v>
      </c>
      <c r="H1182" t="s">
        <v>74</v>
      </c>
      <c r="I1182" t="s">
        <v>19917</v>
      </c>
      <c r="J1182" t="s">
        <v>9332</v>
      </c>
      <c r="K1182" t="s">
        <v>74</v>
      </c>
      <c r="L1182" t="s">
        <v>74</v>
      </c>
      <c r="M1182" t="s">
        <v>77</v>
      </c>
      <c r="N1182" t="s">
        <v>10095</v>
      </c>
      <c r="O1182" t="s">
        <v>74</v>
      </c>
      <c r="P1182" t="s">
        <v>74</v>
      </c>
      <c r="Q1182" t="s">
        <v>74</v>
      </c>
      <c r="R1182" t="s">
        <v>74</v>
      </c>
      <c r="S1182" t="s">
        <v>74</v>
      </c>
      <c r="T1182" t="s">
        <v>19918</v>
      </c>
      <c r="U1182" t="s">
        <v>19919</v>
      </c>
      <c r="V1182" t="s">
        <v>19920</v>
      </c>
      <c r="W1182" t="s">
        <v>19921</v>
      </c>
      <c r="X1182" t="s">
        <v>19922</v>
      </c>
      <c r="Y1182" t="s">
        <v>19923</v>
      </c>
      <c r="Z1182" t="s">
        <v>19924</v>
      </c>
      <c r="AA1182" t="s">
        <v>74</v>
      </c>
      <c r="AB1182" t="s">
        <v>5014</v>
      </c>
      <c r="AC1182" t="s">
        <v>74</v>
      </c>
      <c r="AD1182" t="s">
        <v>74</v>
      </c>
      <c r="AE1182" t="s">
        <v>74</v>
      </c>
      <c r="AF1182" t="s">
        <v>74</v>
      </c>
      <c r="AG1182">
        <v>67</v>
      </c>
      <c r="AH1182">
        <v>0</v>
      </c>
      <c r="AI1182">
        <v>0</v>
      </c>
      <c r="AJ1182">
        <v>17</v>
      </c>
      <c r="AK1182">
        <v>17</v>
      </c>
      <c r="AL1182" t="s">
        <v>766</v>
      </c>
      <c r="AM1182" t="s">
        <v>330</v>
      </c>
      <c r="AN1182" t="s">
        <v>1452</v>
      </c>
      <c r="AO1182" t="s">
        <v>9344</v>
      </c>
      <c r="AP1182" t="s">
        <v>9345</v>
      </c>
      <c r="AQ1182" t="s">
        <v>74</v>
      </c>
      <c r="AR1182" t="s">
        <v>9346</v>
      </c>
      <c r="AS1182" t="s">
        <v>9347</v>
      </c>
      <c r="AT1182" t="s">
        <v>74</v>
      </c>
      <c r="AU1182" t="s">
        <v>74</v>
      </c>
      <c r="AV1182" t="s">
        <v>74</v>
      </c>
      <c r="AW1182" t="s">
        <v>74</v>
      </c>
      <c r="AX1182" t="s">
        <v>74</v>
      </c>
      <c r="AY1182" t="s">
        <v>74</v>
      </c>
      <c r="AZ1182" t="s">
        <v>74</v>
      </c>
      <c r="BA1182" t="s">
        <v>74</v>
      </c>
      <c r="BB1182" t="s">
        <v>74</v>
      </c>
      <c r="BC1182" t="s">
        <v>74</v>
      </c>
      <c r="BD1182" t="s">
        <v>74</v>
      </c>
      <c r="BE1182" t="s">
        <v>19925</v>
      </c>
      <c r="BF1182" t="str">
        <f>HYPERLINK("http://dx.doi.org/10.1007/s12144-022-04047-1","http://dx.doi.org/10.1007/s12144-022-04047-1")</f>
        <v>http://dx.doi.org/10.1007/s12144-022-04047-1</v>
      </c>
      <c r="BG1182" t="s">
        <v>74</v>
      </c>
      <c r="BH1182" t="s">
        <v>17302</v>
      </c>
      <c r="BI1182">
        <v>13</v>
      </c>
      <c r="BJ1182" t="s">
        <v>3203</v>
      </c>
      <c r="BK1182" t="s">
        <v>94</v>
      </c>
      <c r="BL1182" t="s">
        <v>460</v>
      </c>
      <c r="BM1182" t="s">
        <v>19926</v>
      </c>
      <c r="BN1182" t="s">
        <v>74</v>
      </c>
      <c r="BO1182" t="s">
        <v>74</v>
      </c>
      <c r="BP1182" t="s">
        <v>74</v>
      </c>
      <c r="BQ1182" t="s">
        <v>74</v>
      </c>
      <c r="BR1182" t="s">
        <v>97</v>
      </c>
      <c r="BS1182" t="s">
        <v>19927</v>
      </c>
      <c r="BT1182" t="str">
        <f>HYPERLINK("https%3A%2F%2Fwww.webofscience.com%2Fwos%2Fwoscc%2Ffull-record%2FWOS:000886835800003","View Full Record in Web of Science")</f>
        <v>View Full Record in Web of Science</v>
      </c>
    </row>
    <row r="1183" spans="1:72" x14ac:dyDescent="0.25">
      <c r="A1183" t="s">
        <v>72</v>
      </c>
      <c r="B1183" t="s">
        <v>19928</v>
      </c>
      <c r="C1183" t="s">
        <v>74</v>
      </c>
      <c r="D1183" t="s">
        <v>74</v>
      </c>
      <c r="E1183" t="s">
        <v>74</v>
      </c>
      <c r="F1183" t="s">
        <v>19929</v>
      </c>
      <c r="G1183" t="s">
        <v>74</v>
      </c>
      <c r="H1183" t="s">
        <v>74</v>
      </c>
      <c r="I1183" t="s">
        <v>19930</v>
      </c>
      <c r="J1183" t="s">
        <v>1739</v>
      </c>
      <c r="K1183" t="s">
        <v>74</v>
      </c>
      <c r="L1183" t="s">
        <v>74</v>
      </c>
      <c r="M1183" t="s">
        <v>77</v>
      </c>
      <c r="N1183" t="s">
        <v>10095</v>
      </c>
      <c r="O1183" t="s">
        <v>74</v>
      </c>
      <c r="P1183" t="s">
        <v>74</v>
      </c>
      <c r="Q1183" t="s">
        <v>74</v>
      </c>
      <c r="R1183" t="s">
        <v>74</v>
      </c>
      <c r="S1183" t="s">
        <v>74</v>
      </c>
      <c r="T1183" t="s">
        <v>19931</v>
      </c>
      <c r="U1183" t="s">
        <v>19932</v>
      </c>
      <c r="V1183" t="s">
        <v>19933</v>
      </c>
      <c r="W1183" t="s">
        <v>19934</v>
      </c>
      <c r="X1183" t="s">
        <v>19935</v>
      </c>
      <c r="Y1183" t="s">
        <v>19936</v>
      </c>
      <c r="Z1183" t="s">
        <v>19937</v>
      </c>
      <c r="AA1183" t="s">
        <v>19938</v>
      </c>
      <c r="AB1183" t="s">
        <v>74</v>
      </c>
      <c r="AC1183" t="s">
        <v>74</v>
      </c>
      <c r="AD1183" t="s">
        <v>74</v>
      </c>
      <c r="AE1183" t="s">
        <v>74</v>
      </c>
      <c r="AF1183" t="s">
        <v>74</v>
      </c>
      <c r="AG1183">
        <v>104</v>
      </c>
      <c r="AH1183">
        <v>0</v>
      </c>
      <c r="AI1183">
        <v>0</v>
      </c>
      <c r="AJ1183">
        <v>43</v>
      </c>
      <c r="AK1183">
        <v>43</v>
      </c>
      <c r="AL1183" t="s">
        <v>665</v>
      </c>
      <c r="AM1183" t="s">
        <v>666</v>
      </c>
      <c r="AN1183" t="s">
        <v>667</v>
      </c>
      <c r="AO1183" t="s">
        <v>1749</v>
      </c>
      <c r="AP1183" t="s">
        <v>1750</v>
      </c>
      <c r="AQ1183" t="s">
        <v>74</v>
      </c>
      <c r="AR1183" t="s">
        <v>1751</v>
      </c>
      <c r="AS1183" t="s">
        <v>1752</v>
      </c>
      <c r="AT1183" t="s">
        <v>74</v>
      </c>
      <c r="AU1183" t="s">
        <v>74</v>
      </c>
      <c r="AV1183" t="s">
        <v>74</v>
      </c>
      <c r="AW1183" t="s">
        <v>74</v>
      </c>
      <c r="AX1183" t="s">
        <v>74</v>
      </c>
      <c r="AY1183" t="s">
        <v>74</v>
      </c>
      <c r="AZ1183" t="s">
        <v>74</v>
      </c>
      <c r="BA1183" t="s">
        <v>74</v>
      </c>
      <c r="BB1183" t="s">
        <v>74</v>
      </c>
      <c r="BC1183" t="s">
        <v>74</v>
      </c>
      <c r="BD1183" t="s">
        <v>74</v>
      </c>
      <c r="BE1183" t="s">
        <v>19939</v>
      </c>
      <c r="BF1183" t="str">
        <f>HYPERLINK("http://dx.doi.org/10.1108/JKM-02-2022-0102","http://dx.doi.org/10.1108/JKM-02-2022-0102")</f>
        <v>http://dx.doi.org/10.1108/JKM-02-2022-0102</v>
      </c>
      <c r="BG1183" t="s">
        <v>74</v>
      </c>
      <c r="BH1183" t="s">
        <v>17302</v>
      </c>
      <c r="BI1183">
        <v>20</v>
      </c>
      <c r="BJ1183" t="s">
        <v>1754</v>
      </c>
      <c r="BK1183" t="s">
        <v>94</v>
      </c>
      <c r="BL1183" t="s">
        <v>1755</v>
      </c>
      <c r="BM1183" t="s">
        <v>19940</v>
      </c>
      <c r="BN1183" t="s">
        <v>74</v>
      </c>
      <c r="BO1183" t="s">
        <v>74</v>
      </c>
      <c r="BP1183" t="s">
        <v>74</v>
      </c>
      <c r="BQ1183" t="s">
        <v>74</v>
      </c>
      <c r="BR1183" t="s">
        <v>97</v>
      </c>
      <c r="BS1183" t="s">
        <v>19941</v>
      </c>
      <c r="BT1183" t="str">
        <f>HYPERLINK("https%3A%2F%2Fwww.webofscience.com%2Fwos%2Fwoscc%2Ffull-record%2FWOS:000886475700001","View Full Record in Web of Science")</f>
        <v>View Full Record in Web of Science</v>
      </c>
    </row>
    <row r="1184" spans="1:72" x14ac:dyDescent="0.25">
      <c r="A1184" t="s">
        <v>72</v>
      </c>
      <c r="B1184" t="s">
        <v>19942</v>
      </c>
      <c r="C1184" t="s">
        <v>74</v>
      </c>
      <c r="D1184" t="s">
        <v>74</v>
      </c>
      <c r="E1184" t="s">
        <v>74</v>
      </c>
      <c r="F1184" t="s">
        <v>19943</v>
      </c>
      <c r="G1184" t="s">
        <v>74</v>
      </c>
      <c r="H1184" t="s">
        <v>74</v>
      </c>
      <c r="I1184" t="s">
        <v>19944</v>
      </c>
      <c r="J1184" t="s">
        <v>3931</v>
      </c>
      <c r="K1184" t="s">
        <v>74</v>
      </c>
      <c r="L1184" t="s">
        <v>74</v>
      </c>
      <c r="M1184" t="s">
        <v>77</v>
      </c>
      <c r="N1184" t="s">
        <v>78</v>
      </c>
      <c r="O1184" t="s">
        <v>74</v>
      </c>
      <c r="P1184" t="s">
        <v>74</v>
      </c>
      <c r="Q1184" t="s">
        <v>74</v>
      </c>
      <c r="R1184" t="s">
        <v>74</v>
      </c>
      <c r="S1184" t="s">
        <v>74</v>
      </c>
      <c r="T1184" t="s">
        <v>19945</v>
      </c>
      <c r="U1184" t="s">
        <v>19946</v>
      </c>
      <c r="V1184" t="s">
        <v>19947</v>
      </c>
      <c r="W1184" t="s">
        <v>19948</v>
      </c>
      <c r="X1184" t="s">
        <v>19949</v>
      </c>
      <c r="Y1184" t="s">
        <v>19950</v>
      </c>
      <c r="Z1184" t="s">
        <v>19951</v>
      </c>
      <c r="AA1184" t="s">
        <v>74</v>
      </c>
      <c r="AB1184" t="s">
        <v>74</v>
      </c>
      <c r="AC1184" t="s">
        <v>74</v>
      </c>
      <c r="AD1184" t="s">
        <v>74</v>
      </c>
      <c r="AE1184" t="s">
        <v>74</v>
      </c>
      <c r="AF1184" t="s">
        <v>74</v>
      </c>
      <c r="AG1184">
        <v>75</v>
      </c>
      <c r="AH1184">
        <v>0</v>
      </c>
      <c r="AI1184">
        <v>0</v>
      </c>
      <c r="AJ1184">
        <v>17</v>
      </c>
      <c r="AK1184">
        <v>17</v>
      </c>
      <c r="AL1184" t="s">
        <v>665</v>
      </c>
      <c r="AM1184" t="s">
        <v>666</v>
      </c>
      <c r="AN1184" t="s">
        <v>667</v>
      </c>
      <c r="AO1184" t="s">
        <v>3939</v>
      </c>
      <c r="AP1184" t="s">
        <v>3940</v>
      </c>
      <c r="AQ1184" t="s">
        <v>74</v>
      </c>
      <c r="AR1184" t="s">
        <v>3941</v>
      </c>
      <c r="AS1184" t="s">
        <v>3942</v>
      </c>
      <c r="AT1184" t="s">
        <v>19083</v>
      </c>
      <c r="AU1184">
        <v>2023</v>
      </c>
      <c r="AV1184">
        <v>44</v>
      </c>
      <c r="AW1184">
        <v>1</v>
      </c>
      <c r="AX1184" t="s">
        <v>74</v>
      </c>
      <c r="AY1184" t="s">
        <v>74</v>
      </c>
      <c r="AZ1184" t="s">
        <v>74</v>
      </c>
      <c r="BA1184" t="s">
        <v>74</v>
      </c>
      <c r="BB1184">
        <v>1</v>
      </c>
      <c r="BC1184">
        <v>17</v>
      </c>
      <c r="BD1184" t="s">
        <v>74</v>
      </c>
      <c r="BE1184" t="s">
        <v>19952</v>
      </c>
      <c r="BF1184" t="str">
        <f>HYPERLINK("http://dx.doi.org/10.1108/LODJ-03-2022-0128","http://dx.doi.org/10.1108/LODJ-03-2022-0128")</f>
        <v>http://dx.doi.org/10.1108/LODJ-03-2022-0128</v>
      </c>
      <c r="BG1184" t="s">
        <v>74</v>
      </c>
      <c r="BH1184" t="s">
        <v>17302</v>
      </c>
      <c r="BI1184">
        <v>17</v>
      </c>
      <c r="BJ1184" t="s">
        <v>442</v>
      </c>
      <c r="BK1184" t="s">
        <v>94</v>
      </c>
      <c r="BL1184" t="s">
        <v>95</v>
      </c>
      <c r="BM1184" t="s">
        <v>19672</v>
      </c>
      <c r="BN1184" t="s">
        <v>74</v>
      </c>
      <c r="BO1184" t="s">
        <v>74</v>
      </c>
      <c r="BP1184" t="s">
        <v>74</v>
      </c>
      <c r="BQ1184" t="s">
        <v>74</v>
      </c>
      <c r="BR1184" t="s">
        <v>97</v>
      </c>
      <c r="BS1184" t="s">
        <v>19953</v>
      </c>
      <c r="BT1184" t="str">
        <f>HYPERLINK("https%3A%2F%2Fwww.webofscience.com%2Fwos%2Fwoscc%2Ffull-record%2FWOS:000885047200001","View Full Record in Web of Science")</f>
        <v>View Full Record in Web of Science</v>
      </c>
    </row>
    <row r="1185" spans="1:72" x14ac:dyDescent="0.25">
      <c r="A1185" t="s">
        <v>72</v>
      </c>
      <c r="B1185" t="s">
        <v>19954</v>
      </c>
      <c r="C1185" t="s">
        <v>74</v>
      </c>
      <c r="D1185" t="s">
        <v>74</v>
      </c>
      <c r="E1185" t="s">
        <v>74</v>
      </c>
      <c r="F1185" t="s">
        <v>19955</v>
      </c>
      <c r="G1185" t="s">
        <v>74</v>
      </c>
      <c r="H1185" t="s">
        <v>74</v>
      </c>
      <c r="I1185" t="s">
        <v>19956</v>
      </c>
      <c r="J1185" t="s">
        <v>3184</v>
      </c>
      <c r="K1185" t="s">
        <v>74</v>
      </c>
      <c r="L1185" t="s">
        <v>74</v>
      </c>
      <c r="M1185" t="s">
        <v>77</v>
      </c>
      <c r="N1185" t="s">
        <v>78</v>
      </c>
      <c r="O1185" t="s">
        <v>74</v>
      </c>
      <c r="P1185" t="s">
        <v>74</v>
      </c>
      <c r="Q1185" t="s">
        <v>74</v>
      </c>
      <c r="R1185" t="s">
        <v>74</v>
      </c>
      <c r="S1185" t="s">
        <v>74</v>
      </c>
      <c r="T1185" t="s">
        <v>19957</v>
      </c>
      <c r="U1185" t="s">
        <v>19958</v>
      </c>
      <c r="V1185" t="s">
        <v>19959</v>
      </c>
      <c r="W1185" t="s">
        <v>19960</v>
      </c>
      <c r="X1185" t="s">
        <v>19961</v>
      </c>
      <c r="Y1185" t="s">
        <v>19962</v>
      </c>
      <c r="Z1185" t="s">
        <v>19963</v>
      </c>
      <c r="AA1185" t="s">
        <v>74</v>
      </c>
      <c r="AB1185" t="s">
        <v>74</v>
      </c>
      <c r="AC1185" t="s">
        <v>74</v>
      </c>
      <c r="AD1185" t="s">
        <v>74</v>
      </c>
      <c r="AE1185" t="s">
        <v>74</v>
      </c>
      <c r="AF1185" t="s">
        <v>74</v>
      </c>
      <c r="AG1185">
        <v>108</v>
      </c>
      <c r="AH1185">
        <v>0</v>
      </c>
      <c r="AI1185">
        <v>0</v>
      </c>
      <c r="AJ1185">
        <v>21</v>
      </c>
      <c r="AK1185">
        <v>21</v>
      </c>
      <c r="AL1185" t="s">
        <v>3195</v>
      </c>
      <c r="AM1185" t="s">
        <v>3196</v>
      </c>
      <c r="AN1185" t="s">
        <v>3197</v>
      </c>
      <c r="AO1185" t="s">
        <v>3198</v>
      </c>
      <c r="AP1185" t="s">
        <v>74</v>
      </c>
      <c r="AQ1185" t="s">
        <v>74</v>
      </c>
      <c r="AR1185" t="s">
        <v>3199</v>
      </c>
      <c r="AS1185" t="s">
        <v>3200</v>
      </c>
      <c r="AT1185" t="s">
        <v>19964</v>
      </c>
      <c r="AU1185">
        <v>2022</v>
      </c>
      <c r="AV1185">
        <v>13</v>
      </c>
      <c r="AW1185" t="s">
        <v>74</v>
      </c>
      <c r="AX1185" t="s">
        <v>74</v>
      </c>
      <c r="AY1185" t="s">
        <v>74</v>
      </c>
      <c r="AZ1185" t="s">
        <v>74</v>
      </c>
      <c r="BA1185" t="s">
        <v>74</v>
      </c>
      <c r="BB1185" t="s">
        <v>74</v>
      </c>
      <c r="BC1185" t="s">
        <v>74</v>
      </c>
      <c r="BD1185">
        <v>976504</v>
      </c>
      <c r="BE1185" t="s">
        <v>19965</v>
      </c>
      <c r="BF1185" t="str">
        <f>HYPERLINK("http://dx.doi.org/10.3389/fpsyg.2022.976504","http://dx.doi.org/10.3389/fpsyg.2022.976504")</f>
        <v>http://dx.doi.org/10.3389/fpsyg.2022.976504</v>
      </c>
      <c r="BG1185" t="s">
        <v>74</v>
      </c>
      <c r="BH1185" t="s">
        <v>74</v>
      </c>
      <c r="BI1185">
        <v>11</v>
      </c>
      <c r="BJ1185" t="s">
        <v>3203</v>
      </c>
      <c r="BK1185" t="s">
        <v>94</v>
      </c>
      <c r="BL1185" t="s">
        <v>460</v>
      </c>
      <c r="BM1185" t="s">
        <v>19966</v>
      </c>
      <c r="BN1185">
        <v>36452390</v>
      </c>
      <c r="BO1185" t="s">
        <v>4398</v>
      </c>
      <c r="BP1185" t="s">
        <v>74</v>
      </c>
      <c r="BQ1185" t="s">
        <v>74</v>
      </c>
      <c r="BR1185" t="s">
        <v>97</v>
      </c>
      <c r="BS1185" t="s">
        <v>19967</v>
      </c>
      <c r="BT1185" t="str">
        <f>HYPERLINK("https%3A%2F%2Fwww.webofscience.com%2Fwos%2Fwoscc%2Ffull-record%2FWOS:000890402800001","View Full Record in Web of Science")</f>
        <v>View Full Record in Web of Science</v>
      </c>
    </row>
    <row r="1186" spans="1:72" x14ac:dyDescent="0.25">
      <c r="A1186" t="s">
        <v>72</v>
      </c>
      <c r="B1186" t="s">
        <v>19968</v>
      </c>
      <c r="C1186" t="s">
        <v>74</v>
      </c>
      <c r="D1186" t="s">
        <v>74</v>
      </c>
      <c r="E1186" t="s">
        <v>74</v>
      </c>
      <c r="F1186" t="s">
        <v>19969</v>
      </c>
      <c r="G1186" t="s">
        <v>74</v>
      </c>
      <c r="H1186" t="s">
        <v>74</v>
      </c>
      <c r="I1186" t="s">
        <v>19970</v>
      </c>
      <c r="J1186" t="s">
        <v>3184</v>
      </c>
      <c r="K1186" t="s">
        <v>74</v>
      </c>
      <c r="L1186" t="s">
        <v>74</v>
      </c>
      <c r="M1186" t="s">
        <v>77</v>
      </c>
      <c r="N1186" t="s">
        <v>78</v>
      </c>
      <c r="O1186" t="s">
        <v>74</v>
      </c>
      <c r="P1186" t="s">
        <v>74</v>
      </c>
      <c r="Q1186" t="s">
        <v>74</v>
      </c>
      <c r="R1186" t="s">
        <v>74</v>
      </c>
      <c r="S1186" t="s">
        <v>74</v>
      </c>
      <c r="T1186" t="s">
        <v>19971</v>
      </c>
      <c r="U1186" t="s">
        <v>19972</v>
      </c>
      <c r="V1186" t="s">
        <v>19973</v>
      </c>
      <c r="W1186" t="s">
        <v>19974</v>
      </c>
      <c r="X1186" t="s">
        <v>19975</v>
      </c>
      <c r="Y1186" t="s">
        <v>19976</v>
      </c>
      <c r="Z1186" t="s">
        <v>19977</v>
      </c>
      <c r="AA1186" t="s">
        <v>74</v>
      </c>
      <c r="AB1186" t="s">
        <v>74</v>
      </c>
      <c r="AC1186" t="s">
        <v>74</v>
      </c>
      <c r="AD1186" t="s">
        <v>74</v>
      </c>
      <c r="AE1186" t="s">
        <v>74</v>
      </c>
      <c r="AF1186" t="s">
        <v>74</v>
      </c>
      <c r="AG1186">
        <v>139</v>
      </c>
      <c r="AH1186">
        <v>0</v>
      </c>
      <c r="AI1186">
        <v>0</v>
      </c>
      <c r="AJ1186">
        <v>4</v>
      </c>
      <c r="AK1186">
        <v>4</v>
      </c>
      <c r="AL1186" t="s">
        <v>3195</v>
      </c>
      <c r="AM1186" t="s">
        <v>3196</v>
      </c>
      <c r="AN1186" t="s">
        <v>3197</v>
      </c>
      <c r="AO1186" t="s">
        <v>3198</v>
      </c>
      <c r="AP1186" t="s">
        <v>74</v>
      </c>
      <c r="AQ1186" t="s">
        <v>74</v>
      </c>
      <c r="AR1186" t="s">
        <v>3199</v>
      </c>
      <c r="AS1186" t="s">
        <v>3200</v>
      </c>
      <c r="AT1186" t="s">
        <v>19964</v>
      </c>
      <c r="AU1186">
        <v>2022</v>
      </c>
      <c r="AV1186">
        <v>13</v>
      </c>
      <c r="AW1186" t="s">
        <v>74</v>
      </c>
      <c r="AX1186" t="s">
        <v>74</v>
      </c>
      <c r="AY1186" t="s">
        <v>74</v>
      </c>
      <c r="AZ1186" t="s">
        <v>74</v>
      </c>
      <c r="BA1186" t="s">
        <v>74</v>
      </c>
      <c r="BB1186" t="s">
        <v>74</v>
      </c>
      <c r="BC1186" t="s">
        <v>74</v>
      </c>
      <c r="BD1186">
        <v>1007710</v>
      </c>
      <c r="BE1186" t="s">
        <v>19978</v>
      </c>
      <c r="BF1186" t="str">
        <f>HYPERLINK("http://dx.doi.org/10.3389/fpsyg.2022.1007710","http://dx.doi.org/10.3389/fpsyg.2022.1007710")</f>
        <v>http://dx.doi.org/10.3389/fpsyg.2022.1007710</v>
      </c>
      <c r="BG1186" t="s">
        <v>74</v>
      </c>
      <c r="BH1186" t="s">
        <v>74</v>
      </c>
      <c r="BI1186">
        <v>15</v>
      </c>
      <c r="BJ1186" t="s">
        <v>3203</v>
      </c>
      <c r="BK1186" t="s">
        <v>94</v>
      </c>
      <c r="BL1186" t="s">
        <v>460</v>
      </c>
      <c r="BM1186" t="s">
        <v>19979</v>
      </c>
      <c r="BN1186">
        <v>36467149</v>
      </c>
      <c r="BO1186" t="s">
        <v>3205</v>
      </c>
      <c r="BP1186" t="s">
        <v>74</v>
      </c>
      <c r="BQ1186" t="s">
        <v>74</v>
      </c>
      <c r="BR1186" t="s">
        <v>97</v>
      </c>
      <c r="BS1186" t="s">
        <v>19980</v>
      </c>
      <c r="BT1186" t="str">
        <f>HYPERLINK("https%3A%2F%2Fwww.webofscience.com%2Fwos%2Fwoscc%2Ffull-record%2FWOS:000892497800001","View Full Record in Web of Science")</f>
        <v>View Full Record in Web of Science</v>
      </c>
    </row>
    <row r="1187" spans="1:72" x14ac:dyDescent="0.25">
      <c r="A1187" t="s">
        <v>72</v>
      </c>
      <c r="B1187" t="s">
        <v>19981</v>
      </c>
      <c r="C1187" t="s">
        <v>74</v>
      </c>
      <c r="D1187" t="s">
        <v>74</v>
      </c>
      <c r="E1187" t="s">
        <v>74</v>
      </c>
      <c r="F1187" t="s">
        <v>19982</v>
      </c>
      <c r="G1187" t="s">
        <v>74</v>
      </c>
      <c r="H1187" t="s">
        <v>74</v>
      </c>
      <c r="I1187" t="s">
        <v>19983</v>
      </c>
      <c r="J1187" t="s">
        <v>3184</v>
      </c>
      <c r="K1187" t="s">
        <v>74</v>
      </c>
      <c r="L1187" t="s">
        <v>74</v>
      </c>
      <c r="M1187" t="s">
        <v>77</v>
      </c>
      <c r="N1187" t="s">
        <v>78</v>
      </c>
      <c r="O1187" t="s">
        <v>74</v>
      </c>
      <c r="P1187" t="s">
        <v>74</v>
      </c>
      <c r="Q1187" t="s">
        <v>74</v>
      </c>
      <c r="R1187" t="s">
        <v>74</v>
      </c>
      <c r="S1187" t="s">
        <v>74</v>
      </c>
      <c r="T1187" t="s">
        <v>19984</v>
      </c>
      <c r="U1187" t="s">
        <v>19985</v>
      </c>
      <c r="V1187" t="s">
        <v>19986</v>
      </c>
      <c r="W1187" t="s">
        <v>19987</v>
      </c>
      <c r="X1187" t="s">
        <v>19988</v>
      </c>
      <c r="Y1187" t="s">
        <v>19989</v>
      </c>
      <c r="Z1187" t="s">
        <v>19990</v>
      </c>
      <c r="AA1187" t="s">
        <v>5969</v>
      </c>
      <c r="AB1187" t="s">
        <v>19991</v>
      </c>
      <c r="AC1187" t="s">
        <v>19992</v>
      </c>
      <c r="AD1187" t="s">
        <v>19993</v>
      </c>
      <c r="AE1187" t="s">
        <v>19994</v>
      </c>
      <c r="AF1187" t="s">
        <v>74</v>
      </c>
      <c r="AG1187">
        <v>57</v>
      </c>
      <c r="AH1187">
        <v>0</v>
      </c>
      <c r="AI1187">
        <v>0</v>
      </c>
      <c r="AJ1187">
        <v>14</v>
      </c>
      <c r="AK1187">
        <v>14</v>
      </c>
      <c r="AL1187" t="s">
        <v>3195</v>
      </c>
      <c r="AM1187" t="s">
        <v>3196</v>
      </c>
      <c r="AN1187" t="s">
        <v>3197</v>
      </c>
      <c r="AO1187" t="s">
        <v>3198</v>
      </c>
      <c r="AP1187" t="s">
        <v>74</v>
      </c>
      <c r="AQ1187" t="s">
        <v>74</v>
      </c>
      <c r="AR1187" t="s">
        <v>3199</v>
      </c>
      <c r="AS1187" t="s">
        <v>3200</v>
      </c>
      <c r="AT1187" t="s">
        <v>4786</v>
      </c>
      <c r="AU1187">
        <v>2022</v>
      </c>
      <c r="AV1187">
        <v>13</v>
      </c>
      <c r="AW1187" t="s">
        <v>74</v>
      </c>
      <c r="AX1187" t="s">
        <v>74</v>
      </c>
      <c r="AY1187" t="s">
        <v>74</v>
      </c>
      <c r="AZ1187" t="s">
        <v>74</v>
      </c>
      <c r="BA1187" t="s">
        <v>74</v>
      </c>
      <c r="BB1187" t="s">
        <v>74</v>
      </c>
      <c r="BC1187" t="s">
        <v>74</v>
      </c>
      <c r="BD1187">
        <v>1045845</v>
      </c>
      <c r="BE1187" t="s">
        <v>19995</v>
      </c>
      <c r="BF1187" t="str">
        <f>HYPERLINK("http://dx.doi.org/10.3389/fpsyg.2022.1045845","http://dx.doi.org/10.3389/fpsyg.2022.1045845")</f>
        <v>http://dx.doi.org/10.3389/fpsyg.2022.1045845</v>
      </c>
      <c r="BG1187" t="s">
        <v>74</v>
      </c>
      <c r="BH1187" t="s">
        <v>74</v>
      </c>
      <c r="BI1187">
        <v>13</v>
      </c>
      <c r="BJ1187" t="s">
        <v>3203</v>
      </c>
      <c r="BK1187" t="s">
        <v>94</v>
      </c>
      <c r="BL1187" t="s">
        <v>460</v>
      </c>
      <c r="BM1187" t="s">
        <v>19996</v>
      </c>
      <c r="BN1187">
        <v>36438409</v>
      </c>
      <c r="BO1187" t="s">
        <v>3205</v>
      </c>
      <c r="BP1187" t="s">
        <v>74</v>
      </c>
      <c r="BQ1187" t="s">
        <v>74</v>
      </c>
      <c r="BR1187" t="s">
        <v>97</v>
      </c>
      <c r="BS1187" t="s">
        <v>19997</v>
      </c>
      <c r="BT1187" t="str">
        <f>HYPERLINK("https%3A%2F%2Fwww.webofscience.com%2Fwos%2Fwoscc%2Ffull-record%2FWOS:000889614400001","View Full Record in Web of Science")</f>
        <v>View Full Record in Web of Science</v>
      </c>
    </row>
    <row r="1188" spans="1:72" x14ac:dyDescent="0.25">
      <c r="A1188" t="s">
        <v>72</v>
      </c>
      <c r="B1188" t="s">
        <v>19998</v>
      </c>
      <c r="C1188" t="s">
        <v>74</v>
      </c>
      <c r="D1188" t="s">
        <v>74</v>
      </c>
      <c r="E1188" t="s">
        <v>74</v>
      </c>
      <c r="F1188" t="s">
        <v>19999</v>
      </c>
      <c r="G1188" t="s">
        <v>74</v>
      </c>
      <c r="H1188" t="s">
        <v>74</v>
      </c>
      <c r="I1188" t="s">
        <v>20000</v>
      </c>
      <c r="J1188" t="s">
        <v>20001</v>
      </c>
      <c r="K1188" t="s">
        <v>74</v>
      </c>
      <c r="L1188" t="s">
        <v>74</v>
      </c>
      <c r="M1188" t="s">
        <v>77</v>
      </c>
      <c r="N1188" t="s">
        <v>10095</v>
      </c>
      <c r="O1188" t="s">
        <v>74</v>
      </c>
      <c r="P1188" t="s">
        <v>74</v>
      </c>
      <c r="Q1188" t="s">
        <v>74</v>
      </c>
      <c r="R1188" t="s">
        <v>74</v>
      </c>
      <c r="S1188" t="s">
        <v>74</v>
      </c>
      <c r="T1188" t="s">
        <v>20002</v>
      </c>
      <c r="U1188" t="s">
        <v>20003</v>
      </c>
      <c r="V1188" t="s">
        <v>20004</v>
      </c>
      <c r="W1188" t="s">
        <v>20005</v>
      </c>
      <c r="X1188" t="s">
        <v>20006</v>
      </c>
      <c r="Y1188" t="s">
        <v>20007</v>
      </c>
      <c r="Z1188" t="s">
        <v>20008</v>
      </c>
      <c r="AA1188" t="s">
        <v>20009</v>
      </c>
      <c r="AB1188" t="s">
        <v>20010</v>
      </c>
      <c r="AC1188" t="s">
        <v>74</v>
      </c>
      <c r="AD1188" t="s">
        <v>74</v>
      </c>
      <c r="AE1188" t="s">
        <v>74</v>
      </c>
      <c r="AF1188" t="s">
        <v>74</v>
      </c>
      <c r="AG1188">
        <v>35</v>
      </c>
      <c r="AH1188">
        <v>0</v>
      </c>
      <c r="AI1188">
        <v>0</v>
      </c>
      <c r="AJ1188">
        <v>5</v>
      </c>
      <c r="AK1188">
        <v>5</v>
      </c>
      <c r="AL1188" t="s">
        <v>1533</v>
      </c>
      <c r="AM1188" t="s">
        <v>1534</v>
      </c>
      <c r="AN1188" t="s">
        <v>1535</v>
      </c>
      <c r="AO1188" t="s">
        <v>20011</v>
      </c>
      <c r="AP1188" t="s">
        <v>20012</v>
      </c>
      <c r="AQ1188" t="s">
        <v>74</v>
      </c>
      <c r="AR1188" t="s">
        <v>20013</v>
      </c>
      <c r="AS1188" t="s">
        <v>20014</v>
      </c>
      <c r="AT1188" t="s">
        <v>74</v>
      </c>
      <c r="AU1188" t="s">
        <v>74</v>
      </c>
      <c r="AV1188" t="s">
        <v>74</v>
      </c>
      <c r="AW1188" t="s">
        <v>74</v>
      </c>
      <c r="AX1188" t="s">
        <v>74</v>
      </c>
      <c r="AY1188" t="s">
        <v>74</v>
      </c>
      <c r="AZ1188" t="s">
        <v>74</v>
      </c>
      <c r="BA1188" t="s">
        <v>74</v>
      </c>
      <c r="BB1188" t="s">
        <v>74</v>
      </c>
      <c r="BC1188" t="s">
        <v>74</v>
      </c>
      <c r="BD1188" t="s">
        <v>74</v>
      </c>
      <c r="BE1188" t="s">
        <v>20015</v>
      </c>
      <c r="BF1188" t="str">
        <f>HYPERLINK("http://dx.doi.org/10.1007/s00068-022-02159-8","http://dx.doi.org/10.1007/s00068-022-02159-8")</f>
        <v>http://dx.doi.org/10.1007/s00068-022-02159-8</v>
      </c>
      <c r="BG1188" t="s">
        <v>74</v>
      </c>
      <c r="BH1188" t="s">
        <v>17302</v>
      </c>
      <c r="BI1188">
        <v>11</v>
      </c>
      <c r="BJ1188" t="s">
        <v>20016</v>
      </c>
      <c r="BK1188" t="s">
        <v>283</v>
      </c>
      <c r="BL1188" t="s">
        <v>20016</v>
      </c>
      <c r="BM1188" t="s">
        <v>20017</v>
      </c>
      <c r="BN1188">
        <v>36355089</v>
      </c>
      <c r="BO1188" t="s">
        <v>4225</v>
      </c>
      <c r="BP1188" t="s">
        <v>74</v>
      </c>
      <c r="BQ1188" t="s">
        <v>74</v>
      </c>
      <c r="BR1188" t="s">
        <v>97</v>
      </c>
      <c r="BS1188" t="s">
        <v>20018</v>
      </c>
      <c r="BT1188" t="str">
        <f>HYPERLINK("https%3A%2F%2Fwww.webofscience.com%2Fwos%2Fwoscc%2Ffull-record%2FWOS:000881616000002","View Full Record in Web of Science")</f>
        <v>View Full Record in Web of Science</v>
      </c>
    </row>
    <row r="1189" spans="1:72" x14ac:dyDescent="0.25">
      <c r="A1189" t="s">
        <v>72</v>
      </c>
      <c r="B1189" t="s">
        <v>20019</v>
      </c>
      <c r="C1189" t="s">
        <v>74</v>
      </c>
      <c r="D1189" t="s">
        <v>74</v>
      </c>
      <c r="E1189" t="s">
        <v>74</v>
      </c>
      <c r="F1189" t="s">
        <v>20020</v>
      </c>
      <c r="G1189" t="s">
        <v>74</v>
      </c>
      <c r="H1189" t="s">
        <v>74</v>
      </c>
      <c r="I1189" t="s">
        <v>20021</v>
      </c>
      <c r="J1189" t="s">
        <v>10561</v>
      </c>
      <c r="K1189" t="s">
        <v>74</v>
      </c>
      <c r="L1189" t="s">
        <v>74</v>
      </c>
      <c r="M1189" t="s">
        <v>77</v>
      </c>
      <c r="N1189" t="s">
        <v>78</v>
      </c>
      <c r="O1189" t="s">
        <v>74</v>
      </c>
      <c r="P1189" t="s">
        <v>74</v>
      </c>
      <c r="Q1189" t="s">
        <v>74</v>
      </c>
      <c r="R1189" t="s">
        <v>74</v>
      </c>
      <c r="S1189" t="s">
        <v>74</v>
      </c>
      <c r="T1189" t="s">
        <v>20022</v>
      </c>
      <c r="U1189" t="s">
        <v>20023</v>
      </c>
      <c r="V1189" t="s">
        <v>20024</v>
      </c>
      <c r="W1189" t="s">
        <v>20025</v>
      </c>
      <c r="X1189" t="s">
        <v>20026</v>
      </c>
      <c r="Y1189" t="s">
        <v>20027</v>
      </c>
      <c r="Z1189" t="s">
        <v>20028</v>
      </c>
      <c r="AA1189" t="s">
        <v>74</v>
      </c>
      <c r="AB1189" t="s">
        <v>74</v>
      </c>
      <c r="AC1189" t="s">
        <v>74</v>
      </c>
      <c r="AD1189" t="s">
        <v>74</v>
      </c>
      <c r="AE1189" t="s">
        <v>74</v>
      </c>
      <c r="AF1189" t="s">
        <v>74</v>
      </c>
      <c r="AG1189">
        <v>110</v>
      </c>
      <c r="AH1189">
        <v>0</v>
      </c>
      <c r="AI1189">
        <v>0</v>
      </c>
      <c r="AJ1189">
        <v>14</v>
      </c>
      <c r="AK1189">
        <v>14</v>
      </c>
      <c r="AL1189" t="s">
        <v>2473</v>
      </c>
      <c r="AM1189" t="s">
        <v>2102</v>
      </c>
      <c r="AN1189" t="s">
        <v>2474</v>
      </c>
      <c r="AO1189" t="s">
        <v>74</v>
      </c>
      <c r="AP1189" t="s">
        <v>10570</v>
      </c>
      <c r="AQ1189" t="s">
        <v>74</v>
      </c>
      <c r="AR1189" t="s">
        <v>10571</v>
      </c>
      <c r="AS1189" t="s">
        <v>10572</v>
      </c>
      <c r="AT1189" t="s">
        <v>584</v>
      </c>
      <c r="AU1189">
        <v>2022</v>
      </c>
      <c r="AV1189">
        <v>12</v>
      </c>
      <c r="AW1189">
        <v>11</v>
      </c>
      <c r="AX1189" t="s">
        <v>74</v>
      </c>
      <c r="AY1189" t="s">
        <v>74</v>
      </c>
      <c r="AZ1189" t="s">
        <v>74</v>
      </c>
      <c r="BA1189" t="s">
        <v>74</v>
      </c>
      <c r="BB1189" t="s">
        <v>74</v>
      </c>
      <c r="BC1189" t="s">
        <v>74</v>
      </c>
      <c r="BD1189">
        <v>443</v>
      </c>
      <c r="BE1189" t="s">
        <v>20029</v>
      </c>
      <c r="BF1189" t="str">
        <f>HYPERLINK("http://dx.doi.org/10.3390/bs12110443","http://dx.doi.org/10.3390/bs12110443")</f>
        <v>http://dx.doi.org/10.3390/bs12110443</v>
      </c>
      <c r="BG1189" t="s">
        <v>74</v>
      </c>
      <c r="BH1189" t="s">
        <v>74</v>
      </c>
      <c r="BI1189">
        <v>19</v>
      </c>
      <c r="BJ1189" t="s">
        <v>3203</v>
      </c>
      <c r="BK1189" t="s">
        <v>94</v>
      </c>
      <c r="BL1189" t="s">
        <v>460</v>
      </c>
      <c r="BM1189" t="s">
        <v>20030</v>
      </c>
      <c r="BN1189">
        <v>36421739</v>
      </c>
      <c r="BO1189" t="s">
        <v>4398</v>
      </c>
      <c r="BP1189" t="s">
        <v>74</v>
      </c>
      <c r="BQ1189" t="s">
        <v>74</v>
      </c>
      <c r="BR1189" t="s">
        <v>97</v>
      </c>
      <c r="BS1189" t="s">
        <v>20031</v>
      </c>
      <c r="BT1189" t="str">
        <f>HYPERLINK("https%3A%2F%2Fwww.webofscience.com%2Fwos%2Fwoscc%2Ffull-record%2FWOS:000894332500001","View Full Record in Web of Science")</f>
        <v>View Full Record in Web of Science</v>
      </c>
    </row>
    <row r="1190" spans="1:72" x14ac:dyDescent="0.25">
      <c r="A1190" t="s">
        <v>72</v>
      </c>
      <c r="B1190" t="s">
        <v>20032</v>
      </c>
      <c r="C1190" t="s">
        <v>74</v>
      </c>
      <c r="D1190" t="s">
        <v>74</v>
      </c>
      <c r="E1190" t="s">
        <v>74</v>
      </c>
      <c r="F1190" t="s">
        <v>20033</v>
      </c>
      <c r="G1190" t="s">
        <v>74</v>
      </c>
      <c r="H1190" t="s">
        <v>74</v>
      </c>
      <c r="I1190" t="s">
        <v>20034</v>
      </c>
      <c r="J1190" t="s">
        <v>485</v>
      </c>
      <c r="K1190" t="s">
        <v>74</v>
      </c>
      <c r="L1190" t="s">
        <v>74</v>
      </c>
      <c r="M1190" t="s">
        <v>77</v>
      </c>
      <c r="N1190" t="s">
        <v>78</v>
      </c>
      <c r="O1190" t="s">
        <v>74</v>
      </c>
      <c r="P1190" t="s">
        <v>74</v>
      </c>
      <c r="Q1190" t="s">
        <v>74</v>
      </c>
      <c r="R1190" t="s">
        <v>74</v>
      </c>
      <c r="S1190" t="s">
        <v>74</v>
      </c>
      <c r="T1190" t="s">
        <v>20035</v>
      </c>
      <c r="U1190" t="s">
        <v>20036</v>
      </c>
      <c r="V1190" t="s">
        <v>20037</v>
      </c>
      <c r="W1190" t="s">
        <v>20038</v>
      </c>
      <c r="X1190" t="s">
        <v>20039</v>
      </c>
      <c r="Y1190" t="s">
        <v>20040</v>
      </c>
      <c r="Z1190" t="s">
        <v>9807</v>
      </c>
      <c r="AA1190" t="s">
        <v>74</v>
      </c>
      <c r="AB1190" t="s">
        <v>20041</v>
      </c>
      <c r="AC1190" t="s">
        <v>20042</v>
      </c>
      <c r="AD1190" t="s">
        <v>20043</v>
      </c>
      <c r="AE1190" t="s">
        <v>20044</v>
      </c>
      <c r="AF1190" t="s">
        <v>74</v>
      </c>
      <c r="AG1190">
        <v>93</v>
      </c>
      <c r="AH1190">
        <v>0</v>
      </c>
      <c r="AI1190">
        <v>0</v>
      </c>
      <c r="AJ1190">
        <v>49</v>
      </c>
      <c r="AK1190">
        <v>50</v>
      </c>
      <c r="AL1190" t="s">
        <v>218</v>
      </c>
      <c r="AM1190" t="s">
        <v>219</v>
      </c>
      <c r="AN1190" t="s">
        <v>220</v>
      </c>
      <c r="AO1190" t="s">
        <v>493</v>
      </c>
      <c r="AP1190" t="s">
        <v>557</v>
      </c>
      <c r="AQ1190" t="s">
        <v>74</v>
      </c>
      <c r="AR1190" t="s">
        <v>494</v>
      </c>
      <c r="AS1190" t="s">
        <v>495</v>
      </c>
      <c r="AT1190" t="s">
        <v>200</v>
      </c>
      <c r="AU1190">
        <v>2023</v>
      </c>
      <c r="AV1190">
        <v>96</v>
      </c>
      <c r="AW1190">
        <v>1</v>
      </c>
      <c r="AX1190" t="s">
        <v>74</v>
      </c>
      <c r="AY1190" t="s">
        <v>74</v>
      </c>
      <c r="AZ1190" t="s">
        <v>74</v>
      </c>
      <c r="BA1190" t="s">
        <v>74</v>
      </c>
      <c r="BB1190">
        <v>182</v>
      </c>
      <c r="BC1190">
        <v>202</v>
      </c>
      <c r="BD1190" t="s">
        <v>74</v>
      </c>
      <c r="BE1190" t="s">
        <v>20045</v>
      </c>
      <c r="BF1190" t="str">
        <f>HYPERLINK("http://dx.doi.org/10.1111/joop.12411","http://dx.doi.org/10.1111/joop.12411")</f>
        <v>http://dx.doi.org/10.1111/joop.12411</v>
      </c>
      <c r="BG1190" t="s">
        <v>74</v>
      </c>
      <c r="BH1190" t="s">
        <v>17318</v>
      </c>
      <c r="BI1190">
        <v>21</v>
      </c>
      <c r="BJ1190" t="s">
        <v>202</v>
      </c>
      <c r="BK1190" t="s">
        <v>94</v>
      </c>
      <c r="BL1190" t="s">
        <v>203</v>
      </c>
      <c r="BM1190" t="s">
        <v>20046</v>
      </c>
      <c r="BN1190" t="s">
        <v>74</v>
      </c>
      <c r="BO1190" t="s">
        <v>74</v>
      </c>
      <c r="BP1190" t="s">
        <v>74</v>
      </c>
      <c r="BQ1190" t="s">
        <v>74</v>
      </c>
      <c r="BR1190" t="s">
        <v>97</v>
      </c>
      <c r="BS1190" t="s">
        <v>20047</v>
      </c>
      <c r="BT1190" t="str">
        <f>HYPERLINK("https%3A%2F%2Fwww.webofscience.com%2Fwos%2Fwoscc%2Ffull-record%2FWOS:000876555000001","View Full Record in Web of Science")</f>
        <v>View Full Record in Web of Science</v>
      </c>
    </row>
    <row r="1191" spans="1:72" x14ac:dyDescent="0.25">
      <c r="A1191" t="s">
        <v>72</v>
      </c>
      <c r="B1191" t="s">
        <v>20048</v>
      </c>
      <c r="C1191" t="s">
        <v>74</v>
      </c>
      <c r="D1191" t="s">
        <v>74</v>
      </c>
      <c r="E1191" t="s">
        <v>74</v>
      </c>
      <c r="F1191" t="s">
        <v>20049</v>
      </c>
      <c r="G1191" t="s">
        <v>74</v>
      </c>
      <c r="H1191" t="s">
        <v>74</v>
      </c>
      <c r="I1191" t="s">
        <v>20050</v>
      </c>
      <c r="J1191" t="s">
        <v>3184</v>
      </c>
      <c r="K1191" t="s">
        <v>74</v>
      </c>
      <c r="L1191" t="s">
        <v>74</v>
      </c>
      <c r="M1191" t="s">
        <v>77</v>
      </c>
      <c r="N1191" t="s">
        <v>78</v>
      </c>
      <c r="O1191" t="s">
        <v>74</v>
      </c>
      <c r="P1191" t="s">
        <v>74</v>
      </c>
      <c r="Q1191" t="s">
        <v>74</v>
      </c>
      <c r="R1191" t="s">
        <v>74</v>
      </c>
      <c r="S1191" t="s">
        <v>74</v>
      </c>
      <c r="T1191" t="s">
        <v>20051</v>
      </c>
      <c r="U1191" t="s">
        <v>20052</v>
      </c>
      <c r="V1191" t="s">
        <v>20053</v>
      </c>
      <c r="W1191" t="s">
        <v>20054</v>
      </c>
      <c r="X1191" t="s">
        <v>20055</v>
      </c>
      <c r="Y1191" t="s">
        <v>20056</v>
      </c>
      <c r="Z1191" t="s">
        <v>20057</v>
      </c>
      <c r="AA1191" t="s">
        <v>74</v>
      </c>
      <c r="AB1191" t="s">
        <v>74</v>
      </c>
      <c r="AC1191" t="s">
        <v>74</v>
      </c>
      <c r="AD1191" t="s">
        <v>74</v>
      </c>
      <c r="AE1191" t="s">
        <v>74</v>
      </c>
      <c r="AF1191" t="s">
        <v>74</v>
      </c>
      <c r="AG1191">
        <v>94</v>
      </c>
      <c r="AH1191">
        <v>0</v>
      </c>
      <c r="AI1191">
        <v>0</v>
      </c>
      <c r="AJ1191">
        <v>18</v>
      </c>
      <c r="AK1191">
        <v>18</v>
      </c>
      <c r="AL1191" t="s">
        <v>3195</v>
      </c>
      <c r="AM1191" t="s">
        <v>3196</v>
      </c>
      <c r="AN1191" t="s">
        <v>3197</v>
      </c>
      <c r="AO1191" t="s">
        <v>3198</v>
      </c>
      <c r="AP1191" t="s">
        <v>74</v>
      </c>
      <c r="AQ1191" t="s">
        <v>74</v>
      </c>
      <c r="AR1191" t="s">
        <v>3199</v>
      </c>
      <c r="AS1191" t="s">
        <v>3200</v>
      </c>
      <c r="AT1191" t="s">
        <v>15268</v>
      </c>
      <c r="AU1191">
        <v>2022</v>
      </c>
      <c r="AV1191">
        <v>13</v>
      </c>
      <c r="AW1191" t="s">
        <v>74</v>
      </c>
      <c r="AX1191" t="s">
        <v>74</v>
      </c>
      <c r="AY1191" t="s">
        <v>74</v>
      </c>
      <c r="AZ1191" t="s">
        <v>74</v>
      </c>
      <c r="BA1191" t="s">
        <v>74</v>
      </c>
      <c r="BB1191" t="s">
        <v>74</v>
      </c>
      <c r="BC1191" t="s">
        <v>74</v>
      </c>
      <c r="BD1191">
        <v>1051028</v>
      </c>
      <c r="BE1191" t="s">
        <v>20058</v>
      </c>
      <c r="BF1191" t="str">
        <f>HYPERLINK("http://dx.doi.org/10.3389/fpsyg.2022.1051028","http://dx.doi.org/10.3389/fpsyg.2022.1051028")</f>
        <v>http://dx.doi.org/10.3389/fpsyg.2022.1051028</v>
      </c>
      <c r="BG1191" t="s">
        <v>74</v>
      </c>
      <c r="BH1191" t="s">
        <v>74</v>
      </c>
      <c r="BI1191">
        <v>13</v>
      </c>
      <c r="BJ1191" t="s">
        <v>3203</v>
      </c>
      <c r="BK1191" t="s">
        <v>94</v>
      </c>
      <c r="BL1191" t="s">
        <v>460</v>
      </c>
      <c r="BM1191" t="s">
        <v>20059</v>
      </c>
      <c r="BN1191">
        <v>36389490</v>
      </c>
      <c r="BO1191" t="s">
        <v>3205</v>
      </c>
      <c r="BP1191" t="s">
        <v>74</v>
      </c>
      <c r="BQ1191" t="s">
        <v>74</v>
      </c>
      <c r="BR1191" t="s">
        <v>97</v>
      </c>
      <c r="BS1191" t="s">
        <v>20060</v>
      </c>
      <c r="BT1191" t="str">
        <f>HYPERLINK("https%3A%2F%2Fwww.webofscience.com%2Fwos%2Fwoscc%2Ffull-record%2FWOS:000882049800001","View Full Record in Web of Science")</f>
        <v>View Full Record in Web of Science</v>
      </c>
    </row>
    <row r="1192" spans="1:72" x14ac:dyDescent="0.25">
      <c r="A1192" t="s">
        <v>72</v>
      </c>
      <c r="B1192" t="s">
        <v>20061</v>
      </c>
      <c r="C1192" t="s">
        <v>74</v>
      </c>
      <c r="D1192" t="s">
        <v>74</v>
      </c>
      <c r="E1192" t="s">
        <v>74</v>
      </c>
      <c r="F1192" t="s">
        <v>20062</v>
      </c>
      <c r="G1192" t="s">
        <v>74</v>
      </c>
      <c r="H1192" t="s">
        <v>74</v>
      </c>
      <c r="I1192" t="s">
        <v>20063</v>
      </c>
      <c r="J1192" t="s">
        <v>2678</v>
      </c>
      <c r="K1192" t="s">
        <v>74</v>
      </c>
      <c r="L1192" t="s">
        <v>74</v>
      </c>
      <c r="M1192" t="s">
        <v>77</v>
      </c>
      <c r="N1192" t="s">
        <v>78</v>
      </c>
      <c r="O1192" t="s">
        <v>74</v>
      </c>
      <c r="P1192" t="s">
        <v>74</v>
      </c>
      <c r="Q1192" t="s">
        <v>74</v>
      </c>
      <c r="R1192" t="s">
        <v>74</v>
      </c>
      <c r="S1192" t="s">
        <v>74</v>
      </c>
      <c r="T1192" t="s">
        <v>74</v>
      </c>
      <c r="U1192" t="s">
        <v>20064</v>
      </c>
      <c r="V1192" t="s">
        <v>20065</v>
      </c>
      <c r="W1192" t="s">
        <v>20066</v>
      </c>
      <c r="X1192" t="s">
        <v>20067</v>
      </c>
      <c r="Y1192" t="s">
        <v>20068</v>
      </c>
      <c r="Z1192" t="s">
        <v>20069</v>
      </c>
      <c r="AA1192" t="s">
        <v>74</v>
      </c>
      <c r="AB1192" t="s">
        <v>20070</v>
      </c>
      <c r="AC1192" t="s">
        <v>20071</v>
      </c>
      <c r="AD1192" t="s">
        <v>20071</v>
      </c>
      <c r="AE1192" t="s">
        <v>20072</v>
      </c>
      <c r="AF1192" t="s">
        <v>74</v>
      </c>
      <c r="AG1192">
        <v>68</v>
      </c>
      <c r="AH1192">
        <v>0</v>
      </c>
      <c r="AI1192">
        <v>0</v>
      </c>
      <c r="AJ1192">
        <v>4</v>
      </c>
      <c r="AK1192">
        <v>4</v>
      </c>
      <c r="AL1192" t="s">
        <v>1045</v>
      </c>
      <c r="AM1192" t="s">
        <v>1046</v>
      </c>
      <c r="AN1192" t="s">
        <v>1047</v>
      </c>
      <c r="AO1192" t="s">
        <v>2688</v>
      </c>
      <c r="AP1192" t="s">
        <v>74</v>
      </c>
      <c r="AQ1192" t="s">
        <v>74</v>
      </c>
      <c r="AR1192" t="s">
        <v>2678</v>
      </c>
      <c r="AS1192" t="s">
        <v>2689</v>
      </c>
      <c r="AT1192" t="s">
        <v>20073</v>
      </c>
      <c r="AU1192">
        <v>2022</v>
      </c>
      <c r="AV1192">
        <v>17</v>
      </c>
      <c r="AW1192">
        <v>10</v>
      </c>
      <c r="AX1192" t="s">
        <v>74</v>
      </c>
      <c r="AY1192" t="s">
        <v>74</v>
      </c>
      <c r="AZ1192" t="s">
        <v>74</v>
      </c>
      <c r="BA1192" t="s">
        <v>74</v>
      </c>
      <c r="BB1192" t="s">
        <v>74</v>
      </c>
      <c r="BC1192" t="s">
        <v>74</v>
      </c>
      <c r="BD1192" t="s">
        <v>20074</v>
      </c>
      <c r="BE1192" t="s">
        <v>20075</v>
      </c>
      <c r="BF1192" t="str">
        <f>HYPERLINK("http://dx.doi.org/10.1371/journal.pone.0276463","http://dx.doi.org/10.1371/journal.pone.0276463")</f>
        <v>http://dx.doi.org/10.1371/journal.pone.0276463</v>
      </c>
      <c r="BG1192" t="s">
        <v>74</v>
      </c>
      <c r="BH1192" t="s">
        <v>74</v>
      </c>
      <c r="BI1192">
        <v>17</v>
      </c>
      <c r="BJ1192" t="s">
        <v>282</v>
      </c>
      <c r="BK1192" t="s">
        <v>283</v>
      </c>
      <c r="BL1192" t="s">
        <v>284</v>
      </c>
      <c r="BM1192" t="s">
        <v>20076</v>
      </c>
      <c r="BN1192">
        <v>36260648</v>
      </c>
      <c r="BO1192" t="s">
        <v>4398</v>
      </c>
      <c r="BP1192" t="s">
        <v>74</v>
      </c>
      <c r="BQ1192" t="s">
        <v>74</v>
      </c>
      <c r="BR1192" t="s">
        <v>97</v>
      </c>
      <c r="BS1192" t="s">
        <v>20077</v>
      </c>
      <c r="BT1192" t="str">
        <f>HYPERLINK("https%3A%2F%2Fwww.webofscience.com%2Fwos%2Fwoscc%2Ffull-record%2FWOS:000886620200060","View Full Record in Web of Science")</f>
        <v>View Full Record in Web of Science</v>
      </c>
    </row>
    <row r="1193" spans="1:72" x14ac:dyDescent="0.25">
      <c r="A1193" t="s">
        <v>72</v>
      </c>
      <c r="B1193" t="s">
        <v>20078</v>
      </c>
      <c r="C1193" t="s">
        <v>74</v>
      </c>
      <c r="D1193" t="s">
        <v>74</v>
      </c>
      <c r="E1193" t="s">
        <v>74</v>
      </c>
      <c r="F1193" t="s">
        <v>20079</v>
      </c>
      <c r="G1193" t="s">
        <v>74</v>
      </c>
      <c r="H1193" t="s">
        <v>74</v>
      </c>
      <c r="I1193" t="s">
        <v>20080</v>
      </c>
      <c r="J1193" t="s">
        <v>3184</v>
      </c>
      <c r="K1193" t="s">
        <v>74</v>
      </c>
      <c r="L1193" t="s">
        <v>74</v>
      </c>
      <c r="M1193" t="s">
        <v>77</v>
      </c>
      <c r="N1193" t="s">
        <v>78</v>
      </c>
      <c r="O1193" t="s">
        <v>74</v>
      </c>
      <c r="P1193" t="s">
        <v>74</v>
      </c>
      <c r="Q1193" t="s">
        <v>74</v>
      </c>
      <c r="R1193" t="s">
        <v>74</v>
      </c>
      <c r="S1193" t="s">
        <v>74</v>
      </c>
      <c r="T1193" t="s">
        <v>20081</v>
      </c>
      <c r="U1193" t="s">
        <v>20082</v>
      </c>
      <c r="V1193" t="s">
        <v>20083</v>
      </c>
      <c r="W1193" t="s">
        <v>20084</v>
      </c>
      <c r="X1193" t="s">
        <v>20085</v>
      </c>
      <c r="Y1193" t="s">
        <v>20086</v>
      </c>
      <c r="Z1193" t="s">
        <v>20087</v>
      </c>
      <c r="AA1193" t="s">
        <v>20088</v>
      </c>
      <c r="AB1193" t="s">
        <v>74</v>
      </c>
      <c r="AC1193" t="s">
        <v>20089</v>
      </c>
      <c r="AD1193" t="s">
        <v>20090</v>
      </c>
      <c r="AE1193" t="s">
        <v>20091</v>
      </c>
      <c r="AF1193" t="s">
        <v>74</v>
      </c>
      <c r="AG1193">
        <v>60</v>
      </c>
      <c r="AH1193">
        <v>0</v>
      </c>
      <c r="AI1193">
        <v>0</v>
      </c>
      <c r="AJ1193">
        <v>24</v>
      </c>
      <c r="AK1193">
        <v>27</v>
      </c>
      <c r="AL1193" t="s">
        <v>3195</v>
      </c>
      <c r="AM1193" t="s">
        <v>3196</v>
      </c>
      <c r="AN1193" t="s">
        <v>3197</v>
      </c>
      <c r="AO1193" t="s">
        <v>3198</v>
      </c>
      <c r="AP1193" t="s">
        <v>74</v>
      </c>
      <c r="AQ1193" t="s">
        <v>74</v>
      </c>
      <c r="AR1193" t="s">
        <v>3199</v>
      </c>
      <c r="AS1193" t="s">
        <v>3200</v>
      </c>
      <c r="AT1193" t="s">
        <v>1894</v>
      </c>
      <c r="AU1193">
        <v>2022</v>
      </c>
      <c r="AV1193">
        <v>13</v>
      </c>
      <c r="AW1193" t="s">
        <v>74</v>
      </c>
      <c r="AX1193" t="s">
        <v>74</v>
      </c>
      <c r="AY1193" t="s">
        <v>74</v>
      </c>
      <c r="AZ1193" t="s">
        <v>74</v>
      </c>
      <c r="BA1193" t="s">
        <v>74</v>
      </c>
      <c r="BB1193" t="s">
        <v>74</v>
      </c>
      <c r="BC1193" t="s">
        <v>74</v>
      </c>
      <c r="BD1193">
        <v>969013</v>
      </c>
      <c r="BE1193" t="s">
        <v>20092</v>
      </c>
      <c r="BF1193" t="str">
        <f>HYPERLINK("http://dx.doi.org/10.3389/fpsyg.2022.969013","http://dx.doi.org/10.3389/fpsyg.2022.969013")</f>
        <v>http://dx.doi.org/10.3389/fpsyg.2022.969013</v>
      </c>
      <c r="BG1193" t="s">
        <v>74</v>
      </c>
      <c r="BH1193" t="s">
        <v>74</v>
      </c>
      <c r="BI1193">
        <v>10</v>
      </c>
      <c r="BJ1193" t="s">
        <v>3203</v>
      </c>
      <c r="BK1193" t="s">
        <v>94</v>
      </c>
      <c r="BL1193" t="s">
        <v>460</v>
      </c>
      <c r="BM1193" t="s">
        <v>20093</v>
      </c>
      <c r="BN1193">
        <v>36304877</v>
      </c>
      <c r="BO1193" t="s">
        <v>3205</v>
      </c>
      <c r="BP1193" t="s">
        <v>74</v>
      </c>
      <c r="BQ1193" t="s">
        <v>74</v>
      </c>
      <c r="BR1193" t="s">
        <v>97</v>
      </c>
      <c r="BS1193" t="s">
        <v>20094</v>
      </c>
      <c r="BT1193" t="str">
        <f>HYPERLINK("https%3A%2F%2Fwww.webofscience.com%2Fwos%2Fwoscc%2Ffull-record%2FWOS:000874568700001","View Full Record in Web of Science")</f>
        <v>View Full Record in Web of Science</v>
      </c>
    </row>
    <row r="1194" spans="1:72" x14ac:dyDescent="0.25">
      <c r="A1194" t="s">
        <v>72</v>
      </c>
      <c r="B1194" t="s">
        <v>20095</v>
      </c>
      <c r="C1194" t="s">
        <v>74</v>
      </c>
      <c r="D1194" t="s">
        <v>74</v>
      </c>
      <c r="E1194" t="s">
        <v>74</v>
      </c>
      <c r="F1194" t="s">
        <v>20096</v>
      </c>
      <c r="G1194" t="s">
        <v>74</v>
      </c>
      <c r="H1194" t="s">
        <v>74</v>
      </c>
      <c r="I1194" t="s">
        <v>20097</v>
      </c>
      <c r="J1194" t="s">
        <v>20098</v>
      </c>
      <c r="K1194" t="s">
        <v>74</v>
      </c>
      <c r="L1194" t="s">
        <v>74</v>
      </c>
      <c r="M1194" t="s">
        <v>77</v>
      </c>
      <c r="N1194" t="s">
        <v>10095</v>
      </c>
      <c r="O1194" t="s">
        <v>74</v>
      </c>
      <c r="P1194" t="s">
        <v>74</v>
      </c>
      <c r="Q1194" t="s">
        <v>74</v>
      </c>
      <c r="R1194" t="s">
        <v>74</v>
      </c>
      <c r="S1194" t="s">
        <v>74</v>
      </c>
      <c r="T1194" t="s">
        <v>20099</v>
      </c>
      <c r="U1194" t="s">
        <v>20100</v>
      </c>
      <c r="V1194" t="s">
        <v>20101</v>
      </c>
      <c r="W1194" t="s">
        <v>20102</v>
      </c>
      <c r="X1194" t="s">
        <v>20103</v>
      </c>
      <c r="Y1194" t="s">
        <v>20104</v>
      </c>
      <c r="Z1194" t="s">
        <v>20105</v>
      </c>
      <c r="AA1194" t="s">
        <v>74</v>
      </c>
      <c r="AB1194" t="s">
        <v>20106</v>
      </c>
      <c r="AC1194" t="s">
        <v>74</v>
      </c>
      <c r="AD1194" t="s">
        <v>74</v>
      </c>
      <c r="AE1194" t="s">
        <v>74</v>
      </c>
      <c r="AF1194" t="s">
        <v>74</v>
      </c>
      <c r="AG1194">
        <v>60</v>
      </c>
      <c r="AH1194">
        <v>0</v>
      </c>
      <c r="AI1194">
        <v>0</v>
      </c>
      <c r="AJ1194">
        <v>1</v>
      </c>
      <c r="AK1194">
        <v>1</v>
      </c>
      <c r="AL1194" t="s">
        <v>350</v>
      </c>
      <c r="AM1194" t="s">
        <v>351</v>
      </c>
      <c r="AN1194" t="s">
        <v>352</v>
      </c>
      <c r="AO1194" t="s">
        <v>20107</v>
      </c>
      <c r="AP1194" t="s">
        <v>20108</v>
      </c>
      <c r="AQ1194" t="s">
        <v>74</v>
      </c>
      <c r="AR1194" t="s">
        <v>20109</v>
      </c>
      <c r="AS1194" t="s">
        <v>20110</v>
      </c>
      <c r="AT1194" t="s">
        <v>74</v>
      </c>
      <c r="AU1194" t="s">
        <v>74</v>
      </c>
      <c r="AV1194" t="s">
        <v>74</v>
      </c>
      <c r="AW1194" t="s">
        <v>74</v>
      </c>
      <c r="AX1194" t="s">
        <v>74</v>
      </c>
      <c r="AY1194" t="s">
        <v>74</v>
      </c>
      <c r="AZ1194" t="s">
        <v>74</v>
      </c>
      <c r="BA1194" t="s">
        <v>74</v>
      </c>
      <c r="BB1194" t="s">
        <v>74</v>
      </c>
      <c r="BC1194" t="s">
        <v>74</v>
      </c>
      <c r="BD1194" t="s">
        <v>74</v>
      </c>
      <c r="BE1194" t="s">
        <v>20111</v>
      </c>
      <c r="BF1194" t="str">
        <f>HYPERLINK("http://dx.doi.org/10.1177/10497315221131319","http://dx.doi.org/10.1177/10497315221131319")</f>
        <v>http://dx.doi.org/10.1177/10497315221131319</v>
      </c>
      <c r="BG1194" t="s">
        <v>74</v>
      </c>
      <c r="BH1194" t="s">
        <v>17318</v>
      </c>
      <c r="BI1194">
        <v>14</v>
      </c>
      <c r="BJ1194" t="s">
        <v>19657</v>
      </c>
      <c r="BK1194" t="s">
        <v>94</v>
      </c>
      <c r="BL1194" t="s">
        <v>19657</v>
      </c>
      <c r="BM1194" t="s">
        <v>20112</v>
      </c>
      <c r="BN1194" t="s">
        <v>74</v>
      </c>
      <c r="BO1194" t="s">
        <v>74</v>
      </c>
      <c r="BP1194" t="s">
        <v>74</v>
      </c>
      <c r="BQ1194" t="s">
        <v>74</v>
      </c>
      <c r="BR1194" t="s">
        <v>97</v>
      </c>
      <c r="BS1194" t="s">
        <v>20113</v>
      </c>
      <c r="BT1194" t="str">
        <f>HYPERLINK("https%3A%2F%2Fwww.webofscience.com%2Fwos%2Fwoscc%2Ffull-record%2FWOS:000953642400001","View Full Record in Web of Science")</f>
        <v>View Full Record in Web of Science</v>
      </c>
    </row>
    <row r="1195" spans="1:72" x14ac:dyDescent="0.25">
      <c r="A1195" t="s">
        <v>72</v>
      </c>
      <c r="B1195" t="s">
        <v>9112</v>
      </c>
      <c r="C1195" t="s">
        <v>74</v>
      </c>
      <c r="D1195" t="s">
        <v>74</v>
      </c>
      <c r="E1195" t="s">
        <v>74</v>
      </c>
      <c r="F1195" t="s">
        <v>9113</v>
      </c>
      <c r="G1195" t="s">
        <v>74</v>
      </c>
      <c r="H1195" t="s">
        <v>74</v>
      </c>
      <c r="I1195" t="s">
        <v>9114</v>
      </c>
      <c r="J1195" t="s">
        <v>9115</v>
      </c>
      <c r="K1195" t="s">
        <v>74</v>
      </c>
      <c r="L1195" t="s">
        <v>74</v>
      </c>
      <c r="M1195" t="s">
        <v>77</v>
      </c>
      <c r="N1195" t="s">
        <v>78</v>
      </c>
      <c r="O1195" t="s">
        <v>74</v>
      </c>
      <c r="P1195" t="s">
        <v>74</v>
      </c>
      <c r="Q1195" t="s">
        <v>74</v>
      </c>
      <c r="R1195" t="s">
        <v>74</v>
      </c>
      <c r="S1195" t="s">
        <v>74</v>
      </c>
      <c r="T1195" t="s">
        <v>9116</v>
      </c>
      <c r="U1195" t="s">
        <v>9117</v>
      </c>
      <c r="V1195" t="s">
        <v>9118</v>
      </c>
      <c r="W1195" t="s">
        <v>9119</v>
      </c>
      <c r="X1195" t="s">
        <v>9120</v>
      </c>
      <c r="Y1195" t="s">
        <v>9121</v>
      </c>
      <c r="Z1195" t="s">
        <v>74</v>
      </c>
      <c r="AA1195" t="s">
        <v>9122</v>
      </c>
      <c r="AB1195" t="s">
        <v>9123</v>
      </c>
      <c r="AC1195" t="s">
        <v>74</v>
      </c>
      <c r="AD1195" t="s">
        <v>74</v>
      </c>
      <c r="AE1195" t="s">
        <v>74</v>
      </c>
      <c r="AF1195" t="s">
        <v>74</v>
      </c>
      <c r="AG1195">
        <v>70</v>
      </c>
      <c r="AH1195">
        <v>14</v>
      </c>
      <c r="AI1195">
        <v>14</v>
      </c>
      <c r="AJ1195">
        <v>0</v>
      </c>
      <c r="AK1195">
        <v>56</v>
      </c>
      <c r="AL1195" t="s">
        <v>1099</v>
      </c>
      <c r="AM1195" t="s">
        <v>305</v>
      </c>
      <c r="AN1195" t="s">
        <v>1100</v>
      </c>
      <c r="AO1195" t="s">
        <v>9124</v>
      </c>
      <c r="AP1195" t="s">
        <v>9125</v>
      </c>
      <c r="AQ1195" t="s">
        <v>74</v>
      </c>
      <c r="AR1195" t="s">
        <v>9126</v>
      </c>
      <c r="AS1195" t="s">
        <v>9127</v>
      </c>
      <c r="AT1195" t="s">
        <v>91</v>
      </c>
      <c r="AU1195">
        <v>2012</v>
      </c>
      <c r="AV1195">
        <v>14</v>
      </c>
      <c r="AW1195">
        <v>2</v>
      </c>
      <c r="AX1195" t="s">
        <v>74</v>
      </c>
      <c r="AY1195" t="s">
        <v>74</v>
      </c>
      <c r="AZ1195" t="s">
        <v>74</v>
      </c>
      <c r="BA1195" t="s">
        <v>74</v>
      </c>
      <c r="BB1195">
        <v>203</v>
      </c>
      <c r="BC1195">
        <v>217</v>
      </c>
      <c r="BD1195" t="s">
        <v>74</v>
      </c>
      <c r="BE1195" t="s">
        <v>9128</v>
      </c>
      <c r="BF1195" t="str">
        <f>HYPERLINK("http://dx.doi.org/10.5172/impp.2012.14.2.203","http://dx.doi.org/10.5172/impp.2012.14.2.203")</f>
        <v>http://dx.doi.org/10.5172/impp.2012.14.2.203</v>
      </c>
      <c r="BG1195" t="s">
        <v>74</v>
      </c>
      <c r="BH1195" t="s">
        <v>74</v>
      </c>
      <c r="BI1195">
        <v>15</v>
      </c>
      <c r="BJ1195" t="s">
        <v>442</v>
      </c>
      <c r="BK1195" t="s">
        <v>94</v>
      </c>
      <c r="BL1195" t="s">
        <v>95</v>
      </c>
      <c r="BM1195" t="s">
        <v>9129</v>
      </c>
      <c r="BN1195" t="s">
        <v>74</v>
      </c>
      <c r="BO1195" t="s">
        <v>74</v>
      </c>
      <c r="BP1195" t="s">
        <v>74</v>
      </c>
      <c r="BQ1195" t="s">
        <v>74</v>
      </c>
      <c r="BR1195" t="s">
        <v>97</v>
      </c>
      <c r="BS1195" t="s">
        <v>9130</v>
      </c>
      <c r="BT1195" t="str">
        <f>HYPERLINK("https%3A%2F%2Fwww.webofscience.com%2Fwos%2Fwoscc%2Ffull-record%2FWOS:000307800500004","View Full Record in Web of Science")</f>
        <v>View Full Record in Web of Science</v>
      </c>
    </row>
    <row r="1196" spans="1:72" x14ac:dyDescent="0.25">
      <c r="A1196" t="s">
        <v>72</v>
      </c>
      <c r="B1196" t="s">
        <v>20137</v>
      </c>
      <c r="C1196" t="s">
        <v>74</v>
      </c>
      <c r="D1196" t="s">
        <v>74</v>
      </c>
      <c r="E1196" t="s">
        <v>74</v>
      </c>
      <c r="F1196" t="s">
        <v>20138</v>
      </c>
      <c r="G1196" t="s">
        <v>74</v>
      </c>
      <c r="H1196" t="s">
        <v>74</v>
      </c>
      <c r="I1196" t="s">
        <v>20139</v>
      </c>
      <c r="J1196" t="s">
        <v>3931</v>
      </c>
      <c r="K1196" t="s">
        <v>74</v>
      </c>
      <c r="L1196" t="s">
        <v>74</v>
      </c>
      <c r="M1196" t="s">
        <v>77</v>
      </c>
      <c r="N1196" t="s">
        <v>78</v>
      </c>
      <c r="O1196" t="s">
        <v>74</v>
      </c>
      <c r="P1196" t="s">
        <v>74</v>
      </c>
      <c r="Q1196" t="s">
        <v>74</v>
      </c>
      <c r="R1196" t="s">
        <v>74</v>
      </c>
      <c r="S1196" t="s">
        <v>74</v>
      </c>
      <c r="T1196" t="s">
        <v>20140</v>
      </c>
      <c r="U1196" t="s">
        <v>20141</v>
      </c>
      <c r="V1196" t="s">
        <v>20142</v>
      </c>
      <c r="W1196" t="s">
        <v>20143</v>
      </c>
      <c r="X1196" t="s">
        <v>74</v>
      </c>
      <c r="Y1196" t="s">
        <v>20144</v>
      </c>
      <c r="Z1196" t="s">
        <v>20145</v>
      </c>
      <c r="AA1196" t="s">
        <v>74</v>
      </c>
      <c r="AB1196" t="s">
        <v>20146</v>
      </c>
      <c r="AC1196" t="s">
        <v>74</v>
      </c>
      <c r="AD1196" t="s">
        <v>74</v>
      </c>
      <c r="AE1196" t="s">
        <v>74</v>
      </c>
      <c r="AF1196" t="s">
        <v>74</v>
      </c>
      <c r="AG1196">
        <v>62</v>
      </c>
      <c r="AH1196">
        <v>0</v>
      </c>
      <c r="AI1196">
        <v>0</v>
      </c>
      <c r="AJ1196">
        <v>8</v>
      </c>
      <c r="AK1196">
        <v>15</v>
      </c>
      <c r="AL1196" t="s">
        <v>665</v>
      </c>
      <c r="AM1196" t="s">
        <v>666</v>
      </c>
      <c r="AN1196" t="s">
        <v>667</v>
      </c>
      <c r="AO1196" t="s">
        <v>3939</v>
      </c>
      <c r="AP1196" t="s">
        <v>3940</v>
      </c>
      <c r="AQ1196" t="s">
        <v>74</v>
      </c>
      <c r="AR1196" t="s">
        <v>3941</v>
      </c>
      <c r="AS1196" t="s">
        <v>3942</v>
      </c>
      <c r="AT1196" t="s">
        <v>20147</v>
      </c>
      <c r="AU1196">
        <v>2022</v>
      </c>
      <c r="AV1196">
        <v>43</v>
      </c>
      <c r="AW1196">
        <v>8</v>
      </c>
      <c r="AX1196" t="s">
        <v>74</v>
      </c>
      <c r="AY1196" t="s">
        <v>74</v>
      </c>
      <c r="AZ1196" t="s">
        <v>74</v>
      </c>
      <c r="BA1196" t="s">
        <v>74</v>
      </c>
      <c r="BB1196">
        <v>1271</v>
      </c>
      <c r="BC1196">
        <v>1286</v>
      </c>
      <c r="BD1196" t="s">
        <v>74</v>
      </c>
      <c r="BE1196" t="s">
        <v>20148</v>
      </c>
      <c r="BF1196" t="str">
        <f>HYPERLINK("http://dx.doi.org/10.1108/LODJ-05-2021-0197","http://dx.doi.org/10.1108/LODJ-05-2021-0197")</f>
        <v>http://dx.doi.org/10.1108/LODJ-05-2021-0197</v>
      </c>
      <c r="BG1196" t="s">
        <v>74</v>
      </c>
      <c r="BH1196" t="s">
        <v>17318</v>
      </c>
      <c r="BI1196">
        <v>16</v>
      </c>
      <c r="BJ1196" t="s">
        <v>442</v>
      </c>
      <c r="BK1196" t="s">
        <v>94</v>
      </c>
      <c r="BL1196" t="s">
        <v>95</v>
      </c>
      <c r="BM1196" t="s">
        <v>20149</v>
      </c>
      <c r="BN1196" t="s">
        <v>74</v>
      </c>
      <c r="BO1196" t="s">
        <v>74</v>
      </c>
      <c r="BP1196" t="s">
        <v>74</v>
      </c>
      <c r="BQ1196" t="s">
        <v>74</v>
      </c>
      <c r="BR1196" t="s">
        <v>97</v>
      </c>
      <c r="BS1196" t="s">
        <v>20150</v>
      </c>
      <c r="BT1196" t="str">
        <f>HYPERLINK("https%3A%2F%2Fwww.webofscience.com%2Fwos%2Fwoscc%2Ffull-record%2FWOS:000863901300001","View Full Record in Web of Science")</f>
        <v>View Full Record in Web of Science</v>
      </c>
    </row>
    <row r="1197" spans="1:72" x14ac:dyDescent="0.25">
      <c r="A1197" t="s">
        <v>72</v>
      </c>
      <c r="B1197" t="s">
        <v>12151</v>
      </c>
      <c r="C1197" t="s">
        <v>74</v>
      </c>
      <c r="D1197" t="s">
        <v>74</v>
      </c>
      <c r="E1197" t="s">
        <v>74</v>
      </c>
      <c r="F1197" t="s">
        <v>12152</v>
      </c>
      <c r="G1197" t="s">
        <v>74</v>
      </c>
      <c r="H1197" t="s">
        <v>74</v>
      </c>
      <c r="I1197" t="s">
        <v>20151</v>
      </c>
      <c r="J1197" t="s">
        <v>19846</v>
      </c>
      <c r="K1197" t="s">
        <v>74</v>
      </c>
      <c r="L1197" t="s">
        <v>74</v>
      </c>
      <c r="M1197" t="s">
        <v>77</v>
      </c>
      <c r="N1197" t="s">
        <v>78</v>
      </c>
      <c r="O1197" t="s">
        <v>74</v>
      </c>
      <c r="P1197" t="s">
        <v>74</v>
      </c>
      <c r="Q1197" t="s">
        <v>74</v>
      </c>
      <c r="R1197" t="s">
        <v>74</v>
      </c>
      <c r="S1197" t="s">
        <v>74</v>
      </c>
      <c r="T1197" t="s">
        <v>20152</v>
      </c>
      <c r="U1197" t="s">
        <v>20153</v>
      </c>
      <c r="V1197" t="s">
        <v>20154</v>
      </c>
      <c r="W1197" t="s">
        <v>20155</v>
      </c>
      <c r="X1197" t="s">
        <v>7998</v>
      </c>
      <c r="Y1197" t="s">
        <v>11095</v>
      </c>
      <c r="Z1197" t="s">
        <v>8000</v>
      </c>
      <c r="AA1197" t="s">
        <v>8001</v>
      </c>
      <c r="AB1197" t="s">
        <v>74</v>
      </c>
      <c r="AC1197" t="s">
        <v>20156</v>
      </c>
      <c r="AD1197" t="s">
        <v>20157</v>
      </c>
      <c r="AE1197" t="s">
        <v>20158</v>
      </c>
      <c r="AF1197" t="s">
        <v>74</v>
      </c>
      <c r="AG1197">
        <v>44</v>
      </c>
      <c r="AH1197">
        <v>0</v>
      </c>
      <c r="AI1197">
        <v>0</v>
      </c>
      <c r="AJ1197">
        <v>16</v>
      </c>
      <c r="AK1197">
        <v>20</v>
      </c>
      <c r="AL1197" t="s">
        <v>1099</v>
      </c>
      <c r="AM1197" t="s">
        <v>305</v>
      </c>
      <c r="AN1197" t="s">
        <v>1100</v>
      </c>
      <c r="AO1197" t="s">
        <v>19853</v>
      </c>
      <c r="AP1197" t="s">
        <v>19854</v>
      </c>
      <c r="AQ1197" t="s">
        <v>74</v>
      </c>
      <c r="AR1197" t="s">
        <v>19855</v>
      </c>
      <c r="AS1197" t="s">
        <v>19856</v>
      </c>
      <c r="AT1197" t="s">
        <v>20159</v>
      </c>
      <c r="AU1197">
        <v>2022</v>
      </c>
      <c r="AV1197">
        <v>32</v>
      </c>
      <c r="AW1197">
        <v>5</v>
      </c>
      <c r="AX1197" t="s">
        <v>74</v>
      </c>
      <c r="AY1197" t="s">
        <v>74</v>
      </c>
      <c r="AZ1197" t="s">
        <v>74</v>
      </c>
      <c r="BA1197" t="s">
        <v>74</v>
      </c>
      <c r="BB1197">
        <v>474</v>
      </c>
      <c r="BC1197">
        <v>479</v>
      </c>
      <c r="BD1197" t="s">
        <v>74</v>
      </c>
      <c r="BE1197" t="s">
        <v>20160</v>
      </c>
      <c r="BF1197" t="str">
        <f>HYPERLINK("http://dx.doi.org/10.1080/14330237.2022.2120700","http://dx.doi.org/10.1080/14330237.2022.2120700")</f>
        <v>http://dx.doi.org/10.1080/14330237.2022.2120700</v>
      </c>
      <c r="BG1197" t="s">
        <v>74</v>
      </c>
      <c r="BH1197" t="s">
        <v>17318</v>
      </c>
      <c r="BI1197">
        <v>6</v>
      </c>
      <c r="BJ1197" t="s">
        <v>3203</v>
      </c>
      <c r="BK1197" t="s">
        <v>94</v>
      </c>
      <c r="BL1197" t="s">
        <v>460</v>
      </c>
      <c r="BM1197" t="s">
        <v>20161</v>
      </c>
      <c r="BN1197" t="s">
        <v>74</v>
      </c>
      <c r="BO1197" t="s">
        <v>74</v>
      </c>
      <c r="BP1197" t="s">
        <v>74</v>
      </c>
      <c r="BQ1197" t="s">
        <v>74</v>
      </c>
      <c r="BR1197" t="s">
        <v>97</v>
      </c>
      <c r="BS1197" t="s">
        <v>20162</v>
      </c>
      <c r="BT1197" t="str">
        <f>HYPERLINK("https%3A%2F%2Fwww.webofscience.com%2Fwos%2Fwoscc%2Ffull-record%2FWOS:000864097900001","View Full Record in Web of Science")</f>
        <v>View Full Record in Web of Science</v>
      </c>
    </row>
    <row r="1198" spans="1:72" x14ac:dyDescent="0.25">
      <c r="A1198" t="s">
        <v>72</v>
      </c>
      <c r="B1198" t="s">
        <v>20163</v>
      </c>
      <c r="C1198" t="s">
        <v>74</v>
      </c>
      <c r="D1198" t="s">
        <v>74</v>
      </c>
      <c r="E1198" t="s">
        <v>74</v>
      </c>
      <c r="F1198" t="s">
        <v>20164</v>
      </c>
      <c r="G1198" t="s">
        <v>74</v>
      </c>
      <c r="H1198" t="s">
        <v>74</v>
      </c>
      <c r="I1198" t="s">
        <v>20165</v>
      </c>
      <c r="J1198" t="s">
        <v>3184</v>
      </c>
      <c r="K1198" t="s">
        <v>74</v>
      </c>
      <c r="L1198" t="s">
        <v>74</v>
      </c>
      <c r="M1198" t="s">
        <v>77</v>
      </c>
      <c r="N1198" t="s">
        <v>78</v>
      </c>
      <c r="O1198" t="s">
        <v>74</v>
      </c>
      <c r="P1198" t="s">
        <v>74</v>
      </c>
      <c r="Q1198" t="s">
        <v>74</v>
      </c>
      <c r="R1198" t="s">
        <v>74</v>
      </c>
      <c r="S1198" t="s">
        <v>74</v>
      </c>
      <c r="T1198" t="s">
        <v>20166</v>
      </c>
      <c r="U1198" t="s">
        <v>20167</v>
      </c>
      <c r="V1198" t="s">
        <v>20168</v>
      </c>
      <c r="W1198" t="s">
        <v>20169</v>
      </c>
      <c r="X1198" t="s">
        <v>74</v>
      </c>
      <c r="Y1198" t="s">
        <v>20170</v>
      </c>
      <c r="Z1198" t="s">
        <v>20171</v>
      </c>
      <c r="AA1198" t="s">
        <v>20172</v>
      </c>
      <c r="AB1198" t="s">
        <v>74</v>
      </c>
      <c r="AC1198" t="s">
        <v>20173</v>
      </c>
      <c r="AD1198" t="s">
        <v>20174</v>
      </c>
      <c r="AE1198" t="s">
        <v>20175</v>
      </c>
      <c r="AF1198" t="s">
        <v>74</v>
      </c>
      <c r="AG1198">
        <v>149</v>
      </c>
      <c r="AH1198">
        <v>0</v>
      </c>
      <c r="AI1198">
        <v>0</v>
      </c>
      <c r="AJ1198">
        <v>19</v>
      </c>
      <c r="AK1198">
        <v>27</v>
      </c>
      <c r="AL1198" t="s">
        <v>3195</v>
      </c>
      <c r="AM1198" t="s">
        <v>3196</v>
      </c>
      <c r="AN1198" t="s">
        <v>3197</v>
      </c>
      <c r="AO1198" t="s">
        <v>3198</v>
      </c>
      <c r="AP1198" t="s">
        <v>74</v>
      </c>
      <c r="AQ1198" t="s">
        <v>74</v>
      </c>
      <c r="AR1198" t="s">
        <v>3199</v>
      </c>
      <c r="AS1198" t="s">
        <v>3200</v>
      </c>
      <c r="AT1198" t="s">
        <v>9844</v>
      </c>
      <c r="AU1198">
        <v>2022</v>
      </c>
      <c r="AV1198">
        <v>13</v>
      </c>
      <c r="AW1198" t="s">
        <v>74</v>
      </c>
      <c r="AX1198" t="s">
        <v>74</v>
      </c>
      <c r="AY1198" t="s">
        <v>74</v>
      </c>
      <c r="AZ1198" t="s">
        <v>74</v>
      </c>
      <c r="BA1198" t="s">
        <v>74</v>
      </c>
      <c r="BB1198" t="s">
        <v>74</v>
      </c>
      <c r="BC1198" t="s">
        <v>74</v>
      </c>
      <c r="BD1198">
        <v>951603</v>
      </c>
      <c r="BE1198" t="s">
        <v>20176</v>
      </c>
      <c r="BF1198" t="str">
        <f>HYPERLINK("http://dx.doi.org/10.3389/fpsyg.2022.951603","http://dx.doi.org/10.3389/fpsyg.2022.951603")</f>
        <v>http://dx.doi.org/10.3389/fpsyg.2022.951603</v>
      </c>
      <c r="BG1198" t="s">
        <v>74</v>
      </c>
      <c r="BH1198" t="s">
        <v>74</v>
      </c>
      <c r="BI1198">
        <v>19</v>
      </c>
      <c r="BJ1198" t="s">
        <v>3203</v>
      </c>
      <c r="BK1198" t="s">
        <v>94</v>
      </c>
      <c r="BL1198" t="s">
        <v>460</v>
      </c>
      <c r="BM1198" t="s">
        <v>20177</v>
      </c>
      <c r="BN1198">
        <v>36267075</v>
      </c>
      <c r="BO1198" t="s">
        <v>3205</v>
      </c>
      <c r="BP1198" t="s">
        <v>74</v>
      </c>
      <c r="BQ1198" t="s">
        <v>74</v>
      </c>
      <c r="BR1198" t="s">
        <v>97</v>
      </c>
      <c r="BS1198" t="s">
        <v>20178</v>
      </c>
      <c r="BT1198" t="str">
        <f>HYPERLINK("https%3A%2F%2Fwww.webofscience.com%2Fwos%2Fwoscc%2Ffull-record%2FWOS:000871083100001","View Full Record in Web of Science")</f>
        <v>View Full Record in Web of Science</v>
      </c>
    </row>
    <row r="1199" spans="1:72" x14ac:dyDescent="0.25">
      <c r="A1199" t="s">
        <v>72</v>
      </c>
      <c r="B1199" t="s">
        <v>20179</v>
      </c>
      <c r="C1199" t="s">
        <v>74</v>
      </c>
      <c r="D1199" t="s">
        <v>74</v>
      </c>
      <c r="E1199" t="s">
        <v>74</v>
      </c>
      <c r="F1199" t="s">
        <v>20180</v>
      </c>
      <c r="G1199" t="s">
        <v>74</v>
      </c>
      <c r="H1199" t="s">
        <v>74</v>
      </c>
      <c r="I1199" t="s">
        <v>20181</v>
      </c>
      <c r="J1199" t="s">
        <v>2463</v>
      </c>
      <c r="K1199" t="s">
        <v>74</v>
      </c>
      <c r="L1199" t="s">
        <v>74</v>
      </c>
      <c r="M1199" t="s">
        <v>77</v>
      </c>
      <c r="N1199" t="s">
        <v>78</v>
      </c>
      <c r="O1199" t="s">
        <v>74</v>
      </c>
      <c r="P1199" t="s">
        <v>74</v>
      </c>
      <c r="Q1199" t="s">
        <v>74</v>
      </c>
      <c r="R1199" t="s">
        <v>74</v>
      </c>
      <c r="S1199" t="s">
        <v>74</v>
      </c>
      <c r="T1199" t="s">
        <v>20182</v>
      </c>
      <c r="U1199" t="s">
        <v>20183</v>
      </c>
      <c r="V1199" t="s">
        <v>20184</v>
      </c>
      <c r="W1199" t="s">
        <v>20185</v>
      </c>
      <c r="X1199" t="s">
        <v>20186</v>
      </c>
      <c r="Y1199" t="s">
        <v>20187</v>
      </c>
      <c r="Z1199" t="s">
        <v>20188</v>
      </c>
      <c r="AA1199" t="s">
        <v>74</v>
      </c>
      <c r="AB1199" t="s">
        <v>20189</v>
      </c>
      <c r="AC1199" t="s">
        <v>20190</v>
      </c>
      <c r="AD1199" t="s">
        <v>20191</v>
      </c>
      <c r="AE1199" t="s">
        <v>20192</v>
      </c>
      <c r="AF1199" t="s">
        <v>74</v>
      </c>
      <c r="AG1199">
        <v>43</v>
      </c>
      <c r="AH1199">
        <v>0</v>
      </c>
      <c r="AI1199">
        <v>0</v>
      </c>
      <c r="AJ1199">
        <v>36</v>
      </c>
      <c r="AK1199">
        <v>41</v>
      </c>
      <c r="AL1199" t="s">
        <v>2473</v>
      </c>
      <c r="AM1199" t="s">
        <v>2102</v>
      </c>
      <c r="AN1199" t="s">
        <v>2474</v>
      </c>
      <c r="AO1199" t="s">
        <v>74</v>
      </c>
      <c r="AP1199" t="s">
        <v>2475</v>
      </c>
      <c r="AQ1199" t="s">
        <v>74</v>
      </c>
      <c r="AR1199" t="s">
        <v>2476</v>
      </c>
      <c r="AS1199" t="s">
        <v>2477</v>
      </c>
      <c r="AT1199" t="s">
        <v>256</v>
      </c>
      <c r="AU1199">
        <v>2022</v>
      </c>
      <c r="AV1199">
        <v>14</v>
      </c>
      <c r="AW1199">
        <v>19</v>
      </c>
      <c r="AX1199" t="s">
        <v>74</v>
      </c>
      <c r="AY1199" t="s">
        <v>74</v>
      </c>
      <c r="AZ1199" t="s">
        <v>74</v>
      </c>
      <c r="BA1199" t="s">
        <v>74</v>
      </c>
      <c r="BB1199" t="s">
        <v>74</v>
      </c>
      <c r="BC1199" t="s">
        <v>74</v>
      </c>
      <c r="BD1199">
        <v>12426</v>
      </c>
      <c r="BE1199" t="s">
        <v>20193</v>
      </c>
      <c r="BF1199" t="str">
        <f>HYPERLINK("http://dx.doi.org/10.3390/su141912426","http://dx.doi.org/10.3390/su141912426")</f>
        <v>http://dx.doi.org/10.3390/su141912426</v>
      </c>
      <c r="BG1199" t="s">
        <v>74</v>
      </c>
      <c r="BH1199" t="s">
        <v>74</v>
      </c>
      <c r="BI1199">
        <v>16</v>
      </c>
      <c r="BJ1199" t="s">
        <v>2479</v>
      </c>
      <c r="BK1199" t="s">
        <v>147</v>
      </c>
      <c r="BL1199" t="s">
        <v>2480</v>
      </c>
      <c r="BM1199" t="s">
        <v>20194</v>
      </c>
      <c r="BN1199" t="s">
        <v>74</v>
      </c>
      <c r="BO1199" t="s">
        <v>2482</v>
      </c>
      <c r="BP1199" t="s">
        <v>74</v>
      </c>
      <c r="BQ1199" t="s">
        <v>74</v>
      </c>
      <c r="BR1199" t="s">
        <v>97</v>
      </c>
      <c r="BS1199" t="s">
        <v>20195</v>
      </c>
      <c r="BT1199" t="str">
        <f>HYPERLINK("https%3A%2F%2Fwww.webofscience.com%2Fwos%2Fwoscc%2Ffull-record%2FWOS:000867207700001","View Full Record in Web of Science")</f>
        <v>View Full Record in Web of Science</v>
      </c>
    </row>
    <row r="1200" spans="1:72" x14ac:dyDescent="0.25">
      <c r="A1200" t="s">
        <v>72</v>
      </c>
      <c r="B1200" t="s">
        <v>20196</v>
      </c>
      <c r="C1200" t="s">
        <v>74</v>
      </c>
      <c r="D1200" t="s">
        <v>74</v>
      </c>
      <c r="E1200" t="s">
        <v>74</v>
      </c>
      <c r="F1200" t="s">
        <v>20197</v>
      </c>
      <c r="G1200" t="s">
        <v>74</v>
      </c>
      <c r="H1200" t="s">
        <v>74</v>
      </c>
      <c r="I1200" t="s">
        <v>20198</v>
      </c>
      <c r="J1200" t="s">
        <v>10561</v>
      </c>
      <c r="K1200" t="s">
        <v>74</v>
      </c>
      <c r="L1200" t="s">
        <v>74</v>
      </c>
      <c r="M1200" t="s">
        <v>77</v>
      </c>
      <c r="N1200" t="s">
        <v>78</v>
      </c>
      <c r="O1200" t="s">
        <v>74</v>
      </c>
      <c r="P1200" t="s">
        <v>74</v>
      </c>
      <c r="Q1200" t="s">
        <v>74</v>
      </c>
      <c r="R1200" t="s">
        <v>74</v>
      </c>
      <c r="S1200" t="s">
        <v>74</v>
      </c>
      <c r="T1200" t="s">
        <v>20199</v>
      </c>
      <c r="U1200" t="s">
        <v>20200</v>
      </c>
      <c r="V1200" t="s">
        <v>20201</v>
      </c>
      <c r="W1200" t="s">
        <v>20202</v>
      </c>
      <c r="X1200" t="s">
        <v>5733</v>
      </c>
      <c r="Y1200" t="s">
        <v>12674</v>
      </c>
      <c r="Z1200" t="s">
        <v>20203</v>
      </c>
      <c r="AA1200" t="s">
        <v>1784</v>
      </c>
      <c r="AB1200" t="s">
        <v>1785</v>
      </c>
      <c r="AC1200" t="s">
        <v>20204</v>
      </c>
      <c r="AD1200" t="s">
        <v>12677</v>
      </c>
      <c r="AE1200" t="s">
        <v>20205</v>
      </c>
      <c r="AF1200" t="s">
        <v>74</v>
      </c>
      <c r="AG1200">
        <v>114</v>
      </c>
      <c r="AH1200">
        <v>0</v>
      </c>
      <c r="AI1200">
        <v>0</v>
      </c>
      <c r="AJ1200">
        <v>18</v>
      </c>
      <c r="AK1200">
        <v>20</v>
      </c>
      <c r="AL1200" t="s">
        <v>2473</v>
      </c>
      <c r="AM1200" t="s">
        <v>2102</v>
      </c>
      <c r="AN1200" t="s">
        <v>2474</v>
      </c>
      <c r="AO1200" t="s">
        <v>74</v>
      </c>
      <c r="AP1200" t="s">
        <v>10570</v>
      </c>
      <c r="AQ1200" t="s">
        <v>74</v>
      </c>
      <c r="AR1200" t="s">
        <v>10571</v>
      </c>
      <c r="AS1200" t="s">
        <v>10572</v>
      </c>
      <c r="AT1200" t="s">
        <v>256</v>
      </c>
      <c r="AU1200">
        <v>2022</v>
      </c>
      <c r="AV1200">
        <v>12</v>
      </c>
      <c r="AW1200">
        <v>10</v>
      </c>
      <c r="AX1200" t="s">
        <v>74</v>
      </c>
      <c r="AY1200" t="s">
        <v>74</v>
      </c>
      <c r="AZ1200" t="s">
        <v>74</v>
      </c>
      <c r="BA1200" t="s">
        <v>74</v>
      </c>
      <c r="BB1200" t="s">
        <v>74</v>
      </c>
      <c r="BC1200" t="s">
        <v>74</v>
      </c>
      <c r="BD1200">
        <v>377</v>
      </c>
      <c r="BE1200" t="s">
        <v>20206</v>
      </c>
      <c r="BF1200" t="str">
        <f>HYPERLINK("http://dx.doi.org/10.3390/bs12100377","http://dx.doi.org/10.3390/bs12100377")</f>
        <v>http://dx.doi.org/10.3390/bs12100377</v>
      </c>
      <c r="BG1200" t="s">
        <v>74</v>
      </c>
      <c r="BH1200" t="s">
        <v>74</v>
      </c>
      <c r="BI1200">
        <v>16</v>
      </c>
      <c r="BJ1200" t="s">
        <v>3203</v>
      </c>
      <c r="BK1200" t="s">
        <v>94</v>
      </c>
      <c r="BL1200" t="s">
        <v>460</v>
      </c>
      <c r="BM1200" t="s">
        <v>20207</v>
      </c>
      <c r="BN1200">
        <v>36285946</v>
      </c>
      <c r="BO1200" t="s">
        <v>3205</v>
      </c>
      <c r="BP1200" t="s">
        <v>74</v>
      </c>
      <c r="BQ1200" t="s">
        <v>74</v>
      </c>
      <c r="BR1200" t="s">
        <v>97</v>
      </c>
      <c r="BS1200" t="s">
        <v>20208</v>
      </c>
      <c r="BT1200" t="str">
        <f>HYPERLINK("https%3A%2F%2Fwww.webofscience.com%2Fwos%2Fwoscc%2Ffull-record%2FWOS:000872208000001","View Full Record in Web of Science")</f>
        <v>View Full Record in Web of Science</v>
      </c>
    </row>
    <row r="1201" spans="1:72" x14ac:dyDescent="0.25">
      <c r="A1201" t="s">
        <v>72</v>
      </c>
      <c r="B1201" t="s">
        <v>8561</v>
      </c>
      <c r="C1201" t="s">
        <v>74</v>
      </c>
      <c r="D1201" t="s">
        <v>74</v>
      </c>
      <c r="E1201" t="s">
        <v>74</v>
      </c>
      <c r="F1201" t="s">
        <v>8562</v>
      </c>
      <c r="G1201" t="s">
        <v>74</v>
      </c>
      <c r="H1201" t="s">
        <v>74</v>
      </c>
      <c r="I1201" t="s">
        <v>20209</v>
      </c>
      <c r="J1201" t="s">
        <v>616</v>
      </c>
      <c r="K1201" t="s">
        <v>74</v>
      </c>
      <c r="L1201" t="s">
        <v>74</v>
      </c>
      <c r="M1201" t="s">
        <v>77</v>
      </c>
      <c r="N1201" t="s">
        <v>78</v>
      </c>
      <c r="O1201" t="s">
        <v>74</v>
      </c>
      <c r="P1201" t="s">
        <v>74</v>
      </c>
      <c r="Q1201" t="s">
        <v>74</v>
      </c>
      <c r="R1201" t="s">
        <v>74</v>
      </c>
      <c r="S1201" t="s">
        <v>74</v>
      </c>
      <c r="T1201" t="s">
        <v>20210</v>
      </c>
      <c r="U1201" t="s">
        <v>20211</v>
      </c>
      <c r="V1201" t="s">
        <v>20212</v>
      </c>
      <c r="W1201" t="s">
        <v>20213</v>
      </c>
      <c r="X1201" t="s">
        <v>20214</v>
      </c>
      <c r="Y1201" t="s">
        <v>20215</v>
      </c>
      <c r="Z1201" t="s">
        <v>8569</v>
      </c>
      <c r="AA1201" t="s">
        <v>74</v>
      </c>
      <c r="AB1201" t="s">
        <v>8571</v>
      </c>
      <c r="AC1201" t="s">
        <v>74</v>
      </c>
      <c r="AD1201" t="s">
        <v>74</v>
      </c>
      <c r="AE1201" t="s">
        <v>74</v>
      </c>
      <c r="AF1201" t="s">
        <v>74</v>
      </c>
      <c r="AG1201">
        <v>94</v>
      </c>
      <c r="AH1201">
        <v>0</v>
      </c>
      <c r="AI1201">
        <v>0</v>
      </c>
      <c r="AJ1201">
        <v>19</v>
      </c>
      <c r="AK1201">
        <v>19</v>
      </c>
      <c r="AL1201" t="s">
        <v>602</v>
      </c>
      <c r="AM1201" t="s">
        <v>160</v>
      </c>
      <c r="AN1201" t="s">
        <v>603</v>
      </c>
      <c r="AO1201" t="s">
        <v>625</v>
      </c>
      <c r="AP1201" t="s">
        <v>626</v>
      </c>
      <c r="AQ1201" t="s">
        <v>74</v>
      </c>
      <c r="AR1201" t="s">
        <v>627</v>
      </c>
      <c r="AS1201" t="s">
        <v>628</v>
      </c>
      <c r="AT1201" t="s">
        <v>256</v>
      </c>
      <c r="AU1201">
        <v>2022</v>
      </c>
      <c r="AV1201">
        <v>107</v>
      </c>
      <c r="AW1201" t="s">
        <v>74</v>
      </c>
      <c r="AX1201" t="s">
        <v>74</v>
      </c>
      <c r="AY1201" t="s">
        <v>74</v>
      </c>
      <c r="AZ1201" t="s">
        <v>74</v>
      </c>
      <c r="BA1201" t="s">
        <v>74</v>
      </c>
      <c r="BB1201" t="s">
        <v>74</v>
      </c>
      <c r="BC1201" t="s">
        <v>74</v>
      </c>
      <c r="BD1201">
        <v>103332</v>
      </c>
      <c r="BE1201" t="s">
        <v>20216</v>
      </c>
      <c r="BF1201" t="str">
        <f>HYPERLINK("http://dx.doi.org/10.1016/j.ijhm.2022.103332","http://dx.doi.org/10.1016/j.ijhm.2022.103332")</f>
        <v>http://dx.doi.org/10.1016/j.ijhm.2022.103332</v>
      </c>
      <c r="BG1201" t="s">
        <v>74</v>
      </c>
      <c r="BH1201" t="s">
        <v>74</v>
      </c>
      <c r="BI1201">
        <v>11</v>
      </c>
      <c r="BJ1201" t="s">
        <v>630</v>
      </c>
      <c r="BK1201" t="s">
        <v>94</v>
      </c>
      <c r="BL1201" t="s">
        <v>631</v>
      </c>
      <c r="BM1201" t="s">
        <v>20217</v>
      </c>
      <c r="BN1201" t="s">
        <v>74</v>
      </c>
      <c r="BO1201" t="s">
        <v>74</v>
      </c>
      <c r="BP1201" t="s">
        <v>74</v>
      </c>
      <c r="BQ1201" t="s">
        <v>74</v>
      </c>
      <c r="BR1201" t="s">
        <v>97</v>
      </c>
      <c r="BS1201" t="s">
        <v>20218</v>
      </c>
      <c r="BT1201" t="str">
        <f>HYPERLINK("https%3A%2F%2Fwww.webofscience.com%2Fwos%2Fwoscc%2Ffull-record%2FWOS:000886053500009","View Full Record in Web of Science")</f>
        <v>View Full Record in Web of Science</v>
      </c>
    </row>
    <row r="1202" spans="1:72" x14ac:dyDescent="0.25">
      <c r="A1202" t="s">
        <v>72</v>
      </c>
      <c r="B1202" t="s">
        <v>20219</v>
      </c>
      <c r="C1202" t="s">
        <v>74</v>
      </c>
      <c r="D1202" t="s">
        <v>74</v>
      </c>
      <c r="E1202" t="s">
        <v>74</v>
      </c>
      <c r="F1202" t="s">
        <v>20220</v>
      </c>
      <c r="G1202" t="s">
        <v>74</v>
      </c>
      <c r="H1202" t="s">
        <v>74</v>
      </c>
      <c r="I1202" t="s">
        <v>20221</v>
      </c>
      <c r="J1202" t="s">
        <v>6372</v>
      </c>
      <c r="K1202" t="s">
        <v>74</v>
      </c>
      <c r="L1202" t="s">
        <v>74</v>
      </c>
      <c r="M1202" t="s">
        <v>77</v>
      </c>
      <c r="N1202" t="s">
        <v>78</v>
      </c>
      <c r="O1202" t="s">
        <v>74</v>
      </c>
      <c r="P1202" t="s">
        <v>74</v>
      </c>
      <c r="Q1202" t="s">
        <v>74</v>
      </c>
      <c r="R1202" t="s">
        <v>74</v>
      </c>
      <c r="S1202" t="s">
        <v>74</v>
      </c>
      <c r="T1202" t="s">
        <v>20222</v>
      </c>
      <c r="U1202" t="s">
        <v>20223</v>
      </c>
      <c r="V1202" t="s">
        <v>20224</v>
      </c>
      <c r="W1202" t="s">
        <v>20225</v>
      </c>
      <c r="X1202" t="s">
        <v>20226</v>
      </c>
      <c r="Y1202" t="s">
        <v>20227</v>
      </c>
      <c r="Z1202" t="s">
        <v>20228</v>
      </c>
      <c r="AA1202" t="s">
        <v>74</v>
      </c>
      <c r="AB1202" t="s">
        <v>20229</v>
      </c>
      <c r="AC1202" t="s">
        <v>20230</v>
      </c>
      <c r="AD1202" t="s">
        <v>20231</v>
      </c>
      <c r="AE1202" t="s">
        <v>20232</v>
      </c>
      <c r="AF1202" t="s">
        <v>74</v>
      </c>
      <c r="AG1202">
        <v>51</v>
      </c>
      <c r="AH1202">
        <v>0</v>
      </c>
      <c r="AI1202">
        <v>0</v>
      </c>
      <c r="AJ1202">
        <v>22</v>
      </c>
      <c r="AK1202">
        <v>28</v>
      </c>
      <c r="AL1202" t="s">
        <v>2473</v>
      </c>
      <c r="AM1202" t="s">
        <v>2102</v>
      </c>
      <c r="AN1202" t="s">
        <v>2474</v>
      </c>
      <c r="AO1202" t="s">
        <v>74</v>
      </c>
      <c r="AP1202" t="s">
        <v>6384</v>
      </c>
      <c r="AQ1202" t="s">
        <v>74</v>
      </c>
      <c r="AR1202" t="s">
        <v>6385</v>
      </c>
      <c r="AS1202" t="s">
        <v>6386</v>
      </c>
      <c r="AT1202" t="s">
        <v>256</v>
      </c>
      <c r="AU1202">
        <v>2022</v>
      </c>
      <c r="AV1202">
        <v>19</v>
      </c>
      <c r="AW1202">
        <v>19</v>
      </c>
      <c r="AX1202" t="s">
        <v>74</v>
      </c>
      <c r="AY1202" t="s">
        <v>74</v>
      </c>
      <c r="AZ1202" t="s">
        <v>74</v>
      </c>
      <c r="BA1202" t="s">
        <v>74</v>
      </c>
      <c r="BB1202" t="s">
        <v>74</v>
      </c>
      <c r="BC1202" t="s">
        <v>74</v>
      </c>
      <c r="BD1202">
        <v>12263</v>
      </c>
      <c r="BE1202" t="s">
        <v>20233</v>
      </c>
      <c r="BF1202" t="str">
        <f>HYPERLINK("http://dx.doi.org/10.3390/ijerph191912263","http://dx.doi.org/10.3390/ijerph191912263")</f>
        <v>http://dx.doi.org/10.3390/ijerph191912263</v>
      </c>
      <c r="BG1202" t="s">
        <v>74</v>
      </c>
      <c r="BH1202" t="s">
        <v>74</v>
      </c>
      <c r="BI1202">
        <v>13</v>
      </c>
      <c r="BJ1202" t="s">
        <v>6388</v>
      </c>
      <c r="BK1202" t="s">
        <v>147</v>
      </c>
      <c r="BL1202" t="s">
        <v>6389</v>
      </c>
      <c r="BM1202" t="s">
        <v>20234</v>
      </c>
      <c r="BN1202">
        <v>36231559</v>
      </c>
      <c r="BO1202" t="s">
        <v>4398</v>
      </c>
      <c r="BP1202" t="s">
        <v>74</v>
      </c>
      <c r="BQ1202" t="s">
        <v>74</v>
      </c>
      <c r="BR1202" t="s">
        <v>97</v>
      </c>
      <c r="BS1202" t="s">
        <v>20235</v>
      </c>
      <c r="BT1202" t="str">
        <f>HYPERLINK("https%3A%2F%2Fwww.webofscience.com%2Fwos%2Fwoscc%2Ffull-record%2FWOS:000866732300001","View Full Record in Web of Science")</f>
        <v>View Full Record in Web of Science</v>
      </c>
    </row>
    <row r="1203" spans="1:72" x14ac:dyDescent="0.25">
      <c r="A1203" t="s">
        <v>72</v>
      </c>
      <c r="B1203" t="s">
        <v>3624</v>
      </c>
      <c r="C1203" t="s">
        <v>74</v>
      </c>
      <c r="D1203" t="s">
        <v>74</v>
      </c>
      <c r="E1203" t="s">
        <v>74</v>
      </c>
      <c r="F1203" t="s">
        <v>3625</v>
      </c>
      <c r="G1203" t="s">
        <v>74</v>
      </c>
      <c r="H1203" t="s">
        <v>74</v>
      </c>
      <c r="I1203" t="s">
        <v>20236</v>
      </c>
      <c r="J1203" t="s">
        <v>3838</v>
      </c>
      <c r="K1203" t="s">
        <v>74</v>
      </c>
      <c r="L1203" t="s">
        <v>74</v>
      </c>
      <c r="M1203" t="s">
        <v>77</v>
      </c>
      <c r="N1203" t="s">
        <v>10095</v>
      </c>
      <c r="O1203" t="s">
        <v>74</v>
      </c>
      <c r="P1203" t="s">
        <v>74</v>
      </c>
      <c r="Q1203" t="s">
        <v>74</v>
      </c>
      <c r="R1203" t="s">
        <v>74</v>
      </c>
      <c r="S1203" t="s">
        <v>74</v>
      </c>
      <c r="T1203" t="s">
        <v>20237</v>
      </c>
      <c r="U1203" t="s">
        <v>20238</v>
      </c>
      <c r="V1203" t="s">
        <v>20239</v>
      </c>
      <c r="W1203" t="s">
        <v>20240</v>
      </c>
      <c r="X1203" t="s">
        <v>3631</v>
      </c>
      <c r="Y1203" t="s">
        <v>20241</v>
      </c>
      <c r="Z1203" t="s">
        <v>3633</v>
      </c>
      <c r="AA1203" t="s">
        <v>74</v>
      </c>
      <c r="AB1203" t="s">
        <v>74</v>
      </c>
      <c r="AC1203" t="s">
        <v>74</v>
      </c>
      <c r="AD1203" t="s">
        <v>74</v>
      </c>
      <c r="AE1203" t="s">
        <v>74</v>
      </c>
      <c r="AF1203" t="s">
        <v>74</v>
      </c>
      <c r="AG1203">
        <v>194</v>
      </c>
      <c r="AH1203">
        <v>0</v>
      </c>
      <c r="AI1203">
        <v>0</v>
      </c>
      <c r="AJ1203">
        <v>15</v>
      </c>
      <c r="AK1203">
        <v>18</v>
      </c>
      <c r="AL1203" t="s">
        <v>1099</v>
      </c>
      <c r="AM1203" t="s">
        <v>305</v>
      </c>
      <c r="AN1203" t="s">
        <v>1100</v>
      </c>
      <c r="AO1203" t="s">
        <v>3844</v>
      </c>
      <c r="AP1203" t="s">
        <v>3845</v>
      </c>
      <c r="AQ1203" t="s">
        <v>74</v>
      </c>
      <c r="AR1203" t="s">
        <v>3846</v>
      </c>
      <c r="AS1203" t="s">
        <v>3847</v>
      </c>
      <c r="AT1203" t="s">
        <v>74</v>
      </c>
      <c r="AU1203" t="s">
        <v>74</v>
      </c>
      <c r="AV1203" t="s">
        <v>74</v>
      </c>
      <c r="AW1203" t="s">
        <v>74</v>
      </c>
      <c r="AX1203" t="s">
        <v>74</v>
      </c>
      <c r="AY1203" t="s">
        <v>74</v>
      </c>
      <c r="AZ1203" t="s">
        <v>74</v>
      </c>
      <c r="BA1203" t="s">
        <v>74</v>
      </c>
      <c r="BB1203" t="s">
        <v>74</v>
      </c>
      <c r="BC1203" t="s">
        <v>74</v>
      </c>
      <c r="BD1203" t="s">
        <v>74</v>
      </c>
      <c r="BE1203" t="s">
        <v>20242</v>
      </c>
      <c r="BF1203" t="str">
        <f>HYPERLINK("http://dx.doi.org/10.1080/09669582.2022.2127741","http://dx.doi.org/10.1080/09669582.2022.2127741")</f>
        <v>http://dx.doi.org/10.1080/09669582.2022.2127741</v>
      </c>
      <c r="BG1203" t="s">
        <v>74</v>
      </c>
      <c r="BH1203" t="s">
        <v>17332</v>
      </c>
      <c r="BI1203">
        <v>33</v>
      </c>
      <c r="BJ1203" t="s">
        <v>3850</v>
      </c>
      <c r="BK1203" t="s">
        <v>94</v>
      </c>
      <c r="BL1203" t="s">
        <v>3851</v>
      </c>
      <c r="BM1203" t="s">
        <v>20243</v>
      </c>
      <c r="BN1203" t="s">
        <v>74</v>
      </c>
      <c r="BO1203" t="s">
        <v>74</v>
      </c>
      <c r="BP1203" t="s">
        <v>74</v>
      </c>
      <c r="BQ1203" t="s">
        <v>74</v>
      </c>
      <c r="BR1203" t="s">
        <v>97</v>
      </c>
      <c r="BS1203" t="s">
        <v>20244</v>
      </c>
      <c r="BT1203" t="str">
        <f>HYPERLINK("https%3A%2F%2Fwww.webofscience.com%2Fwos%2Fwoscc%2Ffull-record%2FWOS:000866392500001","View Full Record in Web of Science")</f>
        <v>View Full Record in Web of Science</v>
      </c>
    </row>
    <row r="1204" spans="1:72" x14ac:dyDescent="0.25">
      <c r="A1204" t="s">
        <v>72</v>
      </c>
      <c r="B1204" t="s">
        <v>20245</v>
      </c>
      <c r="C1204" t="s">
        <v>74</v>
      </c>
      <c r="D1204" t="s">
        <v>74</v>
      </c>
      <c r="E1204" t="s">
        <v>74</v>
      </c>
      <c r="F1204" t="s">
        <v>20246</v>
      </c>
      <c r="G1204" t="s">
        <v>74</v>
      </c>
      <c r="H1204" t="s">
        <v>74</v>
      </c>
      <c r="I1204" t="s">
        <v>20247</v>
      </c>
      <c r="J1204" t="s">
        <v>1257</v>
      </c>
      <c r="K1204" t="s">
        <v>74</v>
      </c>
      <c r="L1204" t="s">
        <v>74</v>
      </c>
      <c r="M1204" t="s">
        <v>77</v>
      </c>
      <c r="N1204" t="s">
        <v>10095</v>
      </c>
      <c r="O1204" t="s">
        <v>74</v>
      </c>
      <c r="P1204" t="s">
        <v>74</v>
      </c>
      <c r="Q1204" t="s">
        <v>74</v>
      </c>
      <c r="R1204" t="s">
        <v>74</v>
      </c>
      <c r="S1204" t="s">
        <v>74</v>
      </c>
      <c r="T1204" t="s">
        <v>20248</v>
      </c>
      <c r="U1204" t="s">
        <v>20249</v>
      </c>
      <c r="V1204" t="s">
        <v>20250</v>
      </c>
      <c r="W1204" t="s">
        <v>20251</v>
      </c>
      <c r="X1204" t="s">
        <v>20252</v>
      </c>
      <c r="Y1204" t="s">
        <v>20253</v>
      </c>
      <c r="Z1204" t="s">
        <v>20254</v>
      </c>
      <c r="AA1204" t="s">
        <v>74</v>
      </c>
      <c r="AB1204" t="s">
        <v>74</v>
      </c>
      <c r="AC1204" t="s">
        <v>74</v>
      </c>
      <c r="AD1204" t="s">
        <v>74</v>
      </c>
      <c r="AE1204" t="s">
        <v>74</v>
      </c>
      <c r="AF1204" t="s">
        <v>74</v>
      </c>
      <c r="AG1204">
        <v>84</v>
      </c>
      <c r="AH1204">
        <v>0</v>
      </c>
      <c r="AI1204">
        <v>0</v>
      </c>
      <c r="AJ1204">
        <v>0</v>
      </c>
      <c r="AK1204">
        <v>1</v>
      </c>
      <c r="AL1204" t="s">
        <v>218</v>
      </c>
      <c r="AM1204" t="s">
        <v>219</v>
      </c>
      <c r="AN1204" t="s">
        <v>220</v>
      </c>
      <c r="AO1204" t="s">
        <v>1267</v>
      </c>
      <c r="AP1204" t="s">
        <v>1268</v>
      </c>
      <c r="AQ1204" t="s">
        <v>74</v>
      </c>
      <c r="AR1204" t="s">
        <v>1269</v>
      </c>
      <c r="AS1204" t="s">
        <v>1270</v>
      </c>
      <c r="AT1204" t="s">
        <v>74</v>
      </c>
      <c r="AU1204" t="s">
        <v>74</v>
      </c>
      <c r="AV1204" t="s">
        <v>74</v>
      </c>
      <c r="AW1204" t="s">
        <v>74</v>
      </c>
      <c r="AX1204" t="s">
        <v>74</v>
      </c>
      <c r="AY1204" t="s">
        <v>74</v>
      </c>
      <c r="AZ1204" t="s">
        <v>74</v>
      </c>
      <c r="BA1204" t="s">
        <v>74</v>
      </c>
      <c r="BB1204" t="s">
        <v>74</v>
      </c>
      <c r="BC1204" t="s">
        <v>74</v>
      </c>
      <c r="BD1204" t="s">
        <v>74</v>
      </c>
      <c r="BE1204" t="s">
        <v>20255</v>
      </c>
      <c r="BF1204" t="str">
        <f>HYPERLINK("http://dx.doi.org/10.1002/cjas.1696","http://dx.doi.org/10.1002/cjas.1696")</f>
        <v>http://dx.doi.org/10.1002/cjas.1696</v>
      </c>
      <c r="BG1204" t="s">
        <v>74</v>
      </c>
      <c r="BH1204" t="s">
        <v>17332</v>
      </c>
      <c r="BI1204">
        <v>16</v>
      </c>
      <c r="BJ1204" t="s">
        <v>93</v>
      </c>
      <c r="BK1204" t="s">
        <v>94</v>
      </c>
      <c r="BL1204" t="s">
        <v>95</v>
      </c>
      <c r="BM1204" t="s">
        <v>20256</v>
      </c>
      <c r="BN1204" t="s">
        <v>74</v>
      </c>
      <c r="BO1204" t="s">
        <v>74</v>
      </c>
      <c r="BP1204" t="s">
        <v>74</v>
      </c>
      <c r="BQ1204" t="s">
        <v>74</v>
      </c>
      <c r="BR1204" t="s">
        <v>97</v>
      </c>
      <c r="BS1204" t="s">
        <v>20257</v>
      </c>
      <c r="BT1204" t="str">
        <f>HYPERLINK("https%3A%2F%2Fwww.webofscience.com%2Fwos%2Fwoscc%2Ffull-record%2FWOS:000855395500001","View Full Record in Web of Science")</f>
        <v>View Full Record in Web of Science</v>
      </c>
    </row>
    <row r="1205" spans="1:72" x14ac:dyDescent="0.25">
      <c r="A1205" t="s">
        <v>72</v>
      </c>
      <c r="B1205" t="s">
        <v>20245</v>
      </c>
      <c r="C1205" t="s">
        <v>74</v>
      </c>
      <c r="D1205" t="s">
        <v>74</v>
      </c>
      <c r="E1205" t="s">
        <v>74</v>
      </c>
      <c r="F1205" t="s">
        <v>20246</v>
      </c>
      <c r="G1205" t="s">
        <v>74</v>
      </c>
      <c r="H1205" t="s">
        <v>74</v>
      </c>
      <c r="I1205" t="s">
        <v>20258</v>
      </c>
      <c r="J1205" t="s">
        <v>1257</v>
      </c>
      <c r="K1205" t="s">
        <v>74</v>
      </c>
      <c r="L1205" t="s">
        <v>74</v>
      </c>
      <c r="M1205" t="s">
        <v>77</v>
      </c>
      <c r="N1205" t="s">
        <v>10095</v>
      </c>
      <c r="O1205" t="s">
        <v>74</v>
      </c>
      <c r="P1205" t="s">
        <v>74</v>
      </c>
      <c r="Q1205" t="s">
        <v>74</v>
      </c>
      <c r="R1205" t="s">
        <v>74</v>
      </c>
      <c r="S1205" t="s">
        <v>74</v>
      </c>
      <c r="T1205" t="s">
        <v>20248</v>
      </c>
      <c r="U1205" t="s">
        <v>20259</v>
      </c>
      <c r="V1205" t="s">
        <v>20260</v>
      </c>
      <c r="W1205" t="s">
        <v>20261</v>
      </c>
      <c r="X1205" t="s">
        <v>20252</v>
      </c>
      <c r="Y1205" t="s">
        <v>20262</v>
      </c>
      <c r="Z1205" t="s">
        <v>20254</v>
      </c>
      <c r="AA1205" t="s">
        <v>74</v>
      </c>
      <c r="AB1205" t="s">
        <v>74</v>
      </c>
      <c r="AC1205" t="s">
        <v>74</v>
      </c>
      <c r="AD1205" t="s">
        <v>74</v>
      </c>
      <c r="AE1205" t="s">
        <v>74</v>
      </c>
      <c r="AF1205" t="s">
        <v>74</v>
      </c>
      <c r="AG1205">
        <v>84</v>
      </c>
      <c r="AH1205">
        <v>0</v>
      </c>
      <c r="AI1205">
        <v>0</v>
      </c>
      <c r="AJ1205">
        <v>4</v>
      </c>
      <c r="AK1205">
        <v>10</v>
      </c>
      <c r="AL1205" t="s">
        <v>218</v>
      </c>
      <c r="AM1205" t="s">
        <v>219</v>
      </c>
      <c r="AN1205" t="s">
        <v>220</v>
      </c>
      <c r="AO1205" t="s">
        <v>1267</v>
      </c>
      <c r="AP1205" t="s">
        <v>1268</v>
      </c>
      <c r="AQ1205" t="s">
        <v>74</v>
      </c>
      <c r="AR1205" t="s">
        <v>1269</v>
      </c>
      <c r="AS1205" t="s">
        <v>1270</v>
      </c>
      <c r="AT1205" t="s">
        <v>74</v>
      </c>
      <c r="AU1205" t="s">
        <v>74</v>
      </c>
      <c r="AV1205" t="s">
        <v>74</v>
      </c>
      <c r="AW1205" t="s">
        <v>74</v>
      </c>
      <c r="AX1205" t="s">
        <v>74</v>
      </c>
      <c r="AY1205" t="s">
        <v>74</v>
      </c>
      <c r="AZ1205" t="s">
        <v>74</v>
      </c>
      <c r="BA1205" t="s">
        <v>74</v>
      </c>
      <c r="BB1205" t="s">
        <v>74</v>
      </c>
      <c r="BC1205" t="s">
        <v>74</v>
      </c>
      <c r="BD1205" t="s">
        <v>74</v>
      </c>
      <c r="BE1205" t="s">
        <v>20263</v>
      </c>
      <c r="BF1205" t="str">
        <f>HYPERLINK("http://dx.doi.org/10.1002/cjas.1695","http://dx.doi.org/10.1002/cjas.1695")</f>
        <v>http://dx.doi.org/10.1002/cjas.1695</v>
      </c>
      <c r="BG1205" t="s">
        <v>74</v>
      </c>
      <c r="BH1205" t="s">
        <v>17332</v>
      </c>
      <c r="BI1205">
        <v>14</v>
      </c>
      <c r="BJ1205" t="s">
        <v>93</v>
      </c>
      <c r="BK1205" t="s">
        <v>94</v>
      </c>
      <c r="BL1205" t="s">
        <v>95</v>
      </c>
      <c r="BM1205" t="s">
        <v>20264</v>
      </c>
      <c r="BN1205" t="s">
        <v>74</v>
      </c>
      <c r="BO1205" t="s">
        <v>74</v>
      </c>
      <c r="BP1205" t="s">
        <v>74</v>
      </c>
      <c r="BQ1205" t="s">
        <v>74</v>
      </c>
      <c r="BR1205" t="s">
        <v>97</v>
      </c>
      <c r="BS1205" t="s">
        <v>20265</v>
      </c>
      <c r="BT1205" t="str">
        <f>HYPERLINK("https%3A%2F%2Fwww.webofscience.com%2Fwos%2Fwoscc%2Ffull-record%2FWOS:000855366500001","View Full Record in Web of Science")</f>
        <v>View Full Record in Web of Science</v>
      </c>
    </row>
    <row r="1206" spans="1:72" x14ac:dyDescent="0.25">
      <c r="A1206" t="s">
        <v>72</v>
      </c>
      <c r="B1206" t="s">
        <v>20266</v>
      </c>
      <c r="C1206" t="s">
        <v>74</v>
      </c>
      <c r="D1206" t="s">
        <v>74</v>
      </c>
      <c r="E1206" t="s">
        <v>74</v>
      </c>
      <c r="F1206" t="s">
        <v>20267</v>
      </c>
      <c r="G1206" t="s">
        <v>74</v>
      </c>
      <c r="H1206" t="s">
        <v>74</v>
      </c>
      <c r="I1206" t="s">
        <v>20268</v>
      </c>
      <c r="J1206" t="s">
        <v>3184</v>
      </c>
      <c r="K1206" t="s">
        <v>74</v>
      </c>
      <c r="L1206" t="s">
        <v>74</v>
      </c>
      <c r="M1206" t="s">
        <v>77</v>
      </c>
      <c r="N1206" t="s">
        <v>78</v>
      </c>
      <c r="O1206" t="s">
        <v>74</v>
      </c>
      <c r="P1206" t="s">
        <v>74</v>
      </c>
      <c r="Q1206" t="s">
        <v>74</v>
      </c>
      <c r="R1206" t="s">
        <v>74</v>
      </c>
      <c r="S1206" t="s">
        <v>74</v>
      </c>
      <c r="T1206" t="s">
        <v>20269</v>
      </c>
      <c r="U1206" t="s">
        <v>20270</v>
      </c>
      <c r="V1206" t="s">
        <v>20271</v>
      </c>
      <c r="W1206" t="s">
        <v>20272</v>
      </c>
      <c r="X1206" t="s">
        <v>9301</v>
      </c>
      <c r="Y1206" t="s">
        <v>20273</v>
      </c>
      <c r="Z1206" t="s">
        <v>20274</v>
      </c>
      <c r="AA1206" t="s">
        <v>74</v>
      </c>
      <c r="AB1206" t="s">
        <v>74</v>
      </c>
      <c r="AC1206" t="s">
        <v>20275</v>
      </c>
      <c r="AD1206" t="s">
        <v>20276</v>
      </c>
      <c r="AE1206" t="s">
        <v>20277</v>
      </c>
      <c r="AF1206" t="s">
        <v>74</v>
      </c>
      <c r="AG1206">
        <v>63</v>
      </c>
      <c r="AH1206">
        <v>0</v>
      </c>
      <c r="AI1206">
        <v>0</v>
      </c>
      <c r="AJ1206">
        <v>24</v>
      </c>
      <c r="AK1206">
        <v>37</v>
      </c>
      <c r="AL1206" t="s">
        <v>3195</v>
      </c>
      <c r="AM1206" t="s">
        <v>3196</v>
      </c>
      <c r="AN1206" t="s">
        <v>3197</v>
      </c>
      <c r="AO1206" t="s">
        <v>3198</v>
      </c>
      <c r="AP1206" t="s">
        <v>74</v>
      </c>
      <c r="AQ1206" t="s">
        <v>74</v>
      </c>
      <c r="AR1206" t="s">
        <v>3199</v>
      </c>
      <c r="AS1206" t="s">
        <v>3200</v>
      </c>
      <c r="AT1206" t="s">
        <v>17392</v>
      </c>
      <c r="AU1206">
        <v>2022</v>
      </c>
      <c r="AV1206">
        <v>13</v>
      </c>
      <c r="AW1206" t="s">
        <v>74</v>
      </c>
      <c r="AX1206" t="s">
        <v>74</v>
      </c>
      <c r="AY1206" t="s">
        <v>74</v>
      </c>
      <c r="AZ1206" t="s">
        <v>74</v>
      </c>
      <c r="BA1206" t="s">
        <v>74</v>
      </c>
      <c r="BB1206" t="s">
        <v>74</v>
      </c>
      <c r="BC1206" t="s">
        <v>74</v>
      </c>
      <c r="BD1206">
        <v>1000332</v>
      </c>
      <c r="BE1206" t="s">
        <v>20278</v>
      </c>
      <c r="BF1206" t="str">
        <f>HYPERLINK("http://dx.doi.org/10.3389/fpsyg.2022.1000332","http://dx.doi.org/10.3389/fpsyg.2022.1000332")</f>
        <v>http://dx.doi.org/10.3389/fpsyg.2022.1000332</v>
      </c>
      <c r="BG1206" t="s">
        <v>74</v>
      </c>
      <c r="BH1206" t="s">
        <v>74</v>
      </c>
      <c r="BI1206">
        <v>12</v>
      </c>
      <c r="BJ1206" t="s">
        <v>3203</v>
      </c>
      <c r="BK1206" t="s">
        <v>94</v>
      </c>
      <c r="BL1206" t="s">
        <v>460</v>
      </c>
      <c r="BM1206" t="s">
        <v>20279</v>
      </c>
      <c r="BN1206">
        <v>36204748</v>
      </c>
      <c r="BO1206" t="s">
        <v>4398</v>
      </c>
      <c r="BP1206" t="s">
        <v>74</v>
      </c>
      <c r="BQ1206" t="s">
        <v>74</v>
      </c>
      <c r="BR1206" t="s">
        <v>97</v>
      </c>
      <c r="BS1206" t="s">
        <v>20280</v>
      </c>
      <c r="BT1206" t="str">
        <f>HYPERLINK("https%3A%2F%2Fwww.webofscience.com%2Fwos%2Fwoscc%2Ffull-record%2FWOS:000866297400001","View Full Record in Web of Science")</f>
        <v>View Full Record in Web of Science</v>
      </c>
    </row>
    <row r="1207" spans="1:72" x14ac:dyDescent="0.25">
      <c r="A1207" t="s">
        <v>72</v>
      </c>
      <c r="B1207" t="s">
        <v>20281</v>
      </c>
      <c r="C1207" t="s">
        <v>74</v>
      </c>
      <c r="D1207" t="s">
        <v>74</v>
      </c>
      <c r="E1207" t="s">
        <v>74</v>
      </c>
      <c r="F1207" t="s">
        <v>20282</v>
      </c>
      <c r="G1207" t="s">
        <v>74</v>
      </c>
      <c r="H1207" t="s">
        <v>74</v>
      </c>
      <c r="I1207" t="s">
        <v>20283</v>
      </c>
      <c r="J1207" t="s">
        <v>20284</v>
      </c>
      <c r="K1207" t="s">
        <v>74</v>
      </c>
      <c r="L1207" t="s">
        <v>74</v>
      </c>
      <c r="M1207" t="s">
        <v>77</v>
      </c>
      <c r="N1207" t="s">
        <v>78</v>
      </c>
      <c r="O1207" t="s">
        <v>74</v>
      </c>
      <c r="P1207" t="s">
        <v>74</v>
      </c>
      <c r="Q1207" t="s">
        <v>74</v>
      </c>
      <c r="R1207" t="s">
        <v>74</v>
      </c>
      <c r="S1207" t="s">
        <v>74</v>
      </c>
      <c r="T1207" t="s">
        <v>74</v>
      </c>
      <c r="U1207" t="s">
        <v>74</v>
      </c>
      <c r="V1207" t="s">
        <v>20285</v>
      </c>
      <c r="W1207" t="s">
        <v>20286</v>
      </c>
      <c r="X1207" t="s">
        <v>20287</v>
      </c>
      <c r="Y1207" t="s">
        <v>20288</v>
      </c>
      <c r="Z1207" t="s">
        <v>20289</v>
      </c>
      <c r="AA1207" t="s">
        <v>74</v>
      </c>
      <c r="AB1207" t="s">
        <v>74</v>
      </c>
      <c r="AC1207" t="s">
        <v>20290</v>
      </c>
      <c r="AD1207" t="s">
        <v>575</v>
      </c>
      <c r="AE1207" t="s">
        <v>20291</v>
      </c>
      <c r="AF1207" t="s">
        <v>74</v>
      </c>
      <c r="AG1207">
        <v>37</v>
      </c>
      <c r="AH1207">
        <v>0</v>
      </c>
      <c r="AI1207">
        <v>0</v>
      </c>
      <c r="AJ1207">
        <v>11</v>
      </c>
      <c r="AK1207">
        <v>15</v>
      </c>
      <c r="AL1207" t="s">
        <v>7063</v>
      </c>
      <c r="AM1207" t="s">
        <v>541</v>
      </c>
      <c r="AN1207" t="s">
        <v>7064</v>
      </c>
      <c r="AO1207" t="s">
        <v>20292</v>
      </c>
      <c r="AP1207" t="s">
        <v>20293</v>
      </c>
      <c r="AQ1207" t="s">
        <v>74</v>
      </c>
      <c r="AR1207" t="s">
        <v>20294</v>
      </c>
      <c r="AS1207" t="s">
        <v>20295</v>
      </c>
      <c r="AT1207" t="s">
        <v>20296</v>
      </c>
      <c r="AU1207">
        <v>2022</v>
      </c>
      <c r="AV1207">
        <v>2022</v>
      </c>
      <c r="AW1207" t="s">
        <v>74</v>
      </c>
      <c r="AX1207" t="s">
        <v>74</v>
      </c>
      <c r="AY1207" t="s">
        <v>74</v>
      </c>
      <c r="AZ1207" t="s">
        <v>74</v>
      </c>
      <c r="BA1207" t="s">
        <v>74</v>
      </c>
      <c r="BB1207" t="s">
        <v>74</v>
      </c>
      <c r="BC1207" t="s">
        <v>74</v>
      </c>
      <c r="BD1207">
        <v>9259180</v>
      </c>
      <c r="BE1207" t="s">
        <v>20297</v>
      </c>
      <c r="BF1207" t="str">
        <f>HYPERLINK("http://dx.doi.org/10.1155/2022/9259180","http://dx.doi.org/10.1155/2022/9259180")</f>
        <v>http://dx.doi.org/10.1155/2022/9259180</v>
      </c>
      <c r="BG1207" t="s">
        <v>74</v>
      </c>
      <c r="BH1207" t="s">
        <v>74</v>
      </c>
      <c r="BI1207">
        <v>11</v>
      </c>
      <c r="BJ1207" t="s">
        <v>20298</v>
      </c>
      <c r="BK1207" t="s">
        <v>147</v>
      </c>
      <c r="BL1207" t="s">
        <v>20298</v>
      </c>
      <c r="BM1207" t="s">
        <v>20299</v>
      </c>
      <c r="BN1207">
        <v>36262379</v>
      </c>
      <c r="BO1207" t="s">
        <v>4398</v>
      </c>
      <c r="BP1207" t="s">
        <v>74</v>
      </c>
      <c r="BQ1207" t="s">
        <v>74</v>
      </c>
      <c r="BR1207" t="s">
        <v>97</v>
      </c>
      <c r="BS1207" t="s">
        <v>20300</v>
      </c>
      <c r="BT1207" t="str">
        <f>HYPERLINK("https%3A%2F%2Fwww.webofscience.com%2Fwos%2Fwoscc%2Ffull-record%2FWOS:000863335700001","View Full Record in Web of Science")</f>
        <v>View Full Record in Web of Science</v>
      </c>
    </row>
    <row r="1208" spans="1:72" x14ac:dyDescent="0.25">
      <c r="A1208" t="s">
        <v>72</v>
      </c>
      <c r="B1208" t="s">
        <v>20301</v>
      </c>
      <c r="C1208" t="s">
        <v>74</v>
      </c>
      <c r="D1208" t="s">
        <v>74</v>
      </c>
      <c r="E1208" t="s">
        <v>74</v>
      </c>
      <c r="F1208" t="s">
        <v>20302</v>
      </c>
      <c r="G1208" t="s">
        <v>74</v>
      </c>
      <c r="H1208" t="s">
        <v>74</v>
      </c>
      <c r="I1208" t="s">
        <v>20303</v>
      </c>
      <c r="J1208" t="s">
        <v>14955</v>
      </c>
      <c r="K1208" t="s">
        <v>74</v>
      </c>
      <c r="L1208" t="s">
        <v>74</v>
      </c>
      <c r="M1208" t="s">
        <v>77</v>
      </c>
      <c r="N1208" t="s">
        <v>10095</v>
      </c>
      <c r="O1208" t="s">
        <v>74</v>
      </c>
      <c r="P1208" t="s">
        <v>74</v>
      </c>
      <c r="Q1208" t="s">
        <v>74</v>
      </c>
      <c r="R1208" t="s">
        <v>74</v>
      </c>
      <c r="S1208" t="s">
        <v>74</v>
      </c>
      <c r="T1208" t="s">
        <v>20304</v>
      </c>
      <c r="U1208" t="s">
        <v>20305</v>
      </c>
      <c r="V1208" t="s">
        <v>20306</v>
      </c>
      <c r="W1208" t="s">
        <v>20307</v>
      </c>
      <c r="X1208" t="s">
        <v>20308</v>
      </c>
      <c r="Y1208" t="s">
        <v>20309</v>
      </c>
      <c r="Z1208" t="s">
        <v>20310</v>
      </c>
      <c r="AA1208" t="s">
        <v>74</v>
      </c>
      <c r="AB1208" t="s">
        <v>74</v>
      </c>
      <c r="AC1208" t="s">
        <v>20311</v>
      </c>
      <c r="AD1208" t="s">
        <v>1556</v>
      </c>
      <c r="AE1208" t="s">
        <v>20312</v>
      </c>
      <c r="AF1208" t="s">
        <v>74</v>
      </c>
      <c r="AG1208">
        <v>101</v>
      </c>
      <c r="AH1208">
        <v>0</v>
      </c>
      <c r="AI1208">
        <v>0</v>
      </c>
      <c r="AJ1208">
        <v>14</v>
      </c>
      <c r="AK1208">
        <v>17</v>
      </c>
      <c r="AL1208" t="s">
        <v>218</v>
      </c>
      <c r="AM1208" t="s">
        <v>219</v>
      </c>
      <c r="AN1208" t="s">
        <v>220</v>
      </c>
      <c r="AO1208" t="s">
        <v>14968</v>
      </c>
      <c r="AP1208" t="s">
        <v>14969</v>
      </c>
      <c r="AQ1208" t="s">
        <v>74</v>
      </c>
      <c r="AR1208" t="s">
        <v>14970</v>
      </c>
      <c r="AS1208" t="s">
        <v>14971</v>
      </c>
      <c r="AT1208" t="s">
        <v>74</v>
      </c>
      <c r="AU1208" t="s">
        <v>74</v>
      </c>
      <c r="AV1208" t="s">
        <v>74</v>
      </c>
      <c r="AW1208" t="s">
        <v>74</v>
      </c>
      <c r="AX1208" t="s">
        <v>74</v>
      </c>
      <c r="AY1208" t="s">
        <v>74</v>
      </c>
      <c r="AZ1208" t="s">
        <v>74</v>
      </c>
      <c r="BA1208" t="s">
        <v>74</v>
      </c>
      <c r="BB1208" t="s">
        <v>74</v>
      </c>
      <c r="BC1208" t="s">
        <v>74</v>
      </c>
      <c r="BD1208" t="s">
        <v>74</v>
      </c>
      <c r="BE1208" t="s">
        <v>20313</v>
      </c>
      <c r="BF1208" t="str">
        <f>HYPERLINK("http://dx.doi.org/10.1111/apps.12429","http://dx.doi.org/10.1111/apps.12429")</f>
        <v>http://dx.doi.org/10.1111/apps.12429</v>
      </c>
      <c r="BG1208" t="s">
        <v>74</v>
      </c>
      <c r="BH1208" t="s">
        <v>17332</v>
      </c>
      <c r="BI1208">
        <v>28</v>
      </c>
      <c r="BJ1208" t="s">
        <v>692</v>
      </c>
      <c r="BK1208" t="s">
        <v>94</v>
      </c>
      <c r="BL1208" t="s">
        <v>460</v>
      </c>
      <c r="BM1208" t="s">
        <v>20314</v>
      </c>
      <c r="BN1208" t="s">
        <v>74</v>
      </c>
      <c r="BO1208" t="s">
        <v>74</v>
      </c>
      <c r="BP1208" t="s">
        <v>74</v>
      </c>
      <c r="BQ1208" t="s">
        <v>74</v>
      </c>
      <c r="BR1208" t="s">
        <v>97</v>
      </c>
      <c r="BS1208" t="s">
        <v>20315</v>
      </c>
      <c r="BT1208" t="str">
        <f>HYPERLINK("https%3A%2F%2Fwww.webofscience.com%2Fwos%2Fwoscc%2Ffull-record%2FWOS:000853716300001","View Full Record in Web of Science")</f>
        <v>View Full Record in Web of Science</v>
      </c>
    </row>
    <row r="1209" spans="1:72" x14ac:dyDescent="0.25">
      <c r="A1209" t="s">
        <v>72</v>
      </c>
      <c r="B1209" t="s">
        <v>20316</v>
      </c>
      <c r="C1209" t="s">
        <v>74</v>
      </c>
      <c r="D1209" t="s">
        <v>74</v>
      </c>
      <c r="E1209" t="s">
        <v>74</v>
      </c>
      <c r="F1209" t="s">
        <v>20317</v>
      </c>
      <c r="G1209" t="s">
        <v>74</v>
      </c>
      <c r="H1209" t="s">
        <v>74</v>
      </c>
      <c r="I1209" t="s">
        <v>20318</v>
      </c>
      <c r="J1209" t="s">
        <v>9297</v>
      </c>
      <c r="K1209" t="s">
        <v>74</v>
      </c>
      <c r="L1209" t="s">
        <v>74</v>
      </c>
      <c r="M1209" t="s">
        <v>77</v>
      </c>
      <c r="N1209" t="s">
        <v>10095</v>
      </c>
      <c r="O1209" t="s">
        <v>74</v>
      </c>
      <c r="P1209" t="s">
        <v>74</v>
      </c>
      <c r="Q1209" t="s">
        <v>74</v>
      </c>
      <c r="R1209" t="s">
        <v>74</v>
      </c>
      <c r="S1209" t="s">
        <v>74</v>
      </c>
      <c r="T1209" t="s">
        <v>20319</v>
      </c>
      <c r="U1209" t="s">
        <v>20320</v>
      </c>
      <c r="V1209" t="s">
        <v>20321</v>
      </c>
      <c r="W1209" t="s">
        <v>20322</v>
      </c>
      <c r="X1209" t="s">
        <v>20323</v>
      </c>
      <c r="Y1209" t="s">
        <v>20324</v>
      </c>
      <c r="Z1209" t="s">
        <v>20325</v>
      </c>
      <c r="AA1209" t="s">
        <v>20326</v>
      </c>
      <c r="AB1209" t="s">
        <v>20327</v>
      </c>
      <c r="AC1209" t="s">
        <v>20328</v>
      </c>
      <c r="AD1209" t="s">
        <v>20329</v>
      </c>
      <c r="AE1209" t="s">
        <v>20330</v>
      </c>
      <c r="AF1209" t="s">
        <v>74</v>
      </c>
      <c r="AG1209">
        <v>62</v>
      </c>
      <c r="AH1209">
        <v>0</v>
      </c>
      <c r="AI1209">
        <v>0</v>
      </c>
      <c r="AJ1209">
        <v>20</v>
      </c>
      <c r="AK1209">
        <v>27</v>
      </c>
      <c r="AL1209" t="s">
        <v>1099</v>
      </c>
      <c r="AM1209" t="s">
        <v>305</v>
      </c>
      <c r="AN1209" t="s">
        <v>1100</v>
      </c>
      <c r="AO1209" t="s">
        <v>9304</v>
      </c>
      <c r="AP1209" t="s">
        <v>9305</v>
      </c>
      <c r="AQ1209" t="s">
        <v>74</v>
      </c>
      <c r="AR1209" t="s">
        <v>9306</v>
      </c>
      <c r="AS1209" t="s">
        <v>9307</v>
      </c>
      <c r="AT1209" t="s">
        <v>74</v>
      </c>
      <c r="AU1209" t="s">
        <v>74</v>
      </c>
      <c r="AV1209" t="s">
        <v>74</v>
      </c>
      <c r="AW1209" t="s">
        <v>74</v>
      </c>
      <c r="AX1209" t="s">
        <v>74</v>
      </c>
      <c r="AY1209" t="s">
        <v>74</v>
      </c>
      <c r="AZ1209" t="s">
        <v>74</v>
      </c>
      <c r="BA1209" t="s">
        <v>74</v>
      </c>
      <c r="BB1209" t="s">
        <v>74</v>
      </c>
      <c r="BC1209" t="s">
        <v>74</v>
      </c>
      <c r="BD1209" t="s">
        <v>74</v>
      </c>
      <c r="BE1209" t="s">
        <v>20331</v>
      </c>
      <c r="BF1209" t="str">
        <f>HYPERLINK("http://dx.doi.org/10.1080/1331677X.2022.2123022","http://dx.doi.org/10.1080/1331677X.2022.2123022")</f>
        <v>http://dx.doi.org/10.1080/1331677X.2022.2123022</v>
      </c>
      <c r="BG1209" t="s">
        <v>74</v>
      </c>
      <c r="BH1209" t="s">
        <v>17332</v>
      </c>
      <c r="BI1209">
        <v>22</v>
      </c>
      <c r="BJ1209" t="s">
        <v>2599</v>
      </c>
      <c r="BK1209" t="s">
        <v>94</v>
      </c>
      <c r="BL1209" t="s">
        <v>95</v>
      </c>
      <c r="BM1209" t="s">
        <v>20332</v>
      </c>
      <c r="BN1209" t="s">
        <v>74</v>
      </c>
      <c r="BO1209" t="s">
        <v>2482</v>
      </c>
      <c r="BP1209" t="s">
        <v>74</v>
      </c>
      <c r="BQ1209" t="s">
        <v>74</v>
      </c>
      <c r="BR1209" t="s">
        <v>97</v>
      </c>
      <c r="BS1209" t="s">
        <v>20333</v>
      </c>
      <c r="BT1209" t="str">
        <f>HYPERLINK("https%3A%2F%2Fwww.webofscience.com%2Fwos%2Fwoscc%2Ffull-record%2FWOS:000863663000001","View Full Record in Web of Science")</f>
        <v>View Full Record in Web of Science</v>
      </c>
    </row>
    <row r="1210" spans="1:72" x14ac:dyDescent="0.25">
      <c r="A1210" t="s">
        <v>72</v>
      </c>
      <c r="B1210" t="s">
        <v>20334</v>
      </c>
      <c r="C1210" t="s">
        <v>74</v>
      </c>
      <c r="D1210" t="s">
        <v>74</v>
      </c>
      <c r="E1210" t="s">
        <v>74</v>
      </c>
      <c r="F1210" t="s">
        <v>20335</v>
      </c>
      <c r="G1210" t="s">
        <v>74</v>
      </c>
      <c r="H1210" t="s">
        <v>74</v>
      </c>
      <c r="I1210" t="s">
        <v>20336</v>
      </c>
      <c r="J1210" t="s">
        <v>20337</v>
      </c>
      <c r="K1210" t="s">
        <v>74</v>
      </c>
      <c r="L1210" t="s">
        <v>74</v>
      </c>
      <c r="M1210" t="s">
        <v>77</v>
      </c>
      <c r="N1210" t="s">
        <v>10095</v>
      </c>
      <c r="O1210" t="s">
        <v>74</v>
      </c>
      <c r="P1210" t="s">
        <v>74</v>
      </c>
      <c r="Q1210" t="s">
        <v>74</v>
      </c>
      <c r="R1210" t="s">
        <v>74</v>
      </c>
      <c r="S1210" t="s">
        <v>74</v>
      </c>
      <c r="T1210" t="s">
        <v>20338</v>
      </c>
      <c r="U1210" t="s">
        <v>20339</v>
      </c>
      <c r="V1210" t="s">
        <v>20340</v>
      </c>
      <c r="W1210" t="s">
        <v>20341</v>
      </c>
      <c r="X1210" t="s">
        <v>20342</v>
      </c>
      <c r="Y1210" t="s">
        <v>20343</v>
      </c>
      <c r="Z1210" t="s">
        <v>20344</v>
      </c>
      <c r="AA1210" t="s">
        <v>74</v>
      </c>
      <c r="AB1210" t="s">
        <v>74</v>
      </c>
      <c r="AC1210" t="s">
        <v>74</v>
      </c>
      <c r="AD1210" t="s">
        <v>74</v>
      </c>
      <c r="AE1210" t="s">
        <v>74</v>
      </c>
      <c r="AF1210" t="s">
        <v>74</v>
      </c>
      <c r="AG1210">
        <v>88</v>
      </c>
      <c r="AH1210">
        <v>0</v>
      </c>
      <c r="AI1210">
        <v>0</v>
      </c>
      <c r="AJ1210">
        <v>24</v>
      </c>
      <c r="AK1210">
        <v>31</v>
      </c>
      <c r="AL1210" t="s">
        <v>350</v>
      </c>
      <c r="AM1210" t="s">
        <v>351</v>
      </c>
      <c r="AN1210" t="s">
        <v>352</v>
      </c>
      <c r="AO1210" t="s">
        <v>20345</v>
      </c>
      <c r="AP1210" t="s">
        <v>20346</v>
      </c>
      <c r="AQ1210" t="s">
        <v>74</v>
      </c>
      <c r="AR1210" t="s">
        <v>20347</v>
      </c>
      <c r="AS1210" t="s">
        <v>20348</v>
      </c>
      <c r="AT1210" t="s">
        <v>74</v>
      </c>
      <c r="AU1210" t="s">
        <v>74</v>
      </c>
      <c r="AV1210" t="s">
        <v>74</v>
      </c>
      <c r="AW1210" t="s">
        <v>74</v>
      </c>
      <c r="AX1210" t="s">
        <v>74</v>
      </c>
      <c r="AY1210" t="s">
        <v>74</v>
      </c>
      <c r="AZ1210" t="s">
        <v>74</v>
      </c>
      <c r="BA1210" t="s">
        <v>74</v>
      </c>
      <c r="BB1210" t="s">
        <v>74</v>
      </c>
      <c r="BC1210" t="s">
        <v>74</v>
      </c>
      <c r="BD1210" t="s">
        <v>74</v>
      </c>
      <c r="BE1210" t="s">
        <v>20349</v>
      </c>
      <c r="BF1210" t="str">
        <f>HYPERLINK("http://dx.doi.org/10.1177/23294884221119453","http://dx.doi.org/10.1177/23294884221119453")</f>
        <v>http://dx.doi.org/10.1177/23294884221119453</v>
      </c>
      <c r="BG1210" t="s">
        <v>74</v>
      </c>
      <c r="BH1210" t="s">
        <v>17332</v>
      </c>
      <c r="BI1210">
        <v>23</v>
      </c>
      <c r="BJ1210" t="s">
        <v>20350</v>
      </c>
      <c r="BK1210" t="s">
        <v>94</v>
      </c>
      <c r="BL1210" t="s">
        <v>20351</v>
      </c>
      <c r="BM1210" t="s">
        <v>20352</v>
      </c>
      <c r="BN1210" t="s">
        <v>74</v>
      </c>
      <c r="BO1210" t="s">
        <v>74</v>
      </c>
      <c r="BP1210" t="s">
        <v>74</v>
      </c>
      <c r="BQ1210" t="s">
        <v>74</v>
      </c>
      <c r="BR1210" t="s">
        <v>97</v>
      </c>
      <c r="BS1210" t="s">
        <v>20353</v>
      </c>
      <c r="BT1210" t="str">
        <f>HYPERLINK("https%3A%2F%2Fwww.webofscience.com%2Fwos%2Fwoscc%2Ffull-record%2FWOS:000849908200001","View Full Record in Web of Science")</f>
        <v>View Full Record in Web of Science</v>
      </c>
    </row>
    <row r="1211" spans="1:72" x14ac:dyDescent="0.25">
      <c r="A1211" t="s">
        <v>72</v>
      </c>
      <c r="B1211" t="s">
        <v>20354</v>
      </c>
      <c r="C1211" t="s">
        <v>74</v>
      </c>
      <c r="D1211" t="s">
        <v>74</v>
      </c>
      <c r="E1211" t="s">
        <v>74</v>
      </c>
      <c r="F1211" t="s">
        <v>20355</v>
      </c>
      <c r="G1211" t="s">
        <v>74</v>
      </c>
      <c r="H1211" t="s">
        <v>74</v>
      </c>
      <c r="I1211" t="s">
        <v>20356</v>
      </c>
      <c r="J1211" t="s">
        <v>3184</v>
      </c>
      <c r="K1211" t="s">
        <v>74</v>
      </c>
      <c r="L1211" t="s">
        <v>74</v>
      </c>
      <c r="M1211" t="s">
        <v>77</v>
      </c>
      <c r="N1211" t="s">
        <v>78</v>
      </c>
      <c r="O1211" t="s">
        <v>74</v>
      </c>
      <c r="P1211" t="s">
        <v>74</v>
      </c>
      <c r="Q1211" t="s">
        <v>74</v>
      </c>
      <c r="R1211" t="s">
        <v>74</v>
      </c>
      <c r="S1211" t="s">
        <v>74</v>
      </c>
      <c r="T1211" t="s">
        <v>20357</v>
      </c>
      <c r="U1211" t="s">
        <v>20358</v>
      </c>
      <c r="V1211" t="s">
        <v>20359</v>
      </c>
      <c r="W1211" t="s">
        <v>20360</v>
      </c>
      <c r="X1211" t="s">
        <v>20361</v>
      </c>
      <c r="Y1211" t="s">
        <v>20362</v>
      </c>
      <c r="Z1211" t="s">
        <v>20363</v>
      </c>
      <c r="AA1211" t="s">
        <v>74</v>
      </c>
      <c r="AB1211" t="s">
        <v>74</v>
      </c>
      <c r="AC1211" t="s">
        <v>20364</v>
      </c>
      <c r="AD1211" t="s">
        <v>20365</v>
      </c>
      <c r="AE1211" t="s">
        <v>20366</v>
      </c>
      <c r="AF1211" t="s">
        <v>74</v>
      </c>
      <c r="AG1211">
        <v>74</v>
      </c>
      <c r="AH1211">
        <v>0</v>
      </c>
      <c r="AI1211">
        <v>0</v>
      </c>
      <c r="AJ1211">
        <v>52</v>
      </c>
      <c r="AK1211">
        <v>58</v>
      </c>
      <c r="AL1211" t="s">
        <v>3195</v>
      </c>
      <c r="AM1211" t="s">
        <v>3196</v>
      </c>
      <c r="AN1211" t="s">
        <v>3197</v>
      </c>
      <c r="AO1211" t="s">
        <v>3198</v>
      </c>
      <c r="AP1211" t="s">
        <v>74</v>
      </c>
      <c r="AQ1211" t="s">
        <v>74</v>
      </c>
      <c r="AR1211" t="s">
        <v>3199</v>
      </c>
      <c r="AS1211" t="s">
        <v>3200</v>
      </c>
      <c r="AT1211" t="s">
        <v>14332</v>
      </c>
      <c r="AU1211">
        <v>2022</v>
      </c>
      <c r="AV1211">
        <v>13</v>
      </c>
      <c r="AW1211" t="s">
        <v>74</v>
      </c>
      <c r="AX1211" t="s">
        <v>74</v>
      </c>
      <c r="AY1211" t="s">
        <v>74</v>
      </c>
      <c r="AZ1211" t="s">
        <v>74</v>
      </c>
      <c r="BA1211" t="s">
        <v>74</v>
      </c>
      <c r="BB1211" t="s">
        <v>74</v>
      </c>
      <c r="BC1211" t="s">
        <v>74</v>
      </c>
      <c r="BD1211">
        <v>921687</v>
      </c>
      <c r="BE1211" t="s">
        <v>20367</v>
      </c>
      <c r="BF1211" t="str">
        <f>HYPERLINK("http://dx.doi.org/10.3389/fpsyg.2022.921687","http://dx.doi.org/10.3389/fpsyg.2022.921687")</f>
        <v>http://dx.doi.org/10.3389/fpsyg.2022.921687</v>
      </c>
      <c r="BG1211" t="s">
        <v>74</v>
      </c>
      <c r="BH1211" t="s">
        <v>74</v>
      </c>
      <c r="BI1211">
        <v>13</v>
      </c>
      <c r="BJ1211" t="s">
        <v>3203</v>
      </c>
      <c r="BK1211" t="s">
        <v>94</v>
      </c>
      <c r="BL1211" t="s">
        <v>460</v>
      </c>
      <c r="BM1211" t="s">
        <v>20368</v>
      </c>
      <c r="BN1211">
        <v>36118444</v>
      </c>
      <c r="BO1211" t="s">
        <v>4398</v>
      </c>
      <c r="BP1211" t="s">
        <v>74</v>
      </c>
      <c r="BQ1211" t="s">
        <v>74</v>
      </c>
      <c r="BR1211" t="s">
        <v>97</v>
      </c>
      <c r="BS1211" t="s">
        <v>20369</v>
      </c>
      <c r="BT1211" t="str">
        <f>HYPERLINK("https%3A%2F%2Fwww.webofscience.com%2Fwos%2Fwoscc%2Ffull-record%2FWOS:000872895600001","View Full Record in Web of Science")</f>
        <v>View Full Record in Web of Science</v>
      </c>
    </row>
    <row r="1212" spans="1:72" x14ac:dyDescent="0.25">
      <c r="A1212" t="s">
        <v>72</v>
      </c>
      <c r="B1212" t="s">
        <v>20370</v>
      </c>
      <c r="C1212" t="s">
        <v>74</v>
      </c>
      <c r="D1212" t="s">
        <v>74</v>
      </c>
      <c r="E1212" t="s">
        <v>74</v>
      </c>
      <c r="F1212" t="s">
        <v>20371</v>
      </c>
      <c r="G1212" t="s">
        <v>74</v>
      </c>
      <c r="H1212" t="s">
        <v>74</v>
      </c>
      <c r="I1212" t="s">
        <v>20372</v>
      </c>
      <c r="J1212" t="s">
        <v>12635</v>
      </c>
      <c r="K1212" t="s">
        <v>74</v>
      </c>
      <c r="L1212" t="s">
        <v>74</v>
      </c>
      <c r="M1212" t="s">
        <v>77</v>
      </c>
      <c r="N1212" t="s">
        <v>10095</v>
      </c>
      <c r="O1212" t="s">
        <v>74</v>
      </c>
      <c r="P1212" t="s">
        <v>74</v>
      </c>
      <c r="Q1212" t="s">
        <v>74</v>
      </c>
      <c r="R1212" t="s">
        <v>74</v>
      </c>
      <c r="S1212" t="s">
        <v>74</v>
      </c>
      <c r="T1212" t="s">
        <v>74</v>
      </c>
      <c r="U1212" t="s">
        <v>20373</v>
      </c>
      <c r="V1212" t="s">
        <v>20374</v>
      </c>
      <c r="W1212" t="s">
        <v>20375</v>
      </c>
      <c r="X1212" t="s">
        <v>20376</v>
      </c>
      <c r="Y1212" t="s">
        <v>20377</v>
      </c>
      <c r="Z1212" t="s">
        <v>20378</v>
      </c>
      <c r="AA1212" t="s">
        <v>74</v>
      </c>
      <c r="AB1212" t="s">
        <v>20379</v>
      </c>
      <c r="AC1212" t="s">
        <v>74</v>
      </c>
      <c r="AD1212" t="s">
        <v>74</v>
      </c>
      <c r="AE1212" t="s">
        <v>74</v>
      </c>
      <c r="AF1212" t="s">
        <v>74</v>
      </c>
      <c r="AG1212">
        <v>134</v>
      </c>
      <c r="AH1212">
        <v>0</v>
      </c>
      <c r="AI1212">
        <v>0</v>
      </c>
      <c r="AJ1212">
        <v>19</v>
      </c>
      <c r="AK1212">
        <v>33</v>
      </c>
      <c r="AL1212" t="s">
        <v>218</v>
      </c>
      <c r="AM1212" t="s">
        <v>219</v>
      </c>
      <c r="AN1212" t="s">
        <v>220</v>
      </c>
      <c r="AO1212" t="s">
        <v>12645</v>
      </c>
      <c r="AP1212" t="s">
        <v>12646</v>
      </c>
      <c r="AQ1212" t="s">
        <v>74</v>
      </c>
      <c r="AR1212" t="s">
        <v>12647</v>
      </c>
      <c r="AS1212" t="s">
        <v>12648</v>
      </c>
      <c r="AT1212" t="s">
        <v>74</v>
      </c>
      <c r="AU1212" t="s">
        <v>74</v>
      </c>
      <c r="AV1212" t="s">
        <v>74</v>
      </c>
      <c r="AW1212" t="s">
        <v>74</v>
      </c>
      <c r="AX1212" t="s">
        <v>74</v>
      </c>
      <c r="AY1212" t="s">
        <v>74</v>
      </c>
      <c r="AZ1212" t="s">
        <v>74</v>
      </c>
      <c r="BA1212" t="s">
        <v>74</v>
      </c>
      <c r="BB1212" t="s">
        <v>74</v>
      </c>
      <c r="BC1212" t="s">
        <v>74</v>
      </c>
      <c r="BD1212" t="s">
        <v>74</v>
      </c>
      <c r="BE1212" t="s">
        <v>20380</v>
      </c>
      <c r="BF1212" t="str">
        <f>HYPERLINK("http://dx.doi.org/10.1111/padm.12884","http://dx.doi.org/10.1111/padm.12884")</f>
        <v>http://dx.doi.org/10.1111/padm.12884</v>
      </c>
      <c r="BG1212" t="s">
        <v>74</v>
      </c>
      <c r="BH1212" t="s">
        <v>17408</v>
      </c>
      <c r="BI1212">
        <v>23</v>
      </c>
      <c r="BJ1212" t="s">
        <v>1013</v>
      </c>
      <c r="BK1212" t="s">
        <v>94</v>
      </c>
      <c r="BL1212" t="s">
        <v>1014</v>
      </c>
      <c r="BM1212" t="s">
        <v>20381</v>
      </c>
      <c r="BN1212" t="s">
        <v>74</v>
      </c>
      <c r="BO1212" t="s">
        <v>74</v>
      </c>
      <c r="BP1212" t="s">
        <v>74</v>
      </c>
      <c r="BQ1212" t="s">
        <v>74</v>
      </c>
      <c r="BR1212" t="s">
        <v>97</v>
      </c>
      <c r="BS1212" t="s">
        <v>20382</v>
      </c>
      <c r="BT1212" t="str">
        <f>HYPERLINK("https%3A%2F%2Fwww.webofscience.com%2Fwos%2Fwoscc%2Ffull-record%2FWOS:000846461400001","View Full Record in Web of Science")</f>
        <v>View Full Record in Web of Science</v>
      </c>
    </row>
    <row r="1213" spans="1:72" x14ac:dyDescent="0.25">
      <c r="A1213" t="s">
        <v>72</v>
      </c>
      <c r="B1213" t="s">
        <v>20383</v>
      </c>
      <c r="C1213" t="s">
        <v>74</v>
      </c>
      <c r="D1213" t="s">
        <v>74</v>
      </c>
      <c r="E1213" t="s">
        <v>74</v>
      </c>
      <c r="F1213" t="s">
        <v>20384</v>
      </c>
      <c r="G1213" t="s">
        <v>74</v>
      </c>
      <c r="H1213" t="s">
        <v>74</v>
      </c>
      <c r="I1213" t="s">
        <v>20385</v>
      </c>
      <c r="J1213" t="s">
        <v>13480</v>
      </c>
      <c r="K1213" t="s">
        <v>74</v>
      </c>
      <c r="L1213" t="s">
        <v>74</v>
      </c>
      <c r="M1213" t="s">
        <v>77</v>
      </c>
      <c r="N1213" t="s">
        <v>10095</v>
      </c>
      <c r="O1213" t="s">
        <v>74</v>
      </c>
      <c r="P1213" t="s">
        <v>74</v>
      </c>
      <c r="Q1213" t="s">
        <v>74</v>
      </c>
      <c r="R1213" t="s">
        <v>74</v>
      </c>
      <c r="S1213" t="s">
        <v>74</v>
      </c>
      <c r="T1213" t="s">
        <v>20386</v>
      </c>
      <c r="U1213" t="s">
        <v>20387</v>
      </c>
      <c r="V1213" t="s">
        <v>20388</v>
      </c>
      <c r="W1213" t="s">
        <v>20389</v>
      </c>
      <c r="X1213" t="s">
        <v>20390</v>
      </c>
      <c r="Y1213" t="s">
        <v>20391</v>
      </c>
      <c r="Z1213" t="s">
        <v>20392</v>
      </c>
      <c r="AA1213" t="s">
        <v>74</v>
      </c>
      <c r="AB1213" t="s">
        <v>74</v>
      </c>
      <c r="AC1213" t="s">
        <v>74</v>
      </c>
      <c r="AD1213" t="s">
        <v>74</v>
      </c>
      <c r="AE1213" t="s">
        <v>74</v>
      </c>
      <c r="AF1213" t="s">
        <v>74</v>
      </c>
      <c r="AG1213">
        <v>95</v>
      </c>
      <c r="AH1213">
        <v>0</v>
      </c>
      <c r="AI1213">
        <v>0</v>
      </c>
      <c r="AJ1213">
        <v>24</v>
      </c>
      <c r="AK1213">
        <v>43</v>
      </c>
      <c r="AL1213" t="s">
        <v>13490</v>
      </c>
      <c r="AM1213" t="s">
        <v>644</v>
      </c>
      <c r="AN1213" t="s">
        <v>13491</v>
      </c>
      <c r="AO1213" t="s">
        <v>13492</v>
      </c>
      <c r="AP1213" t="s">
        <v>13493</v>
      </c>
      <c r="AQ1213" t="s">
        <v>74</v>
      </c>
      <c r="AR1213" t="s">
        <v>13494</v>
      </c>
      <c r="AS1213" t="s">
        <v>13495</v>
      </c>
      <c r="AT1213" t="s">
        <v>74</v>
      </c>
      <c r="AU1213" t="s">
        <v>74</v>
      </c>
      <c r="AV1213" t="s">
        <v>74</v>
      </c>
      <c r="AW1213" t="s">
        <v>74</v>
      </c>
      <c r="AX1213" t="s">
        <v>74</v>
      </c>
      <c r="AY1213" t="s">
        <v>74</v>
      </c>
      <c r="AZ1213" t="s">
        <v>74</v>
      </c>
      <c r="BA1213" t="s">
        <v>74</v>
      </c>
      <c r="BB1213" t="s">
        <v>74</v>
      </c>
      <c r="BC1213" t="s">
        <v>74</v>
      </c>
      <c r="BD1213" t="s">
        <v>74</v>
      </c>
      <c r="BE1213" t="s">
        <v>20393</v>
      </c>
      <c r="BF1213" t="str">
        <f>HYPERLINK("http://dx.doi.org/10.1057/s41291-022-00191-5","http://dx.doi.org/10.1057/s41291-022-00191-5")</f>
        <v>http://dx.doi.org/10.1057/s41291-022-00191-5</v>
      </c>
      <c r="BG1213" t="s">
        <v>74</v>
      </c>
      <c r="BH1213" t="s">
        <v>17408</v>
      </c>
      <c r="BI1213">
        <v>29</v>
      </c>
      <c r="BJ1213" t="s">
        <v>93</v>
      </c>
      <c r="BK1213" t="s">
        <v>94</v>
      </c>
      <c r="BL1213" t="s">
        <v>95</v>
      </c>
      <c r="BM1213" t="s">
        <v>20394</v>
      </c>
      <c r="BN1213" t="s">
        <v>74</v>
      </c>
      <c r="BO1213" t="s">
        <v>74</v>
      </c>
      <c r="BP1213" t="s">
        <v>74</v>
      </c>
      <c r="BQ1213" t="s">
        <v>74</v>
      </c>
      <c r="BR1213" t="s">
        <v>97</v>
      </c>
      <c r="BS1213" t="s">
        <v>20395</v>
      </c>
      <c r="BT1213" t="str">
        <f>HYPERLINK("https%3A%2F%2Fwww.webofscience.com%2Fwos%2Fwoscc%2Ffull-record%2FWOS:000841062900001","View Full Record in Web of Science")</f>
        <v>View Full Record in Web of Science</v>
      </c>
    </row>
    <row r="1214" spans="1:72" x14ac:dyDescent="0.25">
      <c r="A1214" t="s">
        <v>72</v>
      </c>
      <c r="B1214" t="s">
        <v>3624</v>
      </c>
      <c r="C1214" t="s">
        <v>74</v>
      </c>
      <c r="D1214" t="s">
        <v>74</v>
      </c>
      <c r="E1214" t="s">
        <v>74</v>
      </c>
      <c r="F1214" t="s">
        <v>3625</v>
      </c>
      <c r="G1214" t="s">
        <v>74</v>
      </c>
      <c r="H1214" t="s">
        <v>74</v>
      </c>
      <c r="I1214" t="s">
        <v>20396</v>
      </c>
      <c r="J1214" t="s">
        <v>3838</v>
      </c>
      <c r="K1214" t="s">
        <v>74</v>
      </c>
      <c r="L1214" t="s">
        <v>74</v>
      </c>
      <c r="M1214" t="s">
        <v>77</v>
      </c>
      <c r="N1214" t="s">
        <v>10095</v>
      </c>
      <c r="O1214" t="s">
        <v>74</v>
      </c>
      <c r="P1214" t="s">
        <v>74</v>
      </c>
      <c r="Q1214" t="s">
        <v>74</v>
      </c>
      <c r="R1214" t="s">
        <v>74</v>
      </c>
      <c r="S1214" t="s">
        <v>74</v>
      </c>
      <c r="T1214" t="s">
        <v>20397</v>
      </c>
      <c r="U1214" t="s">
        <v>20398</v>
      </c>
      <c r="V1214" t="s">
        <v>20399</v>
      </c>
      <c r="W1214" t="s">
        <v>3630</v>
      </c>
      <c r="X1214" t="s">
        <v>3631</v>
      </c>
      <c r="Y1214" t="s">
        <v>3632</v>
      </c>
      <c r="Z1214" t="s">
        <v>3633</v>
      </c>
      <c r="AA1214" t="s">
        <v>74</v>
      </c>
      <c r="AB1214" t="s">
        <v>74</v>
      </c>
      <c r="AC1214" t="s">
        <v>74</v>
      </c>
      <c r="AD1214" t="s">
        <v>74</v>
      </c>
      <c r="AE1214" t="s">
        <v>74</v>
      </c>
      <c r="AF1214" t="s">
        <v>74</v>
      </c>
      <c r="AG1214">
        <v>202</v>
      </c>
      <c r="AH1214">
        <v>0</v>
      </c>
      <c r="AI1214">
        <v>0</v>
      </c>
      <c r="AJ1214">
        <v>19</v>
      </c>
      <c r="AK1214">
        <v>29</v>
      </c>
      <c r="AL1214" t="s">
        <v>1099</v>
      </c>
      <c r="AM1214" t="s">
        <v>305</v>
      </c>
      <c r="AN1214" t="s">
        <v>1100</v>
      </c>
      <c r="AO1214" t="s">
        <v>3844</v>
      </c>
      <c r="AP1214" t="s">
        <v>3845</v>
      </c>
      <c r="AQ1214" t="s">
        <v>74</v>
      </c>
      <c r="AR1214" t="s">
        <v>3846</v>
      </c>
      <c r="AS1214" t="s">
        <v>3847</v>
      </c>
      <c r="AT1214" t="s">
        <v>74</v>
      </c>
      <c r="AU1214" t="s">
        <v>74</v>
      </c>
      <c r="AV1214" t="s">
        <v>74</v>
      </c>
      <c r="AW1214" t="s">
        <v>74</v>
      </c>
      <c r="AX1214" t="s">
        <v>74</v>
      </c>
      <c r="AY1214" t="s">
        <v>74</v>
      </c>
      <c r="AZ1214" t="s">
        <v>74</v>
      </c>
      <c r="BA1214" t="s">
        <v>74</v>
      </c>
      <c r="BB1214" t="s">
        <v>74</v>
      </c>
      <c r="BC1214" t="s">
        <v>74</v>
      </c>
      <c r="BD1214" t="s">
        <v>74</v>
      </c>
      <c r="BE1214" t="s">
        <v>20400</v>
      </c>
      <c r="BF1214" t="str">
        <f>HYPERLINK("http://dx.doi.org/10.1080/09669582.2022.2113790","http://dx.doi.org/10.1080/09669582.2022.2113790")</f>
        <v>http://dx.doi.org/10.1080/09669582.2022.2113790</v>
      </c>
      <c r="BG1214" t="s">
        <v>74</v>
      </c>
      <c r="BH1214" t="s">
        <v>17408</v>
      </c>
      <c r="BI1214">
        <v>35</v>
      </c>
      <c r="BJ1214" t="s">
        <v>3850</v>
      </c>
      <c r="BK1214" t="s">
        <v>94</v>
      </c>
      <c r="BL1214" t="s">
        <v>3851</v>
      </c>
      <c r="BM1214" t="s">
        <v>20401</v>
      </c>
      <c r="BN1214" t="s">
        <v>74</v>
      </c>
      <c r="BO1214" t="s">
        <v>74</v>
      </c>
      <c r="BP1214" t="s">
        <v>74</v>
      </c>
      <c r="BQ1214" t="s">
        <v>74</v>
      </c>
      <c r="BR1214" t="s">
        <v>97</v>
      </c>
      <c r="BS1214" t="s">
        <v>20402</v>
      </c>
      <c r="BT1214" t="str">
        <f>HYPERLINK("https%3A%2F%2Fwww.webofscience.com%2Fwos%2Fwoscc%2Ffull-record%2FWOS:000851251700001","View Full Record in Web of Science")</f>
        <v>View Full Record in Web of Science</v>
      </c>
    </row>
    <row r="1215" spans="1:72" x14ac:dyDescent="0.25">
      <c r="A1215" t="s">
        <v>72</v>
      </c>
      <c r="B1215" t="s">
        <v>20403</v>
      </c>
      <c r="C1215" t="s">
        <v>74</v>
      </c>
      <c r="D1215" t="s">
        <v>74</v>
      </c>
      <c r="E1215" t="s">
        <v>74</v>
      </c>
      <c r="F1215" t="s">
        <v>20404</v>
      </c>
      <c r="G1215" t="s">
        <v>74</v>
      </c>
      <c r="H1215" t="s">
        <v>74</v>
      </c>
      <c r="I1215" t="s">
        <v>20405</v>
      </c>
      <c r="J1215" t="s">
        <v>3184</v>
      </c>
      <c r="K1215" t="s">
        <v>74</v>
      </c>
      <c r="L1215" t="s">
        <v>74</v>
      </c>
      <c r="M1215" t="s">
        <v>77</v>
      </c>
      <c r="N1215" t="s">
        <v>78</v>
      </c>
      <c r="O1215" t="s">
        <v>74</v>
      </c>
      <c r="P1215" t="s">
        <v>74</v>
      </c>
      <c r="Q1215" t="s">
        <v>74</v>
      </c>
      <c r="R1215" t="s">
        <v>74</v>
      </c>
      <c r="S1215" t="s">
        <v>74</v>
      </c>
      <c r="T1215" t="s">
        <v>20406</v>
      </c>
      <c r="U1215" t="s">
        <v>20407</v>
      </c>
      <c r="V1215" t="s">
        <v>20408</v>
      </c>
      <c r="W1215" t="s">
        <v>20409</v>
      </c>
      <c r="X1215" t="s">
        <v>20410</v>
      </c>
      <c r="Y1215" t="s">
        <v>20411</v>
      </c>
      <c r="Z1215" t="s">
        <v>20412</v>
      </c>
      <c r="AA1215" t="s">
        <v>74</v>
      </c>
      <c r="AB1215" t="s">
        <v>74</v>
      </c>
      <c r="AC1215" t="s">
        <v>20413</v>
      </c>
      <c r="AD1215" t="s">
        <v>20414</v>
      </c>
      <c r="AE1215" t="s">
        <v>20415</v>
      </c>
      <c r="AF1215" t="s">
        <v>74</v>
      </c>
      <c r="AG1215">
        <v>49</v>
      </c>
      <c r="AH1215">
        <v>0</v>
      </c>
      <c r="AI1215">
        <v>0</v>
      </c>
      <c r="AJ1215">
        <v>19</v>
      </c>
      <c r="AK1215">
        <v>34</v>
      </c>
      <c r="AL1215" t="s">
        <v>3195</v>
      </c>
      <c r="AM1215" t="s">
        <v>3196</v>
      </c>
      <c r="AN1215" t="s">
        <v>3197</v>
      </c>
      <c r="AO1215" t="s">
        <v>3198</v>
      </c>
      <c r="AP1215" t="s">
        <v>74</v>
      </c>
      <c r="AQ1215" t="s">
        <v>74</v>
      </c>
      <c r="AR1215" t="s">
        <v>3199</v>
      </c>
      <c r="AS1215" t="s">
        <v>3200</v>
      </c>
      <c r="AT1215" t="s">
        <v>10405</v>
      </c>
      <c r="AU1215">
        <v>2022</v>
      </c>
      <c r="AV1215">
        <v>13</v>
      </c>
      <c r="AW1215" t="s">
        <v>74</v>
      </c>
      <c r="AX1215" t="s">
        <v>74</v>
      </c>
      <c r="AY1215" t="s">
        <v>74</v>
      </c>
      <c r="AZ1215" t="s">
        <v>74</v>
      </c>
      <c r="BA1215" t="s">
        <v>74</v>
      </c>
      <c r="BB1215" t="s">
        <v>74</v>
      </c>
      <c r="BC1215" t="s">
        <v>74</v>
      </c>
      <c r="BD1215">
        <v>904174</v>
      </c>
      <c r="BE1215" t="s">
        <v>20416</v>
      </c>
      <c r="BF1215" t="str">
        <f>HYPERLINK("http://dx.doi.org/10.3389/fpsyg.2022.904174","http://dx.doi.org/10.3389/fpsyg.2022.904174")</f>
        <v>http://dx.doi.org/10.3389/fpsyg.2022.904174</v>
      </c>
      <c r="BG1215" t="s">
        <v>74</v>
      </c>
      <c r="BH1215" t="s">
        <v>74</v>
      </c>
      <c r="BI1215">
        <v>12</v>
      </c>
      <c r="BJ1215" t="s">
        <v>3203</v>
      </c>
      <c r="BK1215" t="s">
        <v>94</v>
      </c>
      <c r="BL1215" t="s">
        <v>460</v>
      </c>
      <c r="BM1215" t="s">
        <v>20417</v>
      </c>
      <c r="BN1215">
        <v>36003090</v>
      </c>
      <c r="BO1215" t="s">
        <v>4398</v>
      </c>
      <c r="BP1215" t="s">
        <v>74</v>
      </c>
      <c r="BQ1215" t="s">
        <v>74</v>
      </c>
      <c r="BR1215" t="s">
        <v>97</v>
      </c>
      <c r="BS1215" t="s">
        <v>20418</v>
      </c>
      <c r="BT1215" t="str">
        <f>HYPERLINK("https%3A%2F%2Fwww.webofscience.com%2Fwos%2Fwoscc%2Ffull-record%2FWOS:000843316400001","View Full Record in Web of Science")</f>
        <v>View Full Record in Web of Science</v>
      </c>
    </row>
    <row r="1216" spans="1:72" x14ac:dyDescent="0.25">
      <c r="A1216" t="s">
        <v>72</v>
      </c>
      <c r="B1216" t="s">
        <v>20419</v>
      </c>
      <c r="C1216" t="s">
        <v>74</v>
      </c>
      <c r="D1216" t="s">
        <v>74</v>
      </c>
      <c r="E1216" t="s">
        <v>74</v>
      </c>
      <c r="F1216" t="s">
        <v>20420</v>
      </c>
      <c r="G1216" t="s">
        <v>74</v>
      </c>
      <c r="H1216" t="s">
        <v>74</v>
      </c>
      <c r="I1216" t="s">
        <v>20421</v>
      </c>
      <c r="J1216" t="s">
        <v>3184</v>
      </c>
      <c r="K1216" t="s">
        <v>74</v>
      </c>
      <c r="L1216" t="s">
        <v>74</v>
      </c>
      <c r="M1216" t="s">
        <v>77</v>
      </c>
      <c r="N1216" t="s">
        <v>78</v>
      </c>
      <c r="O1216" t="s">
        <v>74</v>
      </c>
      <c r="P1216" t="s">
        <v>74</v>
      </c>
      <c r="Q1216" t="s">
        <v>74</v>
      </c>
      <c r="R1216" t="s">
        <v>74</v>
      </c>
      <c r="S1216" t="s">
        <v>74</v>
      </c>
      <c r="T1216" t="s">
        <v>20422</v>
      </c>
      <c r="U1216" t="s">
        <v>20423</v>
      </c>
      <c r="V1216" t="s">
        <v>20424</v>
      </c>
      <c r="W1216" t="s">
        <v>20425</v>
      </c>
      <c r="X1216" t="s">
        <v>20426</v>
      </c>
      <c r="Y1216" t="s">
        <v>20427</v>
      </c>
      <c r="Z1216" t="s">
        <v>20428</v>
      </c>
      <c r="AA1216" t="s">
        <v>74</v>
      </c>
      <c r="AB1216" t="s">
        <v>74</v>
      </c>
      <c r="AC1216" t="s">
        <v>74</v>
      </c>
      <c r="AD1216" t="s">
        <v>74</v>
      </c>
      <c r="AE1216" t="s">
        <v>74</v>
      </c>
      <c r="AF1216" t="s">
        <v>74</v>
      </c>
      <c r="AG1216">
        <v>72</v>
      </c>
      <c r="AH1216">
        <v>0</v>
      </c>
      <c r="AI1216">
        <v>0</v>
      </c>
      <c r="AJ1216">
        <v>24</v>
      </c>
      <c r="AK1216">
        <v>40</v>
      </c>
      <c r="AL1216" t="s">
        <v>3195</v>
      </c>
      <c r="AM1216" t="s">
        <v>3196</v>
      </c>
      <c r="AN1216" t="s">
        <v>3197</v>
      </c>
      <c r="AO1216" t="s">
        <v>3198</v>
      </c>
      <c r="AP1216" t="s">
        <v>74</v>
      </c>
      <c r="AQ1216" t="s">
        <v>74</v>
      </c>
      <c r="AR1216" t="s">
        <v>3199</v>
      </c>
      <c r="AS1216" t="s">
        <v>3200</v>
      </c>
      <c r="AT1216" t="s">
        <v>20429</v>
      </c>
      <c r="AU1216">
        <v>2022</v>
      </c>
      <c r="AV1216">
        <v>13</v>
      </c>
      <c r="AW1216" t="s">
        <v>74</v>
      </c>
      <c r="AX1216" t="s">
        <v>74</v>
      </c>
      <c r="AY1216" t="s">
        <v>74</v>
      </c>
      <c r="AZ1216" t="s">
        <v>74</v>
      </c>
      <c r="BA1216" t="s">
        <v>74</v>
      </c>
      <c r="BB1216" t="s">
        <v>74</v>
      </c>
      <c r="BC1216" t="s">
        <v>74</v>
      </c>
      <c r="BD1216">
        <v>965972</v>
      </c>
      <c r="BE1216" t="s">
        <v>20430</v>
      </c>
      <c r="BF1216" t="str">
        <f>HYPERLINK("http://dx.doi.org/10.3389/fpsyg.2022.965972","http://dx.doi.org/10.3389/fpsyg.2022.965972")</f>
        <v>http://dx.doi.org/10.3389/fpsyg.2022.965972</v>
      </c>
      <c r="BG1216" t="s">
        <v>74</v>
      </c>
      <c r="BH1216" t="s">
        <v>74</v>
      </c>
      <c r="BI1216">
        <v>13</v>
      </c>
      <c r="BJ1216" t="s">
        <v>3203</v>
      </c>
      <c r="BK1216" t="s">
        <v>94</v>
      </c>
      <c r="BL1216" t="s">
        <v>460</v>
      </c>
      <c r="BM1216" t="s">
        <v>20431</v>
      </c>
      <c r="BN1216">
        <v>35992433</v>
      </c>
      <c r="BO1216" t="s">
        <v>4398</v>
      </c>
      <c r="BP1216" t="s">
        <v>74</v>
      </c>
      <c r="BQ1216" t="s">
        <v>74</v>
      </c>
      <c r="BR1216" t="s">
        <v>97</v>
      </c>
      <c r="BS1216" t="s">
        <v>20432</v>
      </c>
      <c r="BT1216" t="str">
        <f>HYPERLINK("https%3A%2F%2Fwww.webofscience.com%2Fwos%2Fwoscc%2Ffull-record%2FWOS:000843123600001","View Full Record in Web of Science")</f>
        <v>View Full Record in Web of Science</v>
      </c>
    </row>
    <row r="1217" spans="1:72" x14ac:dyDescent="0.25">
      <c r="A1217" t="s">
        <v>72</v>
      </c>
      <c r="B1217" t="s">
        <v>20433</v>
      </c>
      <c r="C1217" t="s">
        <v>74</v>
      </c>
      <c r="D1217" t="s">
        <v>74</v>
      </c>
      <c r="E1217" t="s">
        <v>74</v>
      </c>
      <c r="F1217" t="s">
        <v>20434</v>
      </c>
      <c r="G1217" t="s">
        <v>74</v>
      </c>
      <c r="H1217" t="s">
        <v>74</v>
      </c>
      <c r="I1217" t="s">
        <v>20435</v>
      </c>
      <c r="J1217" t="s">
        <v>18890</v>
      </c>
      <c r="K1217" t="s">
        <v>74</v>
      </c>
      <c r="L1217" t="s">
        <v>74</v>
      </c>
      <c r="M1217" t="s">
        <v>77</v>
      </c>
      <c r="N1217" t="s">
        <v>78</v>
      </c>
      <c r="O1217" t="s">
        <v>74</v>
      </c>
      <c r="P1217" t="s">
        <v>74</v>
      </c>
      <c r="Q1217" t="s">
        <v>74</v>
      </c>
      <c r="R1217" t="s">
        <v>74</v>
      </c>
      <c r="S1217" t="s">
        <v>74</v>
      </c>
      <c r="T1217" t="s">
        <v>20436</v>
      </c>
      <c r="U1217" t="s">
        <v>20437</v>
      </c>
      <c r="V1217" t="s">
        <v>20438</v>
      </c>
      <c r="W1217" t="s">
        <v>20439</v>
      </c>
      <c r="X1217" t="s">
        <v>20440</v>
      </c>
      <c r="Y1217" t="s">
        <v>20441</v>
      </c>
      <c r="Z1217" t="s">
        <v>20442</v>
      </c>
      <c r="AA1217" t="s">
        <v>74</v>
      </c>
      <c r="AB1217" t="s">
        <v>74</v>
      </c>
      <c r="AC1217" t="s">
        <v>20443</v>
      </c>
      <c r="AD1217" t="s">
        <v>20444</v>
      </c>
      <c r="AE1217" t="s">
        <v>20445</v>
      </c>
      <c r="AF1217" t="s">
        <v>74</v>
      </c>
      <c r="AG1217">
        <v>39</v>
      </c>
      <c r="AH1217">
        <v>0</v>
      </c>
      <c r="AI1217">
        <v>0</v>
      </c>
      <c r="AJ1217">
        <v>11</v>
      </c>
      <c r="AK1217">
        <v>11</v>
      </c>
      <c r="AL1217" t="s">
        <v>3195</v>
      </c>
      <c r="AM1217" t="s">
        <v>3196</v>
      </c>
      <c r="AN1217" t="s">
        <v>3197</v>
      </c>
      <c r="AO1217" t="s">
        <v>74</v>
      </c>
      <c r="AP1217" t="s">
        <v>18901</v>
      </c>
      <c r="AQ1217" t="s">
        <v>74</v>
      </c>
      <c r="AR1217" t="s">
        <v>18902</v>
      </c>
      <c r="AS1217" t="s">
        <v>18903</v>
      </c>
      <c r="AT1217" t="s">
        <v>20429</v>
      </c>
      <c r="AU1217">
        <v>2022</v>
      </c>
      <c r="AV1217">
        <v>10</v>
      </c>
      <c r="AW1217" t="s">
        <v>74</v>
      </c>
      <c r="AX1217" t="s">
        <v>74</v>
      </c>
      <c r="AY1217" t="s">
        <v>74</v>
      </c>
      <c r="AZ1217" t="s">
        <v>74</v>
      </c>
      <c r="BA1217" t="s">
        <v>74</v>
      </c>
      <c r="BB1217" t="s">
        <v>74</v>
      </c>
      <c r="BC1217" t="s">
        <v>74</v>
      </c>
      <c r="BD1217">
        <v>927226</v>
      </c>
      <c r="BE1217" t="s">
        <v>20446</v>
      </c>
      <c r="BF1217" t="str">
        <f>HYPERLINK("http://dx.doi.org/10.3389/fenvs.2022.927226","http://dx.doi.org/10.3389/fenvs.2022.927226")</f>
        <v>http://dx.doi.org/10.3389/fenvs.2022.927226</v>
      </c>
      <c r="BG1217" t="s">
        <v>74</v>
      </c>
      <c r="BH1217" t="s">
        <v>74</v>
      </c>
      <c r="BI1217">
        <v>14</v>
      </c>
      <c r="BJ1217" t="s">
        <v>5336</v>
      </c>
      <c r="BK1217" t="s">
        <v>283</v>
      </c>
      <c r="BL1217" t="s">
        <v>5337</v>
      </c>
      <c r="BM1217" t="s">
        <v>20447</v>
      </c>
      <c r="BN1217" t="s">
        <v>74</v>
      </c>
      <c r="BO1217" t="s">
        <v>2482</v>
      </c>
      <c r="BP1217" t="s">
        <v>74</v>
      </c>
      <c r="BQ1217" t="s">
        <v>74</v>
      </c>
      <c r="BR1217" t="s">
        <v>97</v>
      </c>
      <c r="BS1217" t="s">
        <v>20448</v>
      </c>
      <c r="BT1217" t="str">
        <f>HYPERLINK("https%3A%2F%2Fwww.webofscience.com%2Fwos%2Fwoscc%2Ffull-record%2FWOS:000880505000001","View Full Record in Web of Science")</f>
        <v>View Full Record in Web of Science</v>
      </c>
    </row>
    <row r="1218" spans="1:72" x14ac:dyDescent="0.25">
      <c r="A1218" t="s">
        <v>72</v>
      </c>
      <c r="B1218" t="s">
        <v>20449</v>
      </c>
      <c r="C1218" t="s">
        <v>74</v>
      </c>
      <c r="D1218" t="s">
        <v>74</v>
      </c>
      <c r="E1218" t="s">
        <v>74</v>
      </c>
      <c r="F1218" t="s">
        <v>20450</v>
      </c>
      <c r="G1218" t="s">
        <v>74</v>
      </c>
      <c r="H1218" t="s">
        <v>74</v>
      </c>
      <c r="I1218" t="s">
        <v>20451</v>
      </c>
      <c r="J1218" t="s">
        <v>20452</v>
      </c>
      <c r="K1218" t="s">
        <v>74</v>
      </c>
      <c r="L1218" t="s">
        <v>74</v>
      </c>
      <c r="M1218" t="s">
        <v>77</v>
      </c>
      <c r="N1218" t="s">
        <v>78</v>
      </c>
      <c r="O1218" t="s">
        <v>74</v>
      </c>
      <c r="P1218" t="s">
        <v>74</v>
      </c>
      <c r="Q1218" t="s">
        <v>74</v>
      </c>
      <c r="R1218" t="s">
        <v>74</v>
      </c>
      <c r="S1218" t="s">
        <v>74</v>
      </c>
      <c r="T1218" t="s">
        <v>20453</v>
      </c>
      <c r="U1218" t="s">
        <v>20454</v>
      </c>
      <c r="V1218" t="s">
        <v>20455</v>
      </c>
      <c r="W1218" t="s">
        <v>20456</v>
      </c>
      <c r="X1218" t="s">
        <v>20457</v>
      </c>
      <c r="Y1218" t="s">
        <v>20458</v>
      </c>
      <c r="Z1218" t="s">
        <v>20459</v>
      </c>
      <c r="AA1218" t="s">
        <v>74</v>
      </c>
      <c r="AB1218" t="s">
        <v>74</v>
      </c>
      <c r="AC1218" t="s">
        <v>20460</v>
      </c>
      <c r="AD1218" t="s">
        <v>20461</v>
      </c>
      <c r="AE1218" t="s">
        <v>20462</v>
      </c>
      <c r="AF1218" t="s">
        <v>74</v>
      </c>
      <c r="AG1218">
        <v>39</v>
      </c>
      <c r="AH1218">
        <v>0</v>
      </c>
      <c r="AI1218">
        <v>0</v>
      </c>
      <c r="AJ1218">
        <v>5</v>
      </c>
      <c r="AK1218">
        <v>8</v>
      </c>
      <c r="AL1218" t="s">
        <v>3195</v>
      </c>
      <c r="AM1218" t="s">
        <v>3196</v>
      </c>
      <c r="AN1218" t="s">
        <v>3197</v>
      </c>
      <c r="AO1218" t="s">
        <v>20463</v>
      </c>
      <c r="AP1218" t="s">
        <v>74</v>
      </c>
      <c r="AQ1218" t="s">
        <v>74</v>
      </c>
      <c r="AR1218" t="s">
        <v>20464</v>
      </c>
      <c r="AS1218" t="s">
        <v>20465</v>
      </c>
      <c r="AT1218" t="s">
        <v>9366</v>
      </c>
      <c r="AU1218">
        <v>2022</v>
      </c>
      <c r="AV1218">
        <v>10</v>
      </c>
      <c r="AW1218" t="s">
        <v>74</v>
      </c>
      <c r="AX1218" t="s">
        <v>74</v>
      </c>
      <c r="AY1218" t="s">
        <v>74</v>
      </c>
      <c r="AZ1218" t="s">
        <v>74</v>
      </c>
      <c r="BA1218" t="s">
        <v>74</v>
      </c>
      <c r="BB1218" t="s">
        <v>74</v>
      </c>
      <c r="BC1218" t="s">
        <v>74</v>
      </c>
      <c r="BD1218">
        <v>935621</v>
      </c>
      <c r="BE1218" t="s">
        <v>20466</v>
      </c>
      <c r="BF1218" t="str">
        <f>HYPERLINK("http://dx.doi.org/10.3389/fevo.2022.935621","http://dx.doi.org/10.3389/fevo.2022.935621")</f>
        <v>http://dx.doi.org/10.3389/fevo.2022.935621</v>
      </c>
      <c r="BG1218" t="s">
        <v>74</v>
      </c>
      <c r="BH1218" t="s">
        <v>74</v>
      </c>
      <c r="BI1218">
        <v>9</v>
      </c>
      <c r="BJ1218" t="s">
        <v>9151</v>
      </c>
      <c r="BK1218" t="s">
        <v>283</v>
      </c>
      <c r="BL1218" t="s">
        <v>5337</v>
      </c>
      <c r="BM1218" t="s">
        <v>20467</v>
      </c>
      <c r="BN1218" t="s">
        <v>74</v>
      </c>
      <c r="BO1218" t="s">
        <v>2482</v>
      </c>
      <c r="BP1218" t="s">
        <v>74</v>
      </c>
      <c r="BQ1218" t="s">
        <v>74</v>
      </c>
      <c r="BR1218" t="s">
        <v>97</v>
      </c>
      <c r="BS1218" t="s">
        <v>20468</v>
      </c>
      <c r="BT1218" t="str">
        <f>HYPERLINK("https%3A%2F%2Fwww.webofscience.com%2Fwos%2Fwoscc%2Ffull-record%2FWOS:000844680500001","View Full Record in Web of Science")</f>
        <v>View Full Record in Web of Science</v>
      </c>
    </row>
    <row r="1219" spans="1:72" x14ac:dyDescent="0.25">
      <c r="A1219" t="s">
        <v>72</v>
      </c>
      <c r="B1219" t="s">
        <v>20469</v>
      </c>
      <c r="C1219" t="s">
        <v>74</v>
      </c>
      <c r="D1219" t="s">
        <v>74</v>
      </c>
      <c r="E1219" t="s">
        <v>74</v>
      </c>
      <c r="F1219" t="s">
        <v>20470</v>
      </c>
      <c r="G1219" t="s">
        <v>74</v>
      </c>
      <c r="H1219" t="s">
        <v>74</v>
      </c>
      <c r="I1219" t="s">
        <v>20471</v>
      </c>
      <c r="J1219" t="s">
        <v>20472</v>
      </c>
      <c r="K1219" t="s">
        <v>74</v>
      </c>
      <c r="L1219" t="s">
        <v>74</v>
      </c>
      <c r="M1219" t="s">
        <v>77</v>
      </c>
      <c r="N1219" t="s">
        <v>78</v>
      </c>
      <c r="O1219" t="s">
        <v>74</v>
      </c>
      <c r="P1219" t="s">
        <v>74</v>
      </c>
      <c r="Q1219" t="s">
        <v>74</v>
      </c>
      <c r="R1219" t="s">
        <v>74</v>
      </c>
      <c r="S1219" t="s">
        <v>74</v>
      </c>
      <c r="T1219" t="s">
        <v>20473</v>
      </c>
      <c r="U1219" t="s">
        <v>20474</v>
      </c>
      <c r="V1219" t="s">
        <v>20475</v>
      </c>
      <c r="W1219" t="s">
        <v>20476</v>
      </c>
      <c r="X1219" t="s">
        <v>20477</v>
      </c>
      <c r="Y1219" t="s">
        <v>20478</v>
      </c>
      <c r="Z1219" t="s">
        <v>20479</v>
      </c>
      <c r="AA1219" t="s">
        <v>20480</v>
      </c>
      <c r="AB1219" t="s">
        <v>20481</v>
      </c>
      <c r="AC1219" t="s">
        <v>20482</v>
      </c>
      <c r="AD1219" t="s">
        <v>74</v>
      </c>
      <c r="AE1219" t="s">
        <v>20483</v>
      </c>
      <c r="AF1219" t="s">
        <v>74</v>
      </c>
      <c r="AG1219">
        <v>76</v>
      </c>
      <c r="AH1219">
        <v>0</v>
      </c>
      <c r="AI1219">
        <v>0</v>
      </c>
      <c r="AJ1219">
        <v>0</v>
      </c>
      <c r="AK1219">
        <v>2</v>
      </c>
      <c r="AL1219" t="s">
        <v>2473</v>
      </c>
      <c r="AM1219" t="s">
        <v>2102</v>
      </c>
      <c r="AN1219" t="s">
        <v>2474</v>
      </c>
      <c r="AO1219" t="s">
        <v>74</v>
      </c>
      <c r="AP1219" t="s">
        <v>20484</v>
      </c>
      <c r="AQ1219" t="s">
        <v>74</v>
      </c>
      <c r="AR1219" t="s">
        <v>20472</v>
      </c>
      <c r="AS1219" t="s">
        <v>20485</v>
      </c>
      <c r="AT1219" t="s">
        <v>392</v>
      </c>
      <c r="AU1219">
        <v>2022</v>
      </c>
      <c r="AV1219">
        <v>15</v>
      </c>
      <c r="AW1219">
        <v>15</v>
      </c>
      <c r="AX1219" t="s">
        <v>74</v>
      </c>
      <c r="AY1219" t="s">
        <v>74</v>
      </c>
      <c r="AZ1219" t="s">
        <v>74</v>
      </c>
      <c r="BA1219" t="s">
        <v>74</v>
      </c>
      <c r="BB1219" t="s">
        <v>74</v>
      </c>
      <c r="BC1219" t="s">
        <v>74</v>
      </c>
      <c r="BD1219">
        <v>5674</v>
      </c>
      <c r="BE1219" t="s">
        <v>20486</v>
      </c>
      <c r="BF1219" t="str">
        <f>HYPERLINK("http://dx.doi.org/10.3390/en15155674","http://dx.doi.org/10.3390/en15155674")</f>
        <v>http://dx.doi.org/10.3390/en15155674</v>
      </c>
      <c r="BG1219" t="s">
        <v>74</v>
      </c>
      <c r="BH1219" t="s">
        <v>74</v>
      </c>
      <c r="BI1219">
        <v>15</v>
      </c>
      <c r="BJ1219" t="s">
        <v>19481</v>
      </c>
      <c r="BK1219" t="s">
        <v>283</v>
      </c>
      <c r="BL1219" t="s">
        <v>19481</v>
      </c>
      <c r="BM1219" t="s">
        <v>20487</v>
      </c>
      <c r="BN1219" t="s">
        <v>74</v>
      </c>
      <c r="BO1219" t="s">
        <v>2482</v>
      </c>
      <c r="BP1219" t="s">
        <v>74</v>
      </c>
      <c r="BQ1219" t="s">
        <v>74</v>
      </c>
      <c r="BR1219" t="s">
        <v>97</v>
      </c>
      <c r="BS1219" t="s">
        <v>20488</v>
      </c>
      <c r="BT1219" t="str">
        <f>HYPERLINK("https%3A%2F%2Fwww.webofscience.com%2Fwos%2Fwoscc%2Ffull-record%2FWOS:000839673700001","View Full Record in Web of Science")</f>
        <v>View Full Record in Web of Science</v>
      </c>
    </row>
    <row r="1220" spans="1:72" x14ac:dyDescent="0.25">
      <c r="A1220" t="s">
        <v>72</v>
      </c>
      <c r="B1220" t="s">
        <v>20489</v>
      </c>
      <c r="C1220" t="s">
        <v>74</v>
      </c>
      <c r="D1220" t="s">
        <v>74</v>
      </c>
      <c r="E1220" t="s">
        <v>74</v>
      </c>
      <c r="F1220" t="s">
        <v>20490</v>
      </c>
      <c r="G1220" t="s">
        <v>74</v>
      </c>
      <c r="H1220" t="s">
        <v>74</v>
      </c>
      <c r="I1220" t="s">
        <v>20491</v>
      </c>
      <c r="J1220" t="s">
        <v>3184</v>
      </c>
      <c r="K1220" t="s">
        <v>74</v>
      </c>
      <c r="L1220" t="s">
        <v>74</v>
      </c>
      <c r="M1220" t="s">
        <v>77</v>
      </c>
      <c r="N1220" t="s">
        <v>78</v>
      </c>
      <c r="O1220" t="s">
        <v>74</v>
      </c>
      <c r="P1220" t="s">
        <v>74</v>
      </c>
      <c r="Q1220" t="s">
        <v>74</v>
      </c>
      <c r="R1220" t="s">
        <v>74</v>
      </c>
      <c r="S1220" t="s">
        <v>74</v>
      </c>
      <c r="T1220" t="s">
        <v>20492</v>
      </c>
      <c r="U1220" t="s">
        <v>20493</v>
      </c>
      <c r="V1220" t="s">
        <v>20494</v>
      </c>
      <c r="W1220" t="s">
        <v>20495</v>
      </c>
      <c r="X1220" t="s">
        <v>20496</v>
      </c>
      <c r="Y1220" t="s">
        <v>20497</v>
      </c>
      <c r="Z1220" t="s">
        <v>20498</v>
      </c>
      <c r="AA1220" t="s">
        <v>74</v>
      </c>
      <c r="AB1220" t="s">
        <v>20499</v>
      </c>
      <c r="AC1220" t="s">
        <v>20500</v>
      </c>
      <c r="AD1220" t="s">
        <v>20501</v>
      </c>
      <c r="AE1220" t="s">
        <v>20502</v>
      </c>
      <c r="AF1220" t="s">
        <v>74</v>
      </c>
      <c r="AG1220">
        <v>85</v>
      </c>
      <c r="AH1220">
        <v>0</v>
      </c>
      <c r="AI1220">
        <v>0</v>
      </c>
      <c r="AJ1220">
        <v>6</v>
      </c>
      <c r="AK1220">
        <v>12</v>
      </c>
      <c r="AL1220" t="s">
        <v>3195</v>
      </c>
      <c r="AM1220" t="s">
        <v>3196</v>
      </c>
      <c r="AN1220" t="s">
        <v>3197</v>
      </c>
      <c r="AO1220" t="s">
        <v>3198</v>
      </c>
      <c r="AP1220" t="s">
        <v>74</v>
      </c>
      <c r="AQ1220" t="s">
        <v>74</v>
      </c>
      <c r="AR1220" t="s">
        <v>3199</v>
      </c>
      <c r="AS1220" t="s">
        <v>3200</v>
      </c>
      <c r="AT1220" t="s">
        <v>20503</v>
      </c>
      <c r="AU1220">
        <v>2022</v>
      </c>
      <c r="AV1220">
        <v>13</v>
      </c>
      <c r="AW1220" t="s">
        <v>74</v>
      </c>
      <c r="AX1220" t="s">
        <v>74</v>
      </c>
      <c r="AY1220" t="s">
        <v>74</v>
      </c>
      <c r="AZ1220" t="s">
        <v>74</v>
      </c>
      <c r="BA1220" t="s">
        <v>74</v>
      </c>
      <c r="BB1220" t="s">
        <v>74</v>
      </c>
      <c r="BC1220" t="s">
        <v>74</v>
      </c>
      <c r="BD1220">
        <v>945304</v>
      </c>
      <c r="BE1220" t="s">
        <v>20504</v>
      </c>
      <c r="BF1220" t="str">
        <f>HYPERLINK("http://dx.doi.org/10.3389/fpsyg.2022.945304","http://dx.doi.org/10.3389/fpsyg.2022.945304")</f>
        <v>http://dx.doi.org/10.3389/fpsyg.2022.945304</v>
      </c>
      <c r="BG1220" t="s">
        <v>74</v>
      </c>
      <c r="BH1220" t="s">
        <v>74</v>
      </c>
      <c r="BI1220">
        <v>15</v>
      </c>
      <c r="BJ1220" t="s">
        <v>3203</v>
      </c>
      <c r="BK1220" t="s">
        <v>94</v>
      </c>
      <c r="BL1220" t="s">
        <v>460</v>
      </c>
      <c r="BM1220" t="s">
        <v>20505</v>
      </c>
      <c r="BN1220">
        <v>35992470</v>
      </c>
      <c r="BO1220" t="s">
        <v>3205</v>
      </c>
      <c r="BP1220" t="s">
        <v>74</v>
      </c>
      <c r="BQ1220" t="s">
        <v>74</v>
      </c>
      <c r="BR1220" t="s">
        <v>97</v>
      </c>
      <c r="BS1220" t="s">
        <v>20506</v>
      </c>
      <c r="BT1220" t="str">
        <f>HYPERLINK("https%3A%2F%2Fwww.webofscience.com%2Fwos%2Fwoscc%2Ffull-record%2FWOS:000841994900001","View Full Record in Web of Science")</f>
        <v>View Full Record in Web of Science</v>
      </c>
    </row>
    <row r="1221" spans="1:72" x14ac:dyDescent="0.25">
      <c r="A1221" t="s">
        <v>72</v>
      </c>
      <c r="B1221" t="s">
        <v>20507</v>
      </c>
      <c r="C1221" t="s">
        <v>74</v>
      </c>
      <c r="D1221" t="s">
        <v>74</v>
      </c>
      <c r="E1221" t="s">
        <v>74</v>
      </c>
      <c r="F1221" t="s">
        <v>20508</v>
      </c>
      <c r="G1221" t="s">
        <v>74</v>
      </c>
      <c r="H1221" t="s">
        <v>74</v>
      </c>
      <c r="I1221" t="s">
        <v>20509</v>
      </c>
      <c r="J1221" t="s">
        <v>3184</v>
      </c>
      <c r="K1221" t="s">
        <v>74</v>
      </c>
      <c r="L1221" t="s">
        <v>74</v>
      </c>
      <c r="M1221" t="s">
        <v>77</v>
      </c>
      <c r="N1221" t="s">
        <v>78</v>
      </c>
      <c r="O1221" t="s">
        <v>74</v>
      </c>
      <c r="P1221" t="s">
        <v>74</v>
      </c>
      <c r="Q1221" t="s">
        <v>74</v>
      </c>
      <c r="R1221" t="s">
        <v>74</v>
      </c>
      <c r="S1221" t="s">
        <v>74</v>
      </c>
      <c r="T1221" t="s">
        <v>20510</v>
      </c>
      <c r="U1221" t="s">
        <v>20511</v>
      </c>
      <c r="V1221" t="s">
        <v>20512</v>
      </c>
      <c r="W1221" t="s">
        <v>20513</v>
      </c>
      <c r="X1221" t="s">
        <v>20514</v>
      </c>
      <c r="Y1221" t="s">
        <v>20515</v>
      </c>
      <c r="Z1221" t="s">
        <v>20516</v>
      </c>
      <c r="AA1221" t="s">
        <v>12529</v>
      </c>
      <c r="AB1221" t="s">
        <v>74</v>
      </c>
      <c r="AC1221" t="s">
        <v>74</v>
      </c>
      <c r="AD1221" t="s">
        <v>74</v>
      </c>
      <c r="AE1221" t="s">
        <v>74</v>
      </c>
      <c r="AF1221" t="s">
        <v>74</v>
      </c>
      <c r="AG1221">
        <v>60</v>
      </c>
      <c r="AH1221">
        <v>0</v>
      </c>
      <c r="AI1221">
        <v>0</v>
      </c>
      <c r="AJ1221">
        <v>9</v>
      </c>
      <c r="AK1221">
        <v>17</v>
      </c>
      <c r="AL1221" t="s">
        <v>3195</v>
      </c>
      <c r="AM1221" t="s">
        <v>3196</v>
      </c>
      <c r="AN1221" t="s">
        <v>3197</v>
      </c>
      <c r="AO1221" t="s">
        <v>3198</v>
      </c>
      <c r="AP1221" t="s">
        <v>74</v>
      </c>
      <c r="AQ1221" t="s">
        <v>74</v>
      </c>
      <c r="AR1221" t="s">
        <v>3199</v>
      </c>
      <c r="AS1221" t="s">
        <v>3200</v>
      </c>
      <c r="AT1221" t="s">
        <v>713</v>
      </c>
      <c r="AU1221">
        <v>2022</v>
      </c>
      <c r="AV1221">
        <v>13</v>
      </c>
      <c r="AW1221" t="s">
        <v>74</v>
      </c>
      <c r="AX1221" t="s">
        <v>74</v>
      </c>
      <c r="AY1221" t="s">
        <v>74</v>
      </c>
      <c r="AZ1221" t="s">
        <v>74</v>
      </c>
      <c r="BA1221" t="s">
        <v>74</v>
      </c>
      <c r="BB1221" t="s">
        <v>74</v>
      </c>
      <c r="BC1221" t="s">
        <v>74</v>
      </c>
      <c r="BD1221">
        <v>870318</v>
      </c>
      <c r="BE1221" t="s">
        <v>20517</v>
      </c>
      <c r="BF1221" t="str">
        <f>HYPERLINK("http://dx.doi.org/10.3389/fpsyg.2022.870318","http://dx.doi.org/10.3389/fpsyg.2022.870318")</f>
        <v>http://dx.doi.org/10.3389/fpsyg.2022.870318</v>
      </c>
      <c r="BG1221" t="s">
        <v>74</v>
      </c>
      <c r="BH1221" t="s">
        <v>74</v>
      </c>
      <c r="BI1221">
        <v>14</v>
      </c>
      <c r="BJ1221" t="s">
        <v>3203</v>
      </c>
      <c r="BK1221" t="s">
        <v>94</v>
      </c>
      <c r="BL1221" t="s">
        <v>460</v>
      </c>
      <c r="BM1221" t="s">
        <v>20518</v>
      </c>
      <c r="BN1221">
        <v>35936348</v>
      </c>
      <c r="BO1221" t="s">
        <v>3205</v>
      </c>
      <c r="BP1221" t="s">
        <v>74</v>
      </c>
      <c r="BQ1221" t="s">
        <v>74</v>
      </c>
      <c r="BR1221" t="s">
        <v>97</v>
      </c>
      <c r="BS1221" t="s">
        <v>20519</v>
      </c>
      <c r="BT1221" t="str">
        <f>HYPERLINK("https%3A%2F%2Fwww.webofscience.com%2Fwos%2Fwoscc%2Ffull-record%2FWOS:000837221300001","View Full Record in Web of Science")</f>
        <v>View Full Record in Web of Science</v>
      </c>
    </row>
    <row r="1222" spans="1:72" x14ac:dyDescent="0.25">
      <c r="A1222" t="s">
        <v>72</v>
      </c>
      <c r="B1222" t="s">
        <v>20520</v>
      </c>
      <c r="C1222" t="s">
        <v>74</v>
      </c>
      <c r="D1222" t="s">
        <v>74</v>
      </c>
      <c r="E1222" t="s">
        <v>74</v>
      </c>
      <c r="F1222" t="s">
        <v>20521</v>
      </c>
      <c r="G1222" t="s">
        <v>74</v>
      </c>
      <c r="H1222" t="s">
        <v>74</v>
      </c>
      <c r="I1222" t="s">
        <v>20522</v>
      </c>
      <c r="J1222" t="s">
        <v>3184</v>
      </c>
      <c r="K1222" t="s">
        <v>74</v>
      </c>
      <c r="L1222" t="s">
        <v>74</v>
      </c>
      <c r="M1222" t="s">
        <v>77</v>
      </c>
      <c r="N1222" t="s">
        <v>78</v>
      </c>
      <c r="O1222" t="s">
        <v>74</v>
      </c>
      <c r="P1222" t="s">
        <v>74</v>
      </c>
      <c r="Q1222" t="s">
        <v>74</v>
      </c>
      <c r="R1222" t="s">
        <v>74</v>
      </c>
      <c r="S1222" t="s">
        <v>74</v>
      </c>
      <c r="T1222" t="s">
        <v>20523</v>
      </c>
      <c r="U1222" t="s">
        <v>20524</v>
      </c>
      <c r="V1222" t="s">
        <v>20525</v>
      </c>
      <c r="W1222" t="s">
        <v>20526</v>
      </c>
      <c r="X1222" t="s">
        <v>9771</v>
      </c>
      <c r="Y1222" t="s">
        <v>20527</v>
      </c>
      <c r="Z1222" t="s">
        <v>9773</v>
      </c>
      <c r="AA1222" t="s">
        <v>74</v>
      </c>
      <c r="AB1222" t="s">
        <v>74</v>
      </c>
      <c r="AC1222" t="s">
        <v>20528</v>
      </c>
      <c r="AD1222" t="s">
        <v>20529</v>
      </c>
      <c r="AE1222" t="s">
        <v>20530</v>
      </c>
      <c r="AF1222" t="s">
        <v>74</v>
      </c>
      <c r="AG1222">
        <v>82</v>
      </c>
      <c r="AH1222">
        <v>0</v>
      </c>
      <c r="AI1222">
        <v>0</v>
      </c>
      <c r="AJ1222">
        <v>38</v>
      </c>
      <c r="AK1222">
        <v>61</v>
      </c>
      <c r="AL1222" t="s">
        <v>3195</v>
      </c>
      <c r="AM1222" t="s">
        <v>3196</v>
      </c>
      <c r="AN1222" t="s">
        <v>3197</v>
      </c>
      <c r="AO1222" t="s">
        <v>3198</v>
      </c>
      <c r="AP1222" t="s">
        <v>74</v>
      </c>
      <c r="AQ1222" t="s">
        <v>74</v>
      </c>
      <c r="AR1222" t="s">
        <v>3199</v>
      </c>
      <c r="AS1222" t="s">
        <v>3200</v>
      </c>
      <c r="AT1222" t="s">
        <v>713</v>
      </c>
      <c r="AU1222">
        <v>2022</v>
      </c>
      <c r="AV1222">
        <v>13</v>
      </c>
      <c r="AW1222" t="s">
        <v>74</v>
      </c>
      <c r="AX1222" t="s">
        <v>74</v>
      </c>
      <c r="AY1222" t="s">
        <v>74</v>
      </c>
      <c r="AZ1222" t="s">
        <v>74</v>
      </c>
      <c r="BA1222" t="s">
        <v>74</v>
      </c>
      <c r="BB1222" t="s">
        <v>74</v>
      </c>
      <c r="BC1222" t="s">
        <v>74</v>
      </c>
      <c r="BD1222">
        <v>699411</v>
      </c>
      <c r="BE1222" t="s">
        <v>20531</v>
      </c>
      <c r="BF1222" t="str">
        <f>HYPERLINK("http://dx.doi.org/10.3389/fpsyg.2022.699411","http://dx.doi.org/10.3389/fpsyg.2022.699411")</f>
        <v>http://dx.doi.org/10.3389/fpsyg.2022.699411</v>
      </c>
      <c r="BG1222" t="s">
        <v>74</v>
      </c>
      <c r="BH1222" t="s">
        <v>74</v>
      </c>
      <c r="BI1222">
        <v>13</v>
      </c>
      <c r="BJ1222" t="s">
        <v>3203</v>
      </c>
      <c r="BK1222" t="s">
        <v>94</v>
      </c>
      <c r="BL1222" t="s">
        <v>460</v>
      </c>
      <c r="BM1222" t="s">
        <v>20532</v>
      </c>
      <c r="BN1222">
        <v>35936345</v>
      </c>
      <c r="BO1222" t="s">
        <v>3205</v>
      </c>
      <c r="BP1222" t="s">
        <v>74</v>
      </c>
      <c r="BQ1222" t="s">
        <v>74</v>
      </c>
      <c r="BR1222" t="s">
        <v>97</v>
      </c>
      <c r="BS1222" t="s">
        <v>20533</v>
      </c>
      <c r="BT1222" t="str">
        <f>HYPERLINK("https%3A%2F%2Fwww.webofscience.com%2Fwos%2Fwoscc%2Ffull-record%2FWOS:000837096300001","View Full Record in Web of Science")</f>
        <v>View Full Record in Web of Science</v>
      </c>
    </row>
    <row r="1223" spans="1:72" x14ac:dyDescent="0.25">
      <c r="A1223" t="s">
        <v>72</v>
      </c>
      <c r="B1223" t="s">
        <v>20534</v>
      </c>
      <c r="C1223" t="s">
        <v>74</v>
      </c>
      <c r="D1223" t="s">
        <v>74</v>
      </c>
      <c r="E1223" t="s">
        <v>74</v>
      </c>
      <c r="F1223" t="s">
        <v>20535</v>
      </c>
      <c r="G1223" t="s">
        <v>74</v>
      </c>
      <c r="H1223" t="s">
        <v>74</v>
      </c>
      <c r="I1223" t="s">
        <v>20536</v>
      </c>
      <c r="J1223" t="s">
        <v>20537</v>
      </c>
      <c r="K1223" t="s">
        <v>74</v>
      </c>
      <c r="L1223" t="s">
        <v>74</v>
      </c>
      <c r="M1223" t="s">
        <v>77</v>
      </c>
      <c r="N1223" t="s">
        <v>78</v>
      </c>
      <c r="O1223" t="s">
        <v>74</v>
      </c>
      <c r="P1223" t="s">
        <v>74</v>
      </c>
      <c r="Q1223" t="s">
        <v>74</v>
      </c>
      <c r="R1223" t="s">
        <v>74</v>
      </c>
      <c r="S1223" t="s">
        <v>74</v>
      </c>
      <c r="T1223" t="s">
        <v>74</v>
      </c>
      <c r="U1223" t="s">
        <v>74</v>
      </c>
      <c r="V1223" t="s">
        <v>20538</v>
      </c>
      <c r="W1223" t="s">
        <v>20539</v>
      </c>
      <c r="X1223" t="s">
        <v>20540</v>
      </c>
      <c r="Y1223" t="s">
        <v>20541</v>
      </c>
      <c r="Z1223" t="s">
        <v>20542</v>
      </c>
      <c r="AA1223" t="s">
        <v>74</v>
      </c>
      <c r="AB1223" t="s">
        <v>20543</v>
      </c>
      <c r="AC1223" t="s">
        <v>20544</v>
      </c>
      <c r="AD1223" t="s">
        <v>20545</v>
      </c>
      <c r="AE1223" t="s">
        <v>20546</v>
      </c>
      <c r="AF1223" t="s">
        <v>74</v>
      </c>
      <c r="AG1223">
        <v>24</v>
      </c>
      <c r="AH1223">
        <v>0</v>
      </c>
      <c r="AI1223">
        <v>0</v>
      </c>
      <c r="AJ1223">
        <v>0</v>
      </c>
      <c r="AK1223">
        <v>1</v>
      </c>
      <c r="AL1223" t="s">
        <v>15981</v>
      </c>
      <c r="AM1223" t="s">
        <v>541</v>
      </c>
      <c r="AN1223" t="s">
        <v>15982</v>
      </c>
      <c r="AO1223" t="s">
        <v>20547</v>
      </c>
      <c r="AP1223" t="s">
        <v>20548</v>
      </c>
      <c r="AQ1223" t="s">
        <v>74</v>
      </c>
      <c r="AR1223" t="s">
        <v>20549</v>
      </c>
      <c r="AS1223" t="s">
        <v>20550</v>
      </c>
      <c r="AT1223" t="s">
        <v>20551</v>
      </c>
      <c r="AU1223">
        <v>2022</v>
      </c>
      <c r="AV1223">
        <v>2022</v>
      </c>
      <c r="AW1223" t="s">
        <v>74</v>
      </c>
      <c r="AX1223" t="s">
        <v>74</v>
      </c>
      <c r="AY1223" t="s">
        <v>74</v>
      </c>
      <c r="AZ1223" t="s">
        <v>74</v>
      </c>
      <c r="BA1223" t="s">
        <v>74</v>
      </c>
      <c r="BB1223" t="s">
        <v>74</v>
      </c>
      <c r="BC1223" t="s">
        <v>74</v>
      </c>
      <c r="BD1223">
        <v>2959583</v>
      </c>
      <c r="BE1223" t="s">
        <v>20552</v>
      </c>
      <c r="BF1223" t="str">
        <f>HYPERLINK("http://dx.doi.org/10.1155/2022/2959583","http://dx.doi.org/10.1155/2022/2959583")</f>
        <v>http://dx.doi.org/10.1155/2022/2959583</v>
      </c>
      <c r="BG1223" t="s">
        <v>74</v>
      </c>
      <c r="BH1223" t="s">
        <v>74</v>
      </c>
      <c r="BI1223">
        <v>7</v>
      </c>
      <c r="BJ1223" t="s">
        <v>20553</v>
      </c>
      <c r="BK1223" t="s">
        <v>283</v>
      </c>
      <c r="BL1223" t="s">
        <v>20554</v>
      </c>
      <c r="BM1223" t="s">
        <v>20555</v>
      </c>
      <c r="BN1223">
        <v>35909470</v>
      </c>
      <c r="BO1223" t="s">
        <v>4398</v>
      </c>
      <c r="BP1223" t="s">
        <v>74</v>
      </c>
      <c r="BQ1223" t="s">
        <v>74</v>
      </c>
      <c r="BR1223" t="s">
        <v>97</v>
      </c>
      <c r="BS1223" t="s">
        <v>20556</v>
      </c>
      <c r="BT1223" t="str">
        <f>HYPERLINK("https%3A%2F%2Fwww.webofscience.com%2Fwos%2Fwoscc%2Ffull-record%2FWOS:000835182800006","View Full Record in Web of Science")</f>
        <v>View Full Record in Web of Science</v>
      </c>
    </row>
    <row r="1224" spans="1:72" x14ac:dyDescent="0.25">
      <c r="A1224" t="s">
        <v>72</v>
      </c>
      <c r="B1224" t="s">
        <v>20557</v>
      </c>
      <c r="C1224" t="s">
        <v>74</v>
      </c>
      <c r="D1224" t="s">
        <v>74</v>
      </c>
      <c r="E1224" t="s">
        <v>74</v>
      </c>
      <c r="F1224" t="s">
        <v>20558</v>
      </c>
      <c r="G1224" t="s">
        <v>74</v>
      </c>
      <c r="H1224" t="s">
        <v>74</v>
      </c>
      <c r="I1224" t="s">
        <v>20559</v>
      </c>
      <c r="J1224" t="s">
        <v>2678</v>
      </c>
      <c r="K1224" t="s">
        <v>74</v>
      </c>
      <c r="L1224" t="s">
        <v>74</v>
      </c>
      <c r="M1224" t="s">
        <v>77</v>
      </c>
      <c r="N1224" t="s">
        <v>78</v>
      </c>
      <c r="O1224" t="s">
        <v>74</v>
      </c>
      <c r="P1224" t="s">
        <v>74</v>
      </c>
      <c r="Q1224" t="s">
        <v>74</v>
      </c>
      <c r="R1224" t="s">
        <v>74</v>
      </c>
      <c r="S1224" t="s">
        <v>74</v>
      </c>
      <c r="T1224" t="s">
        <v>74</v>
      </c>
      <c r="U1224" t="s">
        <v>20560</v>
      </c>
      <c r="V1224" t="s">
        <v>20561</v>
      </c>
      <c r="W1224" t="s">
        <v>20562</v>
      </c>
      <c r="X1224" t="s">
        <v>20563</v>
      </c>
      <c r="Y1224" t="s">
        <v>20564</v>
      </c>
      <c r="Z1224" t="s">
        <v>20565</v>
      </c>
      <c r="AA1224" t="s">
        <v>74</v>
      </c>
      <c r="AB1224" t="s">
        <v>74</v>
      </c>
      <c r="AC1224" t="s">
        <v>20566</v>
      </c>
      <c r="AD1224" t="s">
        <v>20567</v>
      </c>
      <c r="AE1224" t="s">
        <v>20568</v>
      </c>
      <c r="AF1224" t="s">
        <v>74</v>
      </c>
      <c r="AG1224">
        <v>102</v>
      </c>
      <c r="AH1224">
        <v>0</v>
      </c>
      <c r="AI1224">
        <v>0</v>
      </c>
      <c r="AJ1224">
        <v>9</v>
      </c>
      <c r="AK1224">
        <v>17</v>
      </c>
      <c r="AL1224" t="s">
        <v>1045</v>
      </c>
      <c r="AM1224" t="s">
        <v>1046</v>
      </c>
      <c r="AN1224" t="s">
        <v>1047</v>
      </c>
      <c r="AO1224" t="s">
        <v>2688</v>
      </c>
      <c r="AP1224" t="s">
        <v>74</v>
      </c>
      <c r="AQ1224" t="s">
        <v>74</v>
      </c>
      <c r="AR1224" t="s">
        <v>2678</v>
      </c>
      <c r="AS1224" t="s">
        <v>2689</v>
      </c>
      <c r="AT1224" t="s">
        <v>20569</v>
      </c>
      <c r="AU1224">
        <v>2022</v>
      </c>
      <c r="AV1224">
        <v>17</v>
      </c>
      <c r="AW1224">
        <v>7</v>
      </c>
      <c r="AX1224" t="s">
        <v>74</v>
      </c>
      <c r="AY1224" t="s">
        <v>74</v>
      </c>
      <c r="AZ1224" t="s">
        <v>74</v>
      </c>
      <c r="BA1224" t="s">
        <v>74</v>
      </c>
      <c r="BB1224" t="s">
        <v>74</v>
      </c>
      <c r="BC1224" t="s">
        <v>74</v>
      </c>
      <c r="BD1224" t="s">
        <v>20570</v>
      </c>
      <c r="BE1224" t="s">
        <v>20571</v>
      </c>
      <c r="BF1224" t="str">
        <f>HYPERLINK("http://dx.doi.org/10.1371/journal.pone.0271195","http://dx.doi.org/10.1371/journal.pone.0271195")</f>
        <v>http://dx.doi.org/10.1371/journal.pone.0271195</v>
      </c>
      <c r="BG1224" t="s">
        <v>74</v>
      </c>
      <c r="BH1224" t="s">
        <v>74</v>
      </c>
      <c r="BI1224">
        <v>19</v>
      </c>
      <c r="BJ1224" t="s">
        <v>282</v>
      </c>
      <c r="BK1224" t="s">
        <v>283</v>
      </c>
      <c r="BL1224" t="s">
        <v>284</v>
      </c>
      <c r="BM1224" t="s">
        <v>20572</v>
      </c>
      <c r="BN1224">
        <v>35802741</v>
      </c>
      <c r="BO1224" t="s">
        <v>3205</v>
      </c>
      <c r="BP1224" t="s">
        <v>74</v>
      </c>
      <c r="BQ1224" t="s">
        <v>74</v>
      </c>
      <c r="BR1224" t="s">
        <v>97</v>
      </c>
      <c r="BS1224" t="s">
        <v>20573</v>
      </c>
      <c r="BT1224" t="str">
        <f>HYPERLINK("https%3A%2F%2Fwww.webofscience.com%2Fwos%2Fwoscc%2Ffull-record%2FWOS:000844536800134","View Full Record in Web of Science")</f>
        <v>View Full Record in Web of Science</v>
      </c>
    </row>
    <row r="1225" spans="1:72" x14ac:dyDescent="0.25">
      <c r="A1225" t="s">
        <v>72</v>
      </c>
      <c r="B1225" t="s">
        <v>20574</v>
      </c>
      <c r="C1225" t="s">
        <v>74</v>
      </c>
      <c r="D1225" t="s">
        <v>74</v>
      </c>
      <c r="E1225" t="s">
        <v>74</v>
      </c>
      <c r="F1225" t="s">
        <v>20575</v>
      </c>
      <c r="G1225" t="s">
        <v>74</v>
      </c>
      <c r="H1225" t="s">
        <v>74</v>
      </c>
      <c r="I1225" t="s">
        <v>20576</v>
      </c>
      <c r="J1225" t="s">
        <v>9332</v>
      </c>
      <c r="K1225" t="s">
        <v>74</v>
      </c>
      <c r="L1225" t="s">
        <v>74</v>
      </c>
      <c r="M1225" t="s">
        <v>77</v>
      </c>
      <c r="N1225" t="s">
        <v>10095</v>
      </c>
      <c r="O1225" t="s">
        <v>74</v>
      </c>
      <c r="P1225" t="s">
        <v>74</v>
      </c>
      <c r="Q1225" t="s">
        <v>74</v>
      </c>
      <c r="R1225" t="s">
        <v>74</v>
      </c>
      <c r="S1225" t="s">
        <v>74</v>
      </c>
      <c r="T1225" t="s">
        <v>20577</v>
      </c>
      <c r="U1225" t="s">
        <v>20578</v>
      </c>
      <c r="V1225" t="s">
        <v>20579</v>
      </c>
      <c r="W1225" t="s">
        <v>20580</v>
      </c>
      <c r="X1225" t="s">
        <v>13192</v>
      </c>
      <c r="Y1225" t="s">
        <v>20581</v>
      </c>
      <c r="Z1225" t="s">
        <v>20582</v>
      </c>
      <c r="AA1225" t="s">
        <v>8001</v>
      </c>
      <c r="AB1225" t="s">
        <v>74</v>
      </c>
      <c r="AC1225" t="s">
        <v>74</v>
      </c>
      <c r="AD1225" t="s">
        <v>74</v>
      </c>
      <c r="AE1225" t="s">
        <v>74</v>
      </c>
      <c r="AF1225" t="s">
        <v>74</v>
      </c>
      <c r="AG1225">
        <v>83</v>
      </c>
      <c r="AH1225">
        <v>0</v>
      </c>
      <c r="AI1225">
        <v>0</v>
      </c>
      <c r="AJ1225">
        <v>10</v>
      </c>
      <c r="AK1225">
        <v>22</v>
      </c>
      <c r="AL1225" t="s">
        <v>766</v>
      </c>
      <c r="AM1225" t="s">
        <v>330</v>
      </c>
      <c r="AN1225" t="s">
        <v>1452</v>
      </c>
      <c r="AO1225" t="s">
        <v>9344</v>
      </c>
      <c r="AP1225" t="s">
        <v>9345</v>
      </c>
      <c r="AQ1225" t="s">
        <v>74</v>
      </c>
      <c r="AR1225" t="s">
        <v>9346</v>
      </c>
      <c r="AS1225" t="s">
        <v>9347</v>
      </c>
      <c r="AT1225" t="s">
        <v>74</v>
      </c>
      <c r="AU1225" t="s">
        <v>74</v>
      </c>
      <c r="AV1225" t="s">
        <v>74</v>
      </c>
      <c r="AW1225" t="s">
        <v>74</v>
      </c>
      <c r="AX1225" t="s">
        <v>74</v>
      </c>
      <c r="AY1225" t="s">
        <v>74</v>
      </c>
      <c r="AZ1225" t="s">
        <v>74</v>
      </c>
      <c r="BA1225" t="s">
        <v>74</v>
      </c>
      <c r="BB1225" t="s">
        <v>74</v>
      </c>
      <c r="BC1225" t="s">
        <v>74</v>
      </c>
      <c r="BD1225" t="s">
        <v>74</v>
      </c>
      <c r="BE1225" t="s">
        <v>20583</v>
      </c>
      <c r="BF1225" t="str">
        <f>HYPERLINK("http://dx.doi.org/10.1007/s12144-022-03400-8","http://dx.doi.org/10.1007/s12144-022-03400-8")</f>
        <v>http://dx.doi.org/10.1007/s12144-022-03400-8</v>
      </c>
      <c r="BG1225" t="s">
        <v>74</v>
      </c>
      <c r="BH1225" t="s">
        <v>11958</v>
      </c>
      <c r="BI1225">
        <v>12</v>
      </c>
      <c r="BJ1225" t="s">
        <v>3203</v>
      </c>
      <c r="BK1225" t="s">
        <v>94</v>
      </c>
      <c r="BL1225" t="s">
        <v>460</v>
      </c>
      <c r="BM1225" t="s">
        <v>20584</v>
      </c>
      <c r="BN1225" t="s">
        <v>74</v>
      </c>
      <c r="BO1225" t="s">
        <v>74</v>
      </c>
      <c r="BP1225" t="s">
        <v>74</v>
      </c>
      <c r="BQ1225" t="s">
        <v>74</v>
      </c>
      <c r="BR1225" t="s">
        <v>97</v>
      </c>
      <c r="BS1225" t="s">
        <v>20585</v>
      </c>
      <c r="BT1225" t="str">
        <f>HYPERLINK("https%3A%2F%2Fwww.webofscience.com%2Fwos%2Fwoscc%2Ffull-record%2FWOS:000819901400001","View Full Record in Web of Science")</f>
        <v>View Full Record in Web of Science</v>
      </c>
    </row>
    <row r="1226" spans="1:72" x14ac:dyDescent="0.25">
      <c r="A1226" t="s">
        <v>72</v>
      </c>
      <c r="B1226" t="s">
        <v>20586</v>
      </c>
      <c r="C1226" t="s">
        <v>74</v>
      </c>
      <c r="D1226" t="s">
        <v>74</v>
      </c>
      <c r="E1226" t="s">
        <v>74</v>
      </c>
      <c r="F1226" t="s">
        <v>20587</v>
      </c>
      <c r="G1226" t="s">
        <v>74</v>
      </c>
      <c r="H1226" t="s">
        <v>74</v>
      </c>
      <c r="I1226" t="s">
        <v>20588</v>
      </c>
      <c r="J1226" t="s">
        <v>8851</v>
      </c>
      <c r="K1226" t="s">
        <v>74</v>
      </c>
      <c r="L1226" t="s">
        <v>74</v>
      </c>
      <c r="M1226" t="s">
        <v>77</v>
      </c>
      <c r="N1226" t="s">
        <v>78</v>
      </c>
      <c r="O1226" t="s">
        <v>74</v>
      </c>
      <c r="P1226" t="s">
        <v>74</v>
      </c>
      <c r="Q1226" t="s">
        <v>74</v>
      </c>
      <c r="R1226" t="s">
        <v>74</v>
      </c>
      <c r="S1226" t="s">
        <v>74</v>
      </c>
      <c r="T1226" t="s">
        <v>20589</v>
      </c>
      <c r="U1226" t="s">
        <v>20590</v>
      </c>
      <c r="V1226" t="s">
        <v>20591</v>
      </c>
      <c r="W1226" t="s">
        <v>20592</v>
      </c>
      <c r="X1226" t="s">
        <v>5447</v>
      </c>
      <c r="Y1226" t="s">
        <v>20593</v>
      </c>
      <c r="Z1226" t="s">
        <v>20594</v>
      </c>
      <c r="AA1226" t="s">
        <v>20595</v>
      </c>
      <c r="AB1226" t="s">
        <v>20596</v>
      </c>
      <c r="AC1226" t="s">
        <v>74</v>
      </c>
      <c r="AD1226" t="s">
        <v>74</v>
      </c>
      <c r="AE1226" t="s">
        <v>74</v>
      </c>
      <c r="AF1226" t="s">
        <v>74</v>
      </c>
      <c r="AG1226">
        <v>76</v>
      </c>
      <c r="AH1226">
        <v>0</v>
      </c>
      <c r="AI1226">
        <v>0</v>
      </c>
      <c r="AJ1226">
        <v>17</v>
      </c>
      <c r="AK1226">
        <v>21</v>
      </c>
      <c r="AL1226" t="s">
        <v>350</v>
      </c>
      <c r="AM1226" t="s">
        <v>351</v>
      </c>
      <c r="AN1226" t="s">
        <v>352</v>
      </c>
      <c r="AO1226" t="s">
        <v>8864</v>
      </c>
      <c r="AP1226" t="s">
        <v>74</v>
      </c>
      <c r="AQ1226" t="s">
        <v>74</v>
      </c>
      <c r="AR1226" t="s">
        <v>8851</v>
      </c>
      <c r="AS1226" t="s">
        <v>8865</v>
      </c>
      <c r="AT1226" t="s">
        <v>792</v>
      </c>
      <c r="AU1226">
        <v>2022</v>
      </c>
      <c r="AV1226">
        <v>12</v>
      </c>
      <c r="AW1226">
        <v>3</v>
      </c>
      <c r="AX1226" t="s">
        <v>74</v>
      </c>
      <c r="AY1226" t="s">
        <v>74</v>
      </c>
      <c r="AZ1226" t="s">
        <v>74</v>
      </c>
      <c r="BA1226" t="s">
        <v>74</v>
      </c>
      <c r="BB1226" t="s">
        <v>74</v>
      </c>
      <c r="BC1226" t="s">
        <v>74</v>
      </c>
      <c r="BD1226">
        <v>2.1582440221109588E+16</v>
      </c>
      <c r="BE1226" t="s">
        <v>20597</v>
      </c>
      <c r="BF1226" t="str">
        <f>HYPERLINK("http://dx.doi.org/10.1177/21582440221109589","http://dx.doi.org/10.1177/21582440221109589")</f>
        <v>http://dx.doi.org/10.1177/21582440221109589</v>
      </c>
      <c r="BG1226" t="s">
        <v>74</v>
      </c>
      <c r="BH1226" t="s">
        <v>74</v>
      </c>
      <c r="BI1226">
        <v>15</v>
      </c>
      <c r="BJ1226" t="s">
        <v>8867</v>
      </c>
      <c r="BK1226" t="s">
        <v>94</v>
      </c>
      <c r="BL1226" t="s">
        <v>631</v>
      </c>
      <c r="BM1226" t="s">
        <v>20598</v>
      </c>
      <c r="BN1226" t="s">
        <v>74</v>
      </c>
      <c r="BO1226" t="s">
        <v>2482</v>
      </c>
      <c r="BP1226" t="s">
        <v>74</v>
      </c>
      <c r="BQ1226" t="s">
        <v>74</v>
      </c>
      <c r="BR1226" t="s">
        <v>97</v>
      </c>
      <c r="BS1226" t="s">
        <v>20599</v>
      </c>
      <c r="BT1226" t="str">
        <f>HYPERLINK("https%3A%2F%2Fwww.webofscience.com%2Fwos%2Fwoscc%2Ffull-record%2FWOS:000827465500001","View Full Record in Web of Science")</f>
        <v>View Full Record in Web of Science</v>
      </c>
    </row>
    <row r="1227" spans="1:72" x14ac:dyDescent="0.25">
      <c r="A1227" t="s">
        <v>72</v>
      </c>
      <c r="B1227" t="s">
        <v>20600</v>
      </c>
      <c r="C1227" t="s">
        <v>74</v>
      </c>
      <c r="D1227" t="s">
        <v>74</v>
      </c>
      <c r="E1227" t="s">
        <v>74</v>
      </c>
      <c r="F1227" t="s">
        <v>20601</v>
      </c>
      <c r="G1227" t="s">
        <v>74</v>
      </c>
      <c r="H1227" t="s">
        <v>74</v>
      </c>
      <c r="I1227" t="s">
        <v>20602</v>
      </c>
      <c r="J1227" t="s">
        <v>2059</v>
      </c>
      <c r="K1227" t="s">
        <v>74</v>
      </c>
      <c r="L1227" t="s">
        <v>74</v>
      </c>
      <c r="M1227" t="s">
        <v>77</v>
      </c>
      <c r="N1227" t="s">
        <v>78</v>
      </c>
      <c r="O1227" t="s">
        <v>74</v>
      </c>
      <c r="P1227" t="s">
        <v>74</v>
      </c>
      <c r="Q1227" t="s">
        <v>74</v>
      </c>
      <c r="R1227" t="s">
        <v>74</v>
      </c>
      <c r="S1227" t="s">
        <v>74</v>
      </c>
      <c r="T1227" t="s">
        <v>20603</v>
      </c>
      <c r="U1227" t="s">
        <v>20604</v>
      </c>
      <c r="V1227" t="s">
        <v>20605</v>
      </c>
      <c r="W1227" t="s">
        <v>20606</v>
      </c>
      <c r="X1227" t="s">
        <v>20607</v>
      </c>
      <c r="Y1227" t="s">
        <v>20608</v>
      </c>
      <c r="Z1227" t="s">
        <v>20609</v>
      </c>
      <c r="AA1227" t="s">
        <v>74</v>
      </c>
      <c r="AB1227" t="s">
        <v>74</v>
      </c>
      <c r="AC1227" t="s">
        <v>74</v>
      </c>
      <c r="AD1227" t="s">
        <v>74</v>
      </c>
      <c r="AE1227" t="s">
        <v>74</v>
      </c>
      <c r="AF1227" t="s">
        <v>74</v>
      </c>
      <c r="AG1227">
        <v>30</v>
      </c>
      <c r="AH1227">
        <v>0</v>
      </c>
      <c r="AI1227">
        <v>0</v>
      </c>
      <c r="AJ1227">
        <v>29</v>
      </c>
      <c r="AK1227">
        <v>43</v>
      </c>
      <c r="AL1227" t="s">
        <v>2067</v>
      </c>
      <c r="AM1227" t="s">
        <v>2068</v>
      </c>
      <c r="AN1227" t="s">
        <v>2069</v>
      </c>
      <c r="AO1227" t="s">
        <v>2070</v>
      </c>
      <c r="AP1227" t="s">
        <v>2071</v>
      </c>
      <c r="AQ1227" t="s">
        <v>74</v>
      </c>
      <c r="AR1227" t="s">
        <v>2072</v>
      </c>
      <c r="AS1227" t="s">
        <v>2073</v>
      </c>
      <c r="AT1227" t="s">
        <v>792</v>
      </c>
      <c r="AU1227">
        <v>2022</v>
      </c>
      <c r="AV1227">
        <v>50</v>
      </c>
      <c r="AW1227">
        <v>7</v>
      </c>
      <c r="AX1227" t="s">
        <v>74</v>
      </c>
      <c r="AY1227" t="s">
        <v>74</v>
      </c>
      <c r="AZ1227" t="s">
        <v>74</v>
      </c>
      <c r="BA1227" t="s">
        <v>74</v>
      </c>
      <c r="BB1227" t="s">
        <v>74</v>
      </c>
      <c r="BC1227" t="s">
        <v>74</v>
      </c>
      <c r="BD1227" t="s">
        <v>20610</v>
      </c>
      <c r="BE1227" t="s">
        <v>20611</v>
      </c>
      <c r="BF1227" t="str">
        <f>HYPERLINK("http://dx.doi.org/10.2224/sbp.11634","http://dx.doi.org/10.2224/sbp.11634")</f>
        <v>http://dx.doi.org/10.2224/sbp.11634</v>
      </c>
      <c r="BG1227" t="s">
        <v>74</v>
      </c>
      <c r="BH1227" t="s">
        <v>74</v>
      </c>
      <c r="BI1227">
        <v>10</v>
      </c>
      <c r="BJ1227" t="s">
        <v>459</v>
      </c>
      <c r="BK1227" t="s">
        <v>94</v>
      </c>
      <c r="BL1227" t="s">
        <v>460</v>
      </c>
      <c r="BM1227" t="s">
        <v>20612</v>
      </c>
      <c r="BN1227" t="s">
        <v>74</v>
      </c>
      <c r="BO1227" t="s">
        <v>74</v>
      </c>
      <c r="BP1227" t="s">
        <v>74</v>
      </c>
      <c r="BQ1227" t="s">
        <v>74</v>
      </c>
      <c r="BR1227" t="s">
        <v>97</v>
      </c>
      <c r="BS1227" t="s">
        <v>20613</v>
      </c>
      <c r="BT1227" t="str">
        <f>HYPERLINK("https%3A%2F%2Fwww.webofscience.com%2Fwos%2Fwoscc%2Ffull-record%2FWOS:000826223100008","View Full Record in Web of Science")</f>
        <v>View Full Record in Web of Science</v>
      </c>
    </row>
    <row r="1228" spans="1:72" x14ac:dyDescent="0.25">
      <c r="A1228" t="s">
        <v>72</v>
      </c>
      <c r="B1228" t="s">
        <v>20614</v>
      </c>
      <c r="C1228" t="s">
        <v>74</v>
      </c>
      <c r="D1228" t="s">
        <v>74</v>
      </c>
      <c r="E1228" t="s">
        <v>74</v>
      </c>
      <c r="F1228" t="s">
        <v>20615</v>
      </c>
      <c r="G1228" t="s">
        <v>74</v>
      </c>
      <c r="H1228" t="s">
        <v>74</v>
      </c>
      <c r="I1228" t="s">
        <v>20616</v>
      </c>
      <c r="J1228" t="s">
        <v>3184</v>
      </c>
      <c r="K1228" t="s">
        <v>74</v>
      </c>
      <c r="L1228" t="s">
        <v>74</v>
      </c>
      <c r="M1228" t="s">
        <v>77</v>
      </c>
      <c r="N1228" t="s">
        <v>78</v>
      </c>
      <c r="O1228" t="s">
        <v>74</v>
      </c>
      <c r="P1228" t="s">
        <v>74</v>
      </c>
      <c r="Q1228" t="s">
        <v>74</v>
      </c>
      <c r="R1228" t="s">
        <v>74</v>
      </c>
      <c r="S1228" t="s">
        <v>74</v>
      </c>
      <c r="T1228" t="s">
        <v>20617</v>
      </c>
      <c r="U1228" t="s">
        <v>20618</v>
      </c>
      <c r="V1228" t="s">
        <v>20619</v>
      </c>
      <c r="W1228" t="s">
        <v>20620</v>
      </c>
      <c r="X1228" t="s">
        <v>20342</v>
      </c>
      <c r="Y1228" t="s">
        <v>20621</v>
      </c>
      <c r="Z1228" t="s">
        <v>20622</v>
      </c>
      <c r="AA1228" t="s">
        <v>74</v>
      </c>
      <c r="AB1228" t="s">
        <v>74</v>
      </c>
      <c r="AC1228" t="s">
        <v>20623</v>
      </c>
      <c r="AD1228" t="s">
        <v>13377</v>
      </c>
      <c r="AE1228" t="s">
        <v>20624</v>
      </c>
      <c r="AF1228" t="s">
        <v>74</v>
      </c>
      <c r="AG1228">
        <v>128</v>
      </c>
      <c r="AH1228">
        <v>0</v>
      </c>
      <c r="AI1228">
        <v>0</v>
      </c>
      <c r="AJ1228">
        <v>15</v>
      </c>
      <c r="AK1228">
        <v>35</v>
      </c>
      <c r="AL1228" t="s">
        <v>3195</v>
      </c>
      <c r="AM1228" t="s">
        <v>3196</v>
      </c>
      <c r="AN1228" t="s">
        <v>3197</v>
      </c>
      <c r="AO1228" t="s">
        <v>3198</v>
      </c>
      <c r="AP1228" t="s">
        <v>74</v>
      </c>
      <c r="AQ1228" t="s">
        <v>74</v>
      </c>
      <c r="AR1228" t="s">
        <v>3199</v>
      </c>
      <c r="AS1228" t="s">
        <v>3200</v>
      </c>
      <c r="AT1228" t="s">
        <v>11567</v>
      </c>
      <c r="AU1228">
        <v>2022</v>
      </c>
      <c r="AV1228">
        <v>13</v>
      </c>
      <c r="AW1228" t="s">
        <v>74</v>
      </c>
      <c r="AX1228" t="s">
        <v>74</v>
      </c>
      <c r="AY1228" t="s">
        <v>74</v>
      </c>
      <c r="AZ1228" t="s">
        <v>74</v>
      </c>
      <c r="BA1228" t="s">
        <v>74</v>
      </c>
      <c r="BB1228" t="s">
        <v>74</v>
      </c>
      <c r="BC1228" t="s">
        <v>74</v>
      </c>
      <c r="BD1228">
        <v>900830</v>
      </c>
      <c r="BE1228" t="s">
        <v>20625</v>
      </c>
      <c r="BF1228" t="str">
        <f>HYPERLINK("http://dx.doi.org/10.3389/fpsyg.2022.900830","http://dx.doi.org/10.3389/fpsyg.2022.900830")</f>
        <v>http://dx.doi.org/10.3389/fpsyg.2022.900830</v>
      </c>
      <c r="BG1228" t="s">
        <v>74</v>
      </c>
      <c r="BH1228" t="s">
        <v>74</v>
      </c>
      <c r="BI1228">
        <v>14</v>
      </c>
      <c r="BJ1228" t="s">
        <v>3203</v>
      </c>
      <c r="BK1228" t="s">
        <v>94</v>
      </c>
      <c r="BL1228" t="s">
        <v>460</v>
      </c>
      <c r="BM1228" t="s">
        <v>20626</v>
      </c>
      <c r="BN1228">
        <v>35800932</v>
      </c>
      <c r="BO1228" t="s">
        <v>3205</v>
      </c>
      <c r="BP1228" t="s">
        <v>74</v>
      </c>
      <c r="BQ1228" t="s">
        <v>74</v>
      </c>
      <c r="BR1228" t="s">
        <v>97</v>
      </c>
      <c r="BS1228" t="s">
        <v>20627</v>
      </c>
      <c r="BT1228" t="str">
        <f>HYPERLINK("https%3A%2F%2Fwww.webofscience.com%2Fwos%2Fwoscc%2Ffull-record%2FWOS:000820881600001","View Full Record in Web of Science")</f>
        <v>View Full Record in Web of Science</v>
      </c>
    </row>
    <row r="1229" spans="1:72" x14ac:dyDescent="0.25">
      <c r="A1229" t="s">
        <v>72</v>
      </c>
      <c r="B1229" t="s">
        <v>20628</v>
      </c>
      <c r="C1229" t="s">
        <v>74</v>
      </c>
      <c r="D1229" t="s">
        <v>74</v>
      </c>
      <c r="E1229" t="s">
        <v>74</v>
      </c>
      <c r="F1229" t="s">
        <v>20629</v>
      </c>
      <c r="G1229" t="s">
        <v>74</v>
      </c>
      <c r="H1229" t="s">
        <v>74</v>
      </c>
      <c r="I1229" t="s">
        <v>20630</v>
      </c>
      <c r="J1229" t="s">
        <v>3184</v>
      </c>
      <c r="K1229" t="s">
        <v>74</v>
      </c>
      <c r="L1229" t="s">
        <v>74</v>
      </c>
      <c r="M1229" t="s">
        <v>77</v>
      </c>
      <c r="N1229" t="s">
        <v>78</v>
      </c>
      <c r="O1229" t="s">
        <v>74</v>
      </c>
      <c r="P1229" t="s">
        <v>74</v>
      </c>
      <c r="Q1229" t="s">
        <v>74</v>
      </c>
      <c r="R1229" t="s">
        <v>74</v>
      </c>
      <c r="S1229" t="s">
        <v>74</v>
      </c>
      <c r="T1229" t="s">
        <v>20631</v>
      </c>
      <c r="U1229" t="s">
        <v>20632</v>
      </c>
      <c r="V1229" t="s">
        <v>20633</v>
      </c>
      <c r="W1229" t="s">
        <v>20634</v>
      </c>
      <c r="X1229" t="s">
        <v>9620</v>
      </c>
      <c r="Y1229" t="s">
        <v>20635</v>
      </c>
      <c r="Z1229" t="s">
        <v>20636</v>
      </c>
      <c r="AA1229" t="s">
        <v>74</v>
      </c>
      <c r="AB1229" t="s">
        <v>20637</v>
      </c>
      <c r="AC1229" t="s">
        <v>20638</v>
      </c>
      <c r="AD1229" t="s">
        <v>20639</v>
      </c>
      <c r="AE1229" t="s">
        <v>20640</v>
      </c>
      <c r="AF1229" t="s">
        <v>74</v>
      </c>
      <c r="AG1229">
        <v>60</v>
      </c>
      <c r="AH1229">
        <v>0</v>
      </c>
      <c r="AI1229">
        <v>0</v>
      </c>
      <c r="AJ1229">
        <v>23</v>
      </c>
      <c r="AK1229">
        <v>50</v>
      </c>
      <c r="AL1229" t="s">
        <v>3195</v>
      </c>
      <c r="AM1229" t="s">
        <v>3196</v>
      </c>
      <c r="AN1229" t="s">
        <v>3197</v>
      </c>
      <c r="AO1229" t="s">
        <v>3198</v>
      </c>
      <c r="AP1229" t="s">
        <v>74</v>
      </c>
      <c r="AQ1229" t="s">
        <v>74</v>
      </c>
      <c r="AR1229" t="s">
        <v>3199</v>
      </c>
      <c r="AS1229" t="s">
        <v>3200</v>
      </c>
      <c r="AT1229" t="s">
        <v>15528</v>
      </c>
      <c r="AU1229">
        <v>2022</v>
      </c>
      <c r="AV1229">
        <v>13</v>
      </c>
      <c r="AW1229" t="s">
        <v>74</v>
      </c>
      <c r="AX1229" t="s">
        <v>74</v>
      </c>
      <c r="AY1229" t="s">
        <v>74</v>
      </c>
      <c r="AZ1229" t="s">
        <v>74</v>
      </c>
      <c r="BA1229" t="s">
        <v>74</v>
      </c>
      <c r="BB1229" t="s">
        <v>74</v>
      </c>
      <c r="BC1229" t="s">
        <v>74</v>
      </c>
      <c r="BD1229">
        <v>875266</v>
      </c>
      <c r="BE1229" t="s">
        <v>20641</v>
      </c>
      <c r="BF1229" t="str">
        <f>HYPERLINK("http://dx.doi.org/10.3389/fpsyg.2022.875266","http://dx.doi.org/10.3389/fpsyg.2022.875266")</f>
        <v>http://dx.doi.org/10.3389/fpsyg.2022.875266</v>
      </c>
      <c r="BG1229" t="s">
        <v>74</v>
      </c>
      <c r="BH1229" t="s">
        <v>74</v>
      </c>
      <c r="BI1229">
        <v>10</v>
      </c>
      <c r="BJ1229" t="s">
        <v>3203</v>
      </c>
      <c r="BK1229" t="s">
        <v>94</v>
      </c>
      <c r="BL1229" t="s">
        <v>460</v>
      </c>
      <c r="BM1229" t="s">
        <v>20642</v>
      </c>
      <c r="BN1229">
        <v>35783747</v>
      </c>
      <c r="BO1229" t="s">
        <v>3205</v>
      </c>
      <c r="BP1229" t="s">
        <v>74</v>
      </c>
      <c r="BQ1229" t="s">
        <v>74</v>
      </c>
      <c r="BR1229" t="s">
        <v>97</v>
      </c>
      <c r="BS1229" t="s">
        <v>20643</v>
      </c>
      <c r="BT1229" t="str">
        <f>HYPERLINK("https%3A%2F%2Fwww.webofscience.com%2Fwos%2Fwoscc%2Ffull-record%2FWOS:000819964100001","View Full Record in Web of Science")</f>
        <v>View Full Record in Web of Science</v>
      </c>
    </row>
    <row r="1230" spans="1:72" x14ac:dyDescent="0.25">
      <c r="A1230" t="s">
        <v>72</v>
      </c>
      <c r="B1230" t="s">
        <v>20644</v>
      </c>
      <c r="C1230" t="s">
        <v>74</v>
      </c>
      <c r="D1230" t="s">
        <v>74</v>
      </c>
      <c r="E1230" t="s">
        <v>74</v>
      </c>
      <c r="F1230" t="s">
        <v>20645</v>
      </c>
      <c r="G1230" t="s">
        <v>74</v>
      </c>
      <c r="H1230" t="s">
        <v>74</v>
      </c>
      <c r="I1230" t="s">
        <v>20646</v>
      </c>
      <c r="J1230" t="s">
        <v>1290</v>
      </c>
      <c r="K1230" t="s">
        <v>74</v>
      </c>
      <c r="L1230" t="s">
        <v>74</v>
      </c>
      <c r="M1230" t="s">
        <v>77</v>
      </c>
      <c r="N1230" t="s">
        <v>78</v>
      </c>
      <c r="O1230" t="s">
        <v>74</v>
      </c>
      <c r="P1230" t="s">
        <v>74</v>
      </c>
      <c r="Q1230" t="s">
        <v>74</v>
      </c>
      <c r="R1230" t="s">
        <v>74</v>
      </c>
      <c r="S1230" t="s">
        <v>74</v>
      </c>
      <c r="T1230" t="s">
        <v>20647</v>
      </c>
      <c r="U1230" t="s">
        <v>20648</v>
      </c>
      <c r="V1230" t="s">
        <v>20649</v>
      </c>
      <c r="W1230" t="s">
        <v>20650</v>
      </c>
      <c r="X1230" t="s">
        <v>20651</v>
      </c>
      <c r="Y1230" t="s">
        <v>20652</v>
      </c>
      <c r="Z1230" t="s">
        <v>20653</v>
      </c>
      <c r="AA1230" t="s">
        <v>20654</v>
      </c>
      <c r="AB1230" t="s">
        <v>20655</v>
      </c>
      <c r="AC1230" t="s">
        <v>20656</v>
      </c>
      <c r="AD1230" t="s">
        <v>20657</v>
      </c>
      <c r="AE1230" t="s">
        <v>20658</v>
      </c>
      <c r="AF1230" t="s">
        <v>74</v>
      </c>
      <c r="AG1230">
        <v>89</v>
      </c>
      <c r="AH1230">
        <v>0</v>
      </c>
      <c r="AI1230">
        <v>0</v>
      </c>
      <c r="AJ1230">
        <v>11</v>
      </c>
      <c r="AK1230">
        <v>28</v>
      </c>
      <c r="AL1230" t="s">
        <v>665</v>
      </c>
      <c r="AM1230" t="s">
        <v>666</v>
      </c>
      <c r="AN1230" t="s">
        <v>667</v>
      </c>
      <c r="AO1230" t="s">
        <v>1300</v>
      </c>
      <c r="AP1230" t="s">
        <v>1301</v>
      </c>
      <c r="AQ1230" t="s">
        <v>74</v>
      </c>
      <c r="AR1230" t="s">
        <v>1302</v>
      </c>
      <c r="AS1230" t="s">
        <v>1303</v>
      </c>
      <c r="AT1230" t="s">
        <v>4237</v>
      </c>
      <c r="AU1230">
        <v>2022</v>
      </c>
      <c r="AV1230">
        <v>34</v>
      </c>
      <c r="AW1230">
        <v>12</v>
      </c>
      <c r="AX1230" t="s">
        <v>74</v>
      </c>
      <c r="AY1230" t="s">
        <v>74</v>
      </c>
      <c r="AZ1230" t="s">
        <v>74</v>
      </c>
      <c r="BA1230" t="s">
        <v>74</v>
      </c>
      <c r="BB1230">
        <v>4458</v>
      </c>
      <c r="BC1230">
        <v>4479</v>
      </c>
      <c r="BD1230" t="s">
        <v>74</v>
      </c>
      <c r="BE1230" t="s">
        <v>20659</v>
      </c>
      <c r="BF1230" t="str">
        <f>HYPERLINK("http://dx.doi.org/10.1108/IJCHM-11-2021-1354","http://dx.doi.org/10.1108/IJCHM-11-2021-1354")</f>
        <v>http://dx.doi.org/10.1108/IJCHM-11-2021-1354</v>
      </c>
      <c r="BG1230" t="s">
        <v>74</v>
      </c>
      <c r="BH1230" t="s">
        <v>11976</v>
      </c>
      <c r="BI1230">
        <v>22</v>
      </c>
      <c r="BJ1230" t="s">
        <v>1305</v>
      </c>
      <c r="BK1230" t="s">
        <v>94</v>
      </c>
      <c r="BL1230" t="s">
        <v>1306</v>
      </c>
      <c r="BM1230" t="s">
        <v>11959</v>
      </c>
      <c r="BN1230" t="s">
        <v>74</v>
      </c>
      <c r="BO1230" t="s">
        <v>74</v>
      </c>
      <c r="BP1230" t="s">
        <v>74</v>
      </c>
      <c r="BQ1230" t="s">
        <v>74</v>
      </c>
      <c r="BR1230" t="s">
        <v>97</v>
      </c>
      <c r="BS1230" t="s">
        <v>20660</v>
      </c>
      <c r="BT1230" t="str">
        <f>HYPERLINK("https%3A%2F%2Fwww.webofscience.com%2Fwos%2Fwoscc%2Ffull-record%2FWOS:000809310800001","View Full Record in Web of Science")</f>
        <v>View Full Record in Web of Science</v>
      </c>
    </row>
    <row r="1231" spans="1:72" x14ac:dyDescent="0.25">
      <c r="A1231" t="s">
        <v>72</v>
      </c>
      <c r="B1231" t="s">
        <v>20661</v>
      </c>
      <c r="C1231" t="s">
        <v>74</v>
      </c>
      <c r="D1231" t="s">
        <v>74</v>
      </c>
      <c r="E1231" t="s">
        <v>74</v>
      </c>
      <c r="F1231" t="s">
        <v>20662</v>
      </c>
      <c r="G1231" t="s">
        <v>74</v>
      </c>
      <c r="H1231" t="s">
        <v>74</v>
      </c>
      <c r="I1231" t="s">
        <v>20663</v>
      </c>
      <c r="J1231" t="s">
        <v>3184</v>
      </c>
      <c r="K1231" t="s">
        <v>74</v>
      </c>
      <c r="L1231" t="s">
        <v>74</v>
      </c>
      <c r="M1231" t="s">
        <v>77</v>
      </c>
      <c r="N1231" t="s">
        <v>78</v>
      </c>
      <c r="O1231" t="s">
        <v>74</v>
      </c>
      <c r="P1231" t="s">
        <v>74</v>
      </c>
      <c r="Q1231" t="s">
        <v>74</v>
      </c>
      <c r="R1231" t="s">
        <v>74</v>
      </c>
      <c r="S1231" t="s">
        <v>74</v>
      </c>
      <c r="T1231" t="s">
        <v>20664</v>
      </c>
      <c r="U1231" t="s">
        <v>20665</v>
      </c>
      <c r="V1231" t="s">
        <v>20666</v>
      </c>
      <c r="W1231" t="s">
        <v>20667</v>
      </c>
      <c r="X1231" t="s">
        <v>20668</v>
      </c>
      <c r="Y1231" t="s">
        <v>20669</v>
      </c>
      <c r="Z1231" t="s">
        <v>20670</v>
      </c>
      <c r="AA1231" t="s">
        <v>74</v>
      </c>
      <c r="AB1231" t="s">
        <v>74</v>
      </c>
      <c r="AC1231" t="s">
        <v>20671</v>
      </c>
      <c r="AD1231" t="s">
        <v>20672</v>
      </c>
      <c r="AE1231" t="s">
        <v>20673</v>
      </c>
      <c r="AF1231" t="s">
        <v>74</v>
      </c>
      <c r="AG1231">
        <v>101</v>
      </c>
      <c r="AH1231">
        <v>0</v>
      </c>
      <c r="AI1231">
        <v>0</v>
      </c>
      <c r="AJ1231">
        <v>5</v>
      </c>
      <c r="AK1231">
        <v>13</v>
      </c>
      <c r="AL1231" t="s">
        <v>3195</v>
      </c>
      <c r="AM1231" t="s">
        <v>3196</v>
      </c>
      <c r="AN1231" t="s">
        <v>3197</v>
      </c>
      <c r="AO1231" t="s">
        <v>3198</v>
      </c>
      <c r="AP1231" t="s">
        <v>74</v>
      </c>
      <c r="AQ1231" t="s">
        <v>74</v>
      </c>
      <c r="AR1231" t="s">
        <v>3199</v>
      </c>
      <c r="AS1231" t="s">
        <v>3200</v>
      </c>
      <c r="AT1231" t="s">
        <v>20674</v>
      </c>
      <c r="AU1231">
        <v>2022</v>
      </c>
      <c r="AV1231">
        <v>13</v>
      </c>
      <c r="AW1231" t="s">
        <v>74</v>
      </c>
      <c r="AX1231" t="s">
        <v>74</v>
      </c>
      <c r="AY1231" t="s">
        <v>74</v>
      </c>
      <c r="AZ1231" t="s">
        <v>74</v>
      </c>
      <c r="BA1231" t="s">
        <v>74</v>
      </c>
      <c r="BB1231" t="s">
        <v>74</v>
      </c>
      <c r="BC1231" t="s">
        <v>74</v>
      </c>
      <c r="BD1231">
        <v>905862</v>
      </c>
      <c r="BE1231" t="s">
        <v>20675</v>
      </c>
      <c r="BF1231" t="str">
        <f>HYPERLINK("http://dx.doi.org/10.3389/fpsyg.2022.905862","http://dx.doi.org/10.3389/fpsyg.2022.905862")</f>
        <v>http://dx.doi.org/10.3389/fpsyg.2022.905862</v>
      </c>
      <c r="BG1231" t="s">
        <v>74</v>
      </c>
      <c r="BH1231" t="s">
        <v>74</v>
      </c>
      <c r="BI1231">
        <v>12</v>
      </c>
      <c r="BJ1231" t="s">
        <v>3203</v>
      </c>
      <c r="BK1231" t="s">
        <v>94</v>
      </c>
      <c r="BL1231" t="s">
        <v>460</v>
      </c>
      <c r="BM1231" t="s">
        <v>20676</v>
      </c>
      <c r="BN1231">
        <v>35774955</v>
      </c>
      <c r="BO1231" t="s">
        <v>3205</v>
      </c>
      <c r="BP1231" t="s">
        <v>74</v>
      </c>
      <c r="BQ1231" t="s">
        <v>74</v>
      </c>
      <c r="BR1231" t="s">
        <v>97</v>
      </c>
      <c r="BS1231" t="s">
        <v>20677</v>
      </c>
      <c r="BT1231" t="str">
        <f>HYPERLINK("https%3A%2F%2Fwww.webofscience.com%2Fwos%2Fwoscc%2Ffull-record%2FWOS:000817137700001","View Full Record in Web of Science")</f>
        <v>View Full Record in Web of Science</v>
      </c>
    </row>
    <row r="1232" spans="1:72" x14ac:dyDescent="0.25">
      <c r="A1232" t="s">
        <v>72</v>
      </c>
      <c r="B1232" t="s">
        <v>20678</v>
      </c>
      <c r="C1232" t="s">
        <v>74</v>
      </c>
      <c r="D1232" t="s">
        <v>74</v>
      </c>
      <c r="E1232" t="s">
        <v>74</v>
      </c>
      <c r="F1232" t="s">
        <v>20679</v>
      </c>
      <c r="G1232" t="s">
        <v>74</v>
      </c>
      <c r="H1232" t="s">
        <v>74</v>
      </c>
      <c r="I1232" t="s">
        <v>20680</v>
      </c>
      <c r="J1232" t="s">
        <v>20681</v>
      </c>
      <c r="K1232" t="s">
        <v>74</v>
      </c>
      <c r="L1232" t="s">
        <v>74</v>
      </c>
      <c r="M1232" t="s">
        <v>77</v>
      </c>
      <c r="N1232" t="s">
        <v>78</v>
      </c>
      <c r="O1232" t="s">
        <v>74</v>
      </c>
      <c r="P1232" t="s">
        <v>74</v>
      </c>
      <c r="Q1232" t="s">
        <v>74</v>
      </c>
      <c r="R1232" t="s">
        <v>74</v>
      </c>
      <c r="S1232" t="s">
        <v>74</v>
      </c>
      <c r="T1232" t="s">
        <v>74</v>
      </c>
      <c r="U1232" t="s">
        <v>74</v>
      </c>
      <c r="V1232" t="s">
        <v>20682</v>
      </c>
      <c r="W1232" t="s">
        <v>20683</v>
      </c>
      <c r="X1232" t="s">
        <v>20684</v>
      </c>
      <c r="Y1232" t="s">
        <v>20685</v>
      </c>
      <c r="Z1232" t="s">
        <v>20686</v>
      </c>
      <c r="AA1232" t="s">
        <v>74</v>
      </c>
      <c r="AB1232" t="s">
        <v>74</v>
      </c>
      <c r="AC1232" t="s">
        <v>74</v>
      </c>
      <c r="AD1232" t="s">
        <v>74</v>
      </c>
      <c r="AE1232" t="s">
        <v>74</v>
      </c>
      <c r="AF1232" t="s">
        <v>74</v>
      </c>
      <c r="AG1232">
        <v>27</v>
      </c>
      <c r="AH1232">
        <v>0</v>
      </c>
      <c r="AI1232">
        <v>0</v>
      </c>
      <c r="AJ1232">
        <v>4</v>
      </c>
      <c r="AK1232">
        <v>6</v>
      </c>
      <c r="AL1232" t="s">
        <v>15981</v>
      </c>
      <c r="AM1232" t="s">
        <v>541</v>
      </c>
      <c r="AN1232" t="s">
        <v>15982</v>
      </c>
      <c r="AO1232" t="s">
        <v>20687</v>
      </c>
      <c r="AP1232" t="s">
        <v>20688</v>
      </c>
      <c r="AQ1232" t="s">
        <v>74</v>
      </c>
      <c r="AR1232" t="s">
        <v>20689</v>
      </c>
      <c r="AS1232" t="s">
        <v>20690</v>
      </c>
      <c r="AT1232" t="s">
        <v>20691</v>
      </c>
      <c r="AU1232">
        <v>2022</v>
      </c>
      <c r="AV1232">
        <v>2022</v>
      </c>
      <c r="AW1232" t="s">
        <v>74</v>
      </c>
      <c r="AX1232" t="s">
        <v>74</v>
      </c>
      <c r="AY1232" t="s">
        <v>74</v>
      </c>
      <c r="AZ1232" t="s">
        <v>74</v>
      </c>
      <c r="BA1232" t="s">
        <v>74</v>
      </c>
      <c r="BB1232" t="s">
        <v>74</v>
      </c>
      <c r="BC1232" t="s">
        <v>74</v>
      </c>
      <c r="BD1232">
        <v>7020190</v>
      </c>
      <c r="BE1232" t="s">
        <v>20692</v>
      </c>
      <c r="BF1232" t="str">
        <f>HYPERLINK("http://dx.doi.org/10.1155/2022/7020190","http://dx.doi.org/10.1155/2022/7020190")</f>
        <v>http://dx.doi.org/10.1155/2022/7020190</v>
      </c>
      <c r="BG1232" t="s">
        <v>74</v>
      </c>
      <c r="BH1232" t="s">
        <v>74</v>
      </c>
      <c r="BI1232">
        <v>12</v>
      </c>
      <c r="BJ1232" t="s">
        <v>20693</v>
      </c>
      <c r="BK1232" t="s">
        <v>283</v>
      </c>
      <c r="BL1232" t="s">
        <v>20694</v>
      </c>
      <c r="BM1232" t="s">
        <v>20695</v>
      </c>
      <c r="BN1232" t="s">
        <v>74</v>
      </c>
      <c r="BO1232" t="s">
        <v>2482</v>
      </c>
      <c r="BP1232" t="s">
        <v>74</v>
      </c>
      <c r="BQ1232" t="s">
        <v>74</v>
      </c>
      <c r="BR1232" t="s">
        <v>97</v>
      </c>
      <c r="BS1232" t="s">
        <v>20696</v>
      </c>
      <c r="BT1232" t="str">
        <f>HYPERLINK("https%3A%2F%2Fwww.webofscience.com%2Fwos%2Fwoscc%2Ffull-record%2FWOS:000823309200003","View Full Record in Web of Science")</f>
        <v>View Full Record in Web of Science</v>
      </c>
    </row>
    <row r="1233" spans="1:72" x14ac:dyDescent="0.25">
      <c r="A1233" t="s">
        <v>72</v>
      </c>
      <c r="B1233" t="s">
        <v>20697</v>
      </c>
      <c r="C1233" t="s">
        <v>74</v>
      </c>
      <c r="D1233" t="s">
        <v>74</v>
      </c>
      <c r="E1233" t="s">
        <v>74</v>
      </c>
      <c r="F1233" t="s">
        <v>20698</v>
      </c>
      <c r="G1233" t="s">
        <v>74</v>
      </c>
      <c r="H1233" t="s">
        <v>74</v>
      </c>
      <c r="I1233" t="s">
        <v>20699</v>
      </c>
      <c r="J1233" t="s">
        <v>3184</v>
      </c>
      <c r="K1233" t="s">
        <v>74</v>
      </c>
      <c r="L1233" t="s">
        <v>74</v>
      </c>
      <c r="M1233" t="s">
        <v>77</v>
      </c>
      <c r="N1233" t="s">
        <v>78</v>
      </c>
      <c r="O1233" t="s">
        <v>74</v>
      </c>
      <c r="P1233" t="s">
        <v>74</v>
      </c>
      <c r="Q1233" t="s">
        <v>74</v>
      </c>
      <c r="R1233" t="s">
        <v>74</v>
      </c>
      <c r="S1233" t="s">
        <v>74</v>
      </c>
      <c r="T1233" t="s">
        <v>20700</v>
      </c>
      <c r="U1233" t="s">
        <v>20701</v>
      </c>
      <c r="V1233" t="s">
        <v>20702</v>
      </c>
      <c r="W1233" t="s">
        <v>20703</v>
      </c>
      <c r="X1233" t="s">
        <v>20704</v>
      </c>
      <c r="Y1233" t="s">
        <v>20705</v>
      </c>
      <c r="Z1233" t="s">
        <v>20706</v>
      </c>
      <c r="AA1233" t="s">
        <v>74</v>
      </c>
      <c r="AB1233" t="s">
        <v>74</v>
      </c>
      <c r="AC1233" t="s">
        <v>74</v>
      </c>
      <c r="AD1233" t="s">
        <v>74</v>
      </c>
      <c r="AE1233" t="s">
        <v>74</v>
      </c>
      <c r="AF1233" t="s">
        <v>74</v>
      </c>
      <c r="AG1233">
        <v>62</v>
      </c>
      <c r="AH1233">
        <v>0</v>
      </c>
      <c r="AI1233">
        <v>0</v>
      </c>
      <c r="AJ1233">
        <v>22</v>
      </c>
      <c r="AK1233">
        <v>38</v>
      </c>
      <c r="AL1233" t="s">
        <v>3195</v>
      </c>
      <c r="AM1233" t="s">
        <v>3196</v>
      </c>
      <c r="AN1233" t="s">
        <v>3197</v>
      </c>
      <c r="AO1233" t="s">
        <v>3198</v>
      </c>
      <c r="AP1233" t="s">
        <v>74</v>
      </c>
      <c r="AQ1233" t="s">
        <v>74</v>
      </c>
      <c r="AR1233" t="s">
        <v>3199</v>
      </c>
      <c r="AS1233" t="s">
        <v>3200</v>
      </c>
      <c r="AT1233" t="s">
        <v>20707</v>
      </c>
      <c r="AU1233">
        <v>2022</v>
      </c>
      <c r="AV1233">
        <v>13</v>
      </c>
      <c r="AW1233" t="s">
        <v>74</v>
      </c>
      <c r="AX1233" t="s">
        <v>74</v>
      </c>
      <c r="AY1233" t="s">
        <v>74</v>
      </c>
      <c r="AZ1233" t="s">
        <v>74</v>
      </c>
      <c r="BA1233" t="s">
        <v>74</v>
      </c>
      <c r="BB1233" t="s">
        <v>74</v>
      </c>
      <c r="BC1233" t="s">
        <v>74</v>
      </c>
      <c r="BD1233">
        <v>886286</v>
      </c>
      <c r="BE1233" t="s">
        <v>20708</v>
      </c>
      <c r="BF1233" t="str">
        <f>HYPERLINK("http://dx.doi.org/10.3389/fpsyg.2022.886286","http://dx.doi.org/10.3389/fpsyg.2022.886286")</f>
        <v>http://dx.doi.org/10.3389/fpsyg.2022.886286</v>
      </c>
      <c r="BG1233" t="s">
        <v>74</v>
      </c>
      <c r="BH1233" t="s">
        <v>74</v>
      </c>
      <c r="BI1233">
        <v>13</v>
      </c>
      <c r="BJ1233" t="s">
        <v>3203</v>
      </c>
      <c r="BK1233" t="s">
        <v>94</v>
      </c>
      <c r="BL1233" t="s">
        <v>460</v>
      </c>
      <c r="BM1233" t="s">
        <v>20709</v>
      </c>
      <c r="BN1233">
        <v>35719536</v>
      </c>
      <c r="BO1233" t="s">
        <v>3205</v>
      </c>
      <c r="BP1233" t="s">
        <v>74</v>
      </c>
      <c r="BQ1233" t="s">
        <v>74</v>
      </c>
      <c r="BR1233" t="s">
        <v>97</v>
      </c>
      <c r="BS1233" t="s">
        <v>20710</v>
      </c>
      <c r="BT1233" t="str">
        <f>HYPERLINK("https%3A%2F%2Fwww.webofscience.com%2Fwos%2Fwoscc%2Ffull-record%2FWOS:000812004700001","View Full Record in Web of Science")</f>
        <v>View Full Record in Web of Science</v>
      </c>
    </row>
    <row r="1234" spans="1:72" x14ac:dyDescent="0.25">
      <c r="A1234" t="s">
        <v>72</v>
      </c>
      <c r="B1234" t="s">
        <v>20711</v>
      </c>
      <c r="C1234" t="s">
        <v>74</v>
      </c>
      <c r="D1234" t="s">
        <v>74</v>
      </c>
      <c r="E1234" t="s">
        <v>74</v>
      </c>
      <c r="F1234" t="s">
        <v>20712</v>
      </c>
      <c r="G1234" t="s">
        <v>74</v>
      </c>
      <c r="H1234" t="s">
        <v>74</v>
      </c>
      <c r="I1234" t="s">
        <v>20713</v>
      </c>
      <c r="J1234" t="s">
        <v>1760</v>
      </c>
      <c r="K1234" t="s">
        <v>74</v>
      </c>
      <c r="L1234" t="s">
        <v>74</v>
      </c>
      <c r="M1234" t="s">
        <v>77</v>
      </c>
      <c r="N1234" t="s">
        <v>78</v>
      </c>
      <c r="O1234" t="s">
        <v>74</v>
      </c>
      <c r="P1234" t="s">
        <v>74</v>
      </c>
      <c r="Q1234" t="s">
        <v>74</v>
      </c>
      <c r="R1234" t="s">
        <v>74</v>
      </c>
      <c r="S1234" t="s">
        <v>74</v>
      </c>
      <c r="T1234" t="s">
        <v>20714</v>
      </c>
      <c r="U1234" t="s">
        <v>20715</v>
      </c>
      <c r="V1234" t="s">
        <v>20716</v>
      </c>
      <c r="W1234" t="s">
        <v>20717</v>
      </c>
      <c r="X1234" t="s">
        <v>20718</v>
      </c>
      <c r="Y1234" t="s">
        <v>20719</v>
      </c>
      <c r="Z1234" t="s">
        <v>20720</v>
      </c>
      <c r="AA1234" t="s">
        <v>20721</v>
      </c>
      <c r="AB1234" t="s">
        <v>74</v>
      </c>
      <c r="AC1234" t="s">
        <v>20722</v>
      </c>
      <c r="AD1234" t="s">
        <v>20723</v>
      </c>
      <c r="AE1234" t="s">
        <v>20724</v>
      </c>
      <c r="AF1234" t="s">
        <v>74</v>
      </c>
      <c r="AG1234">
        <v>30</v>
      </c>
      <c r="AH1234">
        <v>0</v>
      </c>
      <c r="AI1234">
        <v>0</v>
      </c>
      <c r="AJ1234">
        <v>2</v>
      </c>
      <c r="AK1234">
        <v>5</v>
      </c>
      <c r="AL1234" t="s">
        <v>1006</v>
      </c>
      <c r="AM1234" t="s">
        <v>160</v>
      </c>
      <c r="AN1234" t="s">
        <v>1007</v>
      </c>
      <c r="AO1234" t="s">
        <v>1767</v>
      </c>
      <c r="AP1234" t="s">
        <v>4728</v>
      </c>
      <c r="AQ1234" t="s">
        <v>74</v>
      </c>
      <c r="AR1234" t="s">
        <v>1768</v>
      </c>
      <c r="AS1234" t="s">
        <v>1769</v>
      </c>
      <c r="AT1234" t="s">
        <v>20725</v>
      </c>
      <c r="AU1234">
        <v>2022</v>
      </c>
      <c r="AV1234">
        <v>31</v>
      </c>
      <c r="AW1234">
        <v>6</v>
      </c>
      <c r="AX1234" t="s">
        <v>74</v>
      </c>
      <c r="AY1234" t="s">
        <v>74</v>
      </c>
      <c r="AZ1234" t="s">
        <v>74</v>
      </c>
      <c r="BA1234" t="s">
        <v>74</v>
      </c>
      <c r="BB1234">
        <v>1397</v>
      </c>
      <c r="BC1234">
        <v>1427</v>
      </c>
      <c r="BD1234" t="s">
        <v>74</v>
      </c>
      <c r="BE1234" t="s">
        <v>20726</v>
      </c>
      <c r="BF1234" t="str">
        <f>HYPERLINK("http://dx.doi.org/10.1093/icc/dtac024","http://dx.doi.org/10.1093/icc/dtac024")</f>
        <v>http://dx.doi.org/10.1093/icc/dtac024</v>
      </c>
      <c r="BG1234" t="s">
        <v>74</v>
      </c>
      <c r="BH1234" t="s">
        <v>11976</v>
      </c>
      <c r="BI1234">
        <v>31</v>
      </c>
      <c r="BJ1234" t="s">
        <v>1199</v>
      </c>
      <c r="BK1234" t="s">
        <v>94</v>
      </c>
      <c r="BL1234" t="s">
        <v>95</v>
      </c>
      <c r="BM1234" t="s">
        <v>20727</v>
      </c>
      <c r="BN1234" t="s">
        <v>74</v>
      </c>
      <c r="BO1234" t="s">
        <v>74</v>
      </c>
      <c r="BP1234" t="s">
        <v>74</v>
      </c>
      <c r="BQ1234" t="s">
        <v>74</v>
      </c>
      <c r="BR1234" t="s">
        <v>97</v>
      </c>
      <c r="BS1234" t="s">
        <v>20728</v>
      </c>
      <c r="BT1234" t="str">
        <f>HYPERLINK("https%3A%2F%2Fwww.webofscience.com%2Fwos%2Fwoscc%2Ffull-record%2FWOS:000804164500001","View Full Record in Web of Science")</f>
        <v>View Full Record in Web of Science</v>
      </c>
    </row>
    <row r="1235" spans="1:72" x14ac:dyDescent="0.25">
      <c r="A1235" t="s">
        <v>72</v>
      </c>
      <c r="B1235" t="s">
        <v>20729</v>
      </c>
      <c r="C1235" t="s">
        <v>74</v>
      </c>
      <c r="D1235" t="s">
        <v>74</v>
      </c>
      <c r="E1235" t="s">
        <v>74</v>
      </c>
      <c r="F1235" t="s">
        <v>20730</v>
      </c>
      <c r="G1235" t="s">
        <v>74</v>
      </c>
      <c r="H1235" t="s">
        <v>74</v>
      </c>
      <c r="I1235" t="s">
        <v>20731</v>
      </c>
      <c r="J1235" t="s">
        <v>14026</v>
      </c>
      <c r="K1235" t="s">
        <v>74</v>
      </c>
      <c r="L1235" t="s">
        <v>74</v>
      </c>
      <c r="M1235" t="s">
        <v>77</v>
      </c>
      <c r="N1235" t="s">
        <v>78</v>
      </c>
      <c r="O1235" t="s">
        <v>74</v>
      </c>
      <c r="P1235" t="s">
        <v>74</v>
      </c>
      <c r="Q1235" t="s">
        <v>74</v>
      </c>
      <c r="R1235" t="s">
        <v>74</v>
      </c>
      <c r="S1235" t="s">
        <v>74</v>
      </c>
      <c r="T1235" t="s">
        <v>20732</v>
      </c>
      <c r="U1235" t="s">
        <v>20733</v>
      </c>
      <c r="V1235" t="s">
        <v>20734</v>
      </c>
      <c r="W1235" t="s">
        <v>20735</v>
      </c>
      <c r="X1235" t="s">
        <v>20736</v>
      </c>
      <c r="Y1235" t="s">
        <v>5951</v>
      </c>
      <c r="Z1235" t="s">
        <v>7716</v>
      </c>
      <c r="AA1235" t="s">
        <v>74</v>
      </c>
      <c r="AB1235" t="s">
        <v>7717</v>
      </c>
      <c r="AC1235" t="s">
        <v>20737</v>
      </c>
      <c r="AD1235" t="s">
        <v>5191</v>
      </c>
      <c r="AE1235" t="s">
        <v>20738</v>
      </c>
      <c r="AF1235" t="s">
        <v>74</v>
      </c>
      <c r="AG1235">
        <v>121</v>
      </c>
      <c r="AH1235">
        <v>0</v>
      </c>
      <c r="AI1235">
        <v>0</v>
      </c>
      <c r="AJ1235">
        <v>13</v>
      </c>
      <c r="AK1235">
        <v>24</v>
      </c>
      <c r="AL1235" t="s">
        <v>665</v>
      </c>
      <c r="AM1235" t="s">
        <v>666</v>
      </c>
      <c r="AN1235" t="s">
        <v>667</v>
      </c>
      <c r="AO1235" t="s">
        <v>14034</v>
      </c>
      <c r="AP1235" t="s">
        <v>14035</v>
      </c>
      <c r="AQ1235" t="s">
        <v>74</v>
      </c>
      <c r="AR1235" t="s">
        <v>14036</v>
      </c>
      <c r="AS1235" t="s">
        <v>14037</v>
      </c>
      <c r="AT1235" t="s">
        <v>20739</v>
      </c>
      <c r="AU1235">
        <v>2022</v>
      </c>
      <c r="AV1235">
        <v>28</v>
      </c>
      <c r="AW1235">
        <v>6</v>
      </c>
      <c r="AX1235" t="s">
        <v>74</v>
      </c>
      <c r="AY1235" t="s">
        <v>74</v>
      </c>
      <c r="AZ1235" t="s">
        <v>74</v>
      </c>
      <c r="BA1235" t="s">
        <v>74</v>
      </c>
      <c r="BB1235">
        <v>1463</v>
      </c>
      <c r="BC1235">
        <v>1488</v>
      </c>
      <c r="BD1235" t="s">
        <v>74</v>
      </c>
      <c r="BE1235" t="s">
        <v>20740</v>
      </c>
      <c r="BF1235" t="str">
        <f>HYPERLINK("http://dx.doi.org/10.1108/IJEBR-02-2021-0154","http://dx.doi.org/10.1108/IJEBR-02-2021-0154")</f>
        <v>http://dx.doi.org/10.1108/IJEBR-02-2021-0154</v>
      </c>
      <c r="BG1235" t="s">
        <v>74</v>
      </c>
      <c r="BH1235" t="s">
        <v>12534</v>
      </c>
      <c r="BI1235">
        <v>26</v>
      </c>
      <c r="BJ1235" t="s">
        <v>93</v>
      </c>
      <c r="BK1235" t="s">
        <v>94</v>
      </c>
      <c r="BL1235" t="s">
        <v>95</v>
      </c>
      <c r="BM1235" t="s">
        <v>20741</v>
      </c>
      <c r="BN1235" t="s">
        <v>74</v>
      </c>
      <c r="BO1235" t="s">
        <v>74</v>
      </c>
      <c r="BP1235" t="s">
        <v>74</v>
      </c>
      <c r="BQ1235" t="s">
        <v>74</v>
      </c>
      <c r="BR1235" t="s">
        <v>97</v>
      </c>
      <c r="BS1235" t="s">
        <v>20742</v>
      </c>
      <c r="BT1235" t="str">
        <f>HYPERLINK("https%3A%2F%2Fwww.webofscience.com%2Fwos%2Fwoscc%2Ffull-record%2FWOS:000799368300001","View Full Record in Web of Science")</f>
        <v>View Full Record in Web of Science</v>
      </c>
    </row>
    <row r="1236" spans="1:72" x14ac:dyDescent="0.25">
      <c r="A1236" t="s">
        <v>72</v>
      </c>
      <c r="B1236" t="s">
        <v>20743</v>
      </c>
      <c r="C1236" t="s">
        <v>74</v>
      </c>
      <c r="D1236" t="s">
        <v>74</v>
      </c>
      <c r="E1236" t="s">
        <v>74</v>
      </c>
      <c r="F1236" t="s">
        <v>20744</v>
      </c>
      <c r="G1236" t="s">
        <v>74</v>
      </c>
      <c r="H1236" t="s">
        <v>74</v>
      </c>
      <c r="I1236" t="s">
        <v>20745</v>
      </c>
      <c r="J1236" t="s">
        <v>3184</v>
      </c>
      <c r="K1236" t="s">
        <v>74</v>
      </c>
      <c r="L1236" t="s">
        <v>74</v>
      </c>
      <c r="M1236" t="s">
        <v>77</v>
      </c>
      <c r="N1236" t="s">
        <v>78</v>
      </c>
      <c r="O1236" t="s">
        <v>74</v>
      </c>
      <c r="P1236" t="s">
        <v>74</v>
      </c>
      <c r="Q1236" t="s">
        <v>74</v>
      </c>
      <c r="R1236" t="s">
        <v>74</v>
      </c>
      <c r="S1236" t="s">
        <v>74</v>
      </c>
      <c r="T1236" t="s">
        <v>20746</v>
      </c>
      <c r="U1236" t="s">
        <v>20747</v>
      </c>
      <c r="V1236" t="s">
        <v>20748</v>
      </c>
      <c r="W1236" t="s">
        <v>20749</v>
      </c>
      <c r="X1236" t="s">
        <v>20750</v>
      </c>
      <c r="Y1236" t="s">
        <v>20751</v>
      </c>
      <c r="Z1236" t="s">
        <v>20752</v>
      </c>
      <c r="AA1236" t="s">
        <v>74</v>
      </c>
      <c r="AB1236" t="s">
        <v>74</v>
      </c>
      <c r="AC1236" t="s">
        <v>74</v>
      </c>
      <c r="AD1236" t="s">
        <v>74</v>
      </c>
      <c r="AE1236" t="s">
        <v>74</v>
      </c>
      <c r="AF1236" t="s">
        <v>74</v>
      </c>
      <c r="AG1236">
        <v>96</v>
      </c>
      <c r="AH1236">
        <v>0</v>
      </c>
      <c r="AI1236">
        <v>0</v>
      </c>
      <c r="AJ1236">
        <v>18</v>
      </c>
      <c r="AK1236">
        <v>41</v>
      </c>
      <c r="AL1236" t="s">
        <v>3195</v>
      </c>
      <c r="AM1236" t="s">
        <v>3196</v>
      </c>
      <c r="AN1236" t="s">
        <v>3197</v>
      </c>
      <c r="AO1236" t="s">
        <v>3198</v>
      </c>
      <c r="AP1236" t="s">
        <v>74</v>
      </c>
      <c r="AQ1236" t="s">
        <v>74</v>
      </c>
      <c r="AR1236" t="s">
        <v>3199</v>
      </c>
      <c r="AS1236" t="s">
        <v>3200</v>
      </c>
      <c r="AT1236" t="s">
        <v>14948</v>
      </c>
      <c r="AU1236">
        <v>2022</v>
      </c>
      <c r="AV1236">
        <v>13</v>
      </c>
      <c r="AW1236" t="s">
        <v>74</v>
      </c>
      <c r="AX1236" t="s">
        <v>74</v>
      </c>
      <c r="AY1236" t="s">
        <v>74</v>
      </c>
      <c r="AZ1236" t="s">
        <v>74</v>
      </c>
      <c r="BA1236" t="s">
        <v>74</v>
      </c>
      <c r="BB1236" t="s">
        <v>74</v>
      </c>
      <c r="BC1236" t="s">
        <v>74</v>
      </c>
      <c r="BD1236">
        <v>815147</v>
      </c>
      <c r="BE1236" t="s">
        <v>20753</v>
      </c>
      <c r="BF1236" t="str">
        <f>HYPERLINK("http://dx.doi.org/10.3389/fpsyg.2022.815147","http://dx.doi.org/10.3389/fpsyg.2022.815147")</f>
        <v>http://dx.doi.org/10.3389/fpsyg.2022.815147</v>
      </c>
      <c r="BG1236" t="s">
        <v>74</v>
      </c>
      <c r="BH1236" t="s">
        <v>74</v>
      </c>
      <c r="BI1236">
        <v>10</v>
      </c>
      <c r="BJ1236" t="s">
        <v>3203</v>
      </c>
      <c r="BK1236" t="s">
        <v>94</v>
      </c>
      <c r="BL1236" t="s">
        <v>460</v>
      </c>
      <c r="BM1236" t="s">
        <v>20754</v>
      </c>
      <c r="BN1236">
        <v>35664195</v>
      </c>
      <c r="BO1236" t="s">
        <v>3205</v>
      </c>
      <c r="BP1236" t="s">
        <v>74</v>
      </c>
      <c r="BQ1236" t="s">
        <v>74</v>
      </c>
      <c r="BR1236" t="s">
        <v>97</v>
      </c>
      <c r="BS1236" t="s">
        <v>20755</v>
      </c>
      <c r="BT1236" t="str">
        <f>HYPERLINK("https%3A%2F%2Fwww.webofscience.com%2Fwos%2Fwoscc%2Ffull-record%2FWOS:000805622800001","View Full Record in Web of Science")</f>
        <v>View Full Record in Web of Science</v>
      </c>
    </row>
    <row r="1237" spans="1:72" x14ac:dyDescent="0.25">
      <c r="A1237" t="s">
        <v>72</v>
      </c>
      <c r="B1237" t="s">
        <v>20756</v>
      </c>
      <c r="C1237" t="s">
        <v>74</v>
      </c>
      <c r="D1237" t="s">
        <v>74</v>
      </c>
      <c r="E1237" t="s">
        <v>74</v>
      </c>
      <c r="F1237" t="s">
        <v>20757</v>
      </c>
      <c r="G1237" t="s">
        <v>74</v>
      </c>
      <c r="H1237" t="s">
        <v>74</v>
      </c>
      <c r="I1237" t="s">
        <v>20758</v>
      </c>
      <c r="J1237" t="s">
        <v>15973</v>
      </c>
      <c r="K1237" t="s">
        <v>74</v>
      </c>
      <c r="L1237" t="s">
        <v>74</v>
      </c>
      <c r="M1237" t="s">
        <v>77</v>
      </c>
      <c r="N1237" t="s">
        <v>78</v>
      </c>
      <c r="O1237" t="s">
        <v>74</v>
      </c>
      <c r="P1237" t="s">
        <v>74</v>
      </c>
      <c r="Q1237" t="s">
        <v>74</v>
      </c>
      <c r="R1237" t="s">
        <v>74</v>
      </c>
      <c r="S1237" t="s">
        <v>74</v>
      </c>
      <c r="T1237" t="s">
        <v>74</v>
      </c>
      <c r="U1237" t="s">
        <v>20759</v>
      </c>
      <c r="V1237" t="s">
        <v>20760</v>
      </c>
      <c r="W1237" t="s">
        <v>20761</v>
      </c>
      <c r="X1237" t="s">
        <v>20762</v>
      </c>
      <c r="Y1237" t="s">
        <v>20763</v>
      </c>
      <c r="Z1237" t="s">
        <v>20764</v>
      </c>
      <c r="AA1237" t="s">
        <v>74</v>
      </c>
      <c r="AB1237" t="s">
        <v>20765</v>
      </c>
      <c r="AC1237" t="s">
        <v>74</v>
      </c>
      <c r="AD1237" t="s">
        <v>74</v>
      </c>
      <c r="AE1237" t="s">
        <v>74</v>
      </c>
      <c r="AF1237" t="s">
        <v>74</v>
      </c>
      <c r="AG1237">
        <v>66</v>
      </c>
      <c r="AH1237">
        <v>0</v>
      </c>
      <c r="AI1237">
        <v>0</v>
      </c>
      <c r="AJ1237">
        <v>19</v>
      </c>
      <c r="AK1237">
        <v>33</v>
      </c>
      <c r="AL1237" t="s">
        <v>15981</v>
      </c>
      <c r="AM1237" t="s">
        <v>541</v>
      </c>
      <c r="AN1237" t="s">
        <v>15982</v>
      </c>
      <c r="AO1237" t="s">
        <v>15983</v>
      </c>
      <c r="AP1237" t="s">
        <v>15984</v>
      </c>
      <c r="AQ1237" t="s">
        <v>74</v>
      </c>
      <c r="AR1237" t="s">
        <v>15985</v>
      </c>
      <c r="AS1237" t="s">
        <v>15986</v>
      </c>
      <c r="AT1237" t="s">
        <v>14843</v>
      </c>
      <c r="AU1237">
        <v>2022</v>
      </c>
      <c r="AV1237">
        <v>2022</v>
      </c>
      <c r="AW1237" t="s">
        <v>74</v>
      </c>
      <c r="AX1237" t="s">
        <v>74</v>
      </c>
      <c r="AY1237" t="s">
        <v>74</v>
      </c>
      <c r="AZ1237" t="s">
        <v>74</v>
      </c>
      <c r="BA1237" t="s">
        <v>74</v>
      </c>
      <c r="BB1237" t="s">
        <v>74</v>
      </c>
      <c r="BC1237" t="s">
        <v>74</v>
      </c>
      <c r="BD1237">
        <v>1519717</v>
      </c>
      <c r="BE1237" t="s">
        <v>20766</v>
      </c>
      <c r="BF1237" t="str">
        <f>HYPERLINK("http://dx.doi.org/10.1155/2022/1519717","http://dx.doi.org/10.1155/2022/1519717")</f>
        <v>http://dx.doi.org/10.1155/2022/1519717</v>
      </c>
      <c r="BG1237" t="s">
        <v>74</v>
      </c>
      <c r="BH1237" t="s">
        <v>74</v>
      </c>
      <c r="BI1237">
        <v>11</v>
      </c>
      <c r="BJ1237" t="s">
        <v>15988</v>
      </c>
      <c r="BK1237" t="s">
        <v>283</v>
      </c>
      <c r="BL1237" t="s">
        <v>15989</v>
      </c>
      <c r="BM1237" t="s">
        <v>20767</v>
      </c>
      <c r="BN1237" t="s">
        <v>74</v>
      </c>
      <c r="BO1237" t="s">
        <v>2482</v>
      </c>
      <c r="BP1237" t="s">
        <v>74</v>
      </c>
      <c r="BQ1237" t="s">
        <v>74</v>
      </c>
      <c r="BR1237" t="s">
        <v>97</v>
      </c>
      <c r="BS1237" t="s">
        <v>20768</v>
      </c>
      <c r="BT1237" t="str">
        <f>HYPERLINK("https%3A%2F%2Fwww.webofscience.com%2Fwos%2Fwoscc%2Ffull-record%2FWOS:000805150300003","View Full Record in Web of Science")</f>
        <v>View Full Record in Web of Science</v>
      </c>
    </row>
    <row r="1238" spans="1:72" x14ac:dyDescent="0.25">
      <c r="A1238" t="s">
        <v>72</v>
      </c>
      <c r="B1238" t="s">
        <v>20769</v>
      </c>
      <c r="C1238" t="s">
        <v>74</v>
      </c>
      <c r="D1238" t="s">
        <v>74</v>
      </c>
      <c r="E1238" t="s">
        <v>74</v>
      </c>
      <c r="F1238" t="s">
        <v>20770</v>
      </c>
      <c r="G1238" t="s">
        <v>74</v>
      </c>
      <c r="H1238" t="s">
        <v>74</v>
      </c>
      <c r="I1238" t="s">
        <v>20771</v>
      </c>
      <c r="J1238" t="s">
        <v>7212</v>
      </c>
      <c r="K1238" t="s">
        <v>74</v>
      </c>
      <c r="L1238" t="s">
        <v>74</v>
      </c>
      <c r="M1238" t="s">
        <v>77</v>
      </c>
      <c r="N1238" t="s">
        <v>78</v>
      </c>
      <c r="O1238" t="s">
        <v>74</v>
      </c>
      <c r="P1238" t="s">
        <v>74</v>
      </c>
      <c r="Q1238" t="s">
        <v>74</v>
      </c>
      <c r="R1238" t="s">
        <v>74</v>
      </c>
      <c r="S1238" t="s">
        <v>74</v>
      </c>
      <c r="T1238" t="s">
        <v>20772</v>
      </c>
      <c r="U1238" t="s">
        <v>20773</v>
      </c>
      <c r="V1238" t="s">
        <v>20774</v>
      </c>
      <c r="W1238" t="s">
        <v>20775</v>
      </c>
      <c r="X1238" t="s">
        <v>20776</v>
      </c>
      <c r="Y1238" t="s">
        <v>20777</v>
      </c>
      <c r="Z1238" t="s">
        <v>20778</v>
      </c>
      <c r="AA1238" t="s">
        <v>74</v>
      </c>
      <c r="AB1238" t="s">
        <v>74</v>
      </c>
      <c r="AC1238" t="s">
        <v>74</v>
      </c>
      <c r="AD1238" t="s">
        <v>74</v>
      </c>
      <c r="AE1238" t="s">
        <v>74</v>
      </c>
      <c r="AF1238" t="s">
        <v>74</v>
      </c>
      <c r="AG1238">
        <v>117</v>
      </c>
      <c r="AH1238">
        <v>0</v>
      </c>
      <c r="AI1238">
        <v>0</v>
      </c>
      <c r="AJ1238">
        <v>14</v>
      </c>
      <c r="AK1238">
        <v>28</v>
      </c>
      <c r="AL1238" t="s">
        <v>4389</v>
      </c>
      <c r="AM1238" t="s">
        <v>541</v>
      </c>
      <c r="AN1238" t="s">
        <v>4390</v>
      </c>
      <c r="AO1238" t="s">
        <v>74</v>
      </c>
      <c r="AP1238" t="s">
        <v>7219</v>
      </c>
      <c r="AQ1238" t="s">
        <v>74</v>
      </c>
      <c r="AR1238" t="s">
        <v>7220</v>
      </c>
      <c r="AS1238" t="s">
        <v>7221</v>
      </c>
      <c r="AT1238" t="s">
        <v>20779</v>
      </c>
      <c r="AU1238">
        <v>2022</v>
      </c>
      <c r="AV1238">
        <v>22</v>
      </c>
      <c r="AW1238">
        <v>1</v>
      </c>
      <c r="AX1238" t="s">
        <v>74</v>
      </c>
      <c r="AY1238" t="s">
        <v>74</v>
      </c>
      <c r="AZ1238" t="s">
        <v>74</v>
      </c>
      <c r="BA1238" t="s">
        <v>74</v>
      </c>
      <c r="BB1238" t="s">
        <v>74</v>
      </c>
      <c r="BC1238" t="s">
        <v>74</v>
      </c>
      <c r="BD1238">
        <v>637</v>
      </c>
      <c r="BE1238" t="s">
        <v>20780</v>
      </c>
      <c r="BF1238" t="str">
        <f>HYPERLINK("http://dx.doi.org/10.1186/s12913-022-08042-x","http://dx.doi.org/10.1186/s12913-022-08042-x")</f>
        <v>http://dx.doi.org/10.1186/s12913-022-08042-x</v>
      </c>
      <c r="BG1238" t="s">
        <v>74</v>
      </c>
      <c r="BH1238" t="s">
        <v>74</v>
      </c>
      <c r="BI1238">
        <v>19</v>
      </c>
      <c r="BJ1238" t="s">
        <v>4027</v>
      </c>
      <c r="BK1238" t="s">
        <v>147</v>
      </c>
      <c r="BL1238" t="s">
        <v>4027</v>
      </c>
      <c r="BM1238" t="s">
        <v>20781</v>
      </c>
      <c r="BN1238">
        <v>35562748</v>
      </c>
      <c r="BO1238" t="s">
        <v>3205</v>
      </c>
      <c r="BP1238" t="s">
        <v>74</v>
      </c>
      <c r="BQ1238" t="s">
        <v>74</v>
      </c>
      <c r="BR1238" t="s">
        <v>97</v>
      </c>
      <c r="BS1238" t="s">
        <v>20782</v>
      </c>
      <c r="BT1238" t="str">
        <f>HYPERLINK("https%3A%2F%2Fwww.webofscience.com%2Fwos%2Fwoscc%2Ffull-record%2FWOS:000795563600001","View Full Record in Web of Science")</f>
        <v>View Full Record in Web of Science</v>
      </c>
    </row>
    <row r="1239" spans="1:72" x14ac:dyDescent="0.25">
      <c r="A1239" t="s">
        <v>72</v>
      </c>
      <c r="B1239" t="s">
        <v>20783</v>
      </c>
      <c r="C1239" t="s">
        <v>74</v>
      </c>
      <c r="D1239" t="s">
        <v>74</v>
      </c>
      <c r="E1239" t="s">
        <v>74</v>
      </c>
      <c r="F1239" t="s">
        <v>20784</v>
      </c>
      <c r="G1239" t="s">
        <v>74</v>
      </c>
      <c r="H1239" t="s">
        <v>74</v>
      </c>
      <c r="I1239" t="s">
        <v>20785</v>
      </c>
      <c r="J1239" t="s">
        <v>3184</v>
      </c>
      <c r="K1239" t="s">
        <v>74</v>
      </c>
      <c r="L1239" t="s">
        <v>74</v>
      </c>
      <c r="M1239" t="s">
        <v>77</v>
      </c>
      <c r="N1239" t="s">
        <v>78</v>
      </c>
      <c r="O1239" t="s">
        <v>74</v>
      </c>
      <c r="P1239" t="s">
        <v>74</v>
      </c>
      <c r="Q1239" t="s">
        <v>74</v>
      </c>
      <c r="R1239" t="s">
        <v>74</v>
      </c>
      <c r="S1239" t="s">
        <v>74</v>
      </c>
      <c r="T1239" t="s">
        <v>20786</v>
      </c>
      <c r="U1239" t="s">
        <v>20787</v>
      </c>
      <c r="V1239" t="s">
        <v>20788</v>
      </c>
      <c r="W1239" t="s">
        <v>20789</v>
      </c>
      <c r="X1239" t="s">
        <v>20790</v>
      </c>
      <c r="Y1239" t="s">
        <v>20791</v>
      </c>
      <c r="Z1239" t="s">
        <v>20792</v>
      </c>
      <c r="AA1239" t="s">
        <v>74</v>
      </c>
      <c r="AB1239" t="s">
        <v>74</v>
      </c>
      <c r="AC1239" t="s">
        <v>20793</v>
      </c>
      <c r="AD1239" t="s">
        <v>575</v>
      </c>
      <c r="AE1239" t="s">
        <v>20794</v>
      </c>
      <c r="AF1239" t="s">
        <v>74</v>
      </c>
      <c r="AG1239">
        <v>98</v>
      </c>
      <c r="AH1239">
        <v>0</v>
      </c>
      <c r="AI1239">
        <v>0</v>
      </c>
      <c r="AJ1239">
        <v>7</v>
      </c>
      <c r="AK1239">
        <v>22</v>
      </c>
      <c r="AL1239" t="s">
        <v>3195</v>
      </c>
      <c r="AM1239" t="s">
        <v>3196</v>
      </c>
      <c r="AN1239" t="s">
        <v>3197</v>
      </c>
      <c r="AO1239" t="s">
        <v>3198</v>
      </c>
      <c r="AP1239" t="s">
        <v>74</v>
      </c>
      <c r="AQ1239" t="s">
        <v>74</v>
      </c>
      <c r="AR1239" t="s">
        <v>3199</v>
      </c>
      <c r="AS1239" t="s">
        <v>3200</v>
      </c>
      <c r="AT1239" t="s">
        <v>20795</v>
      </c>
      <c r="AU1239">
        <v>2022</v>
      </c>
      <c r="AV1239">
        <v>13</v>
      </c>
      <c r="AW1239" t="s">
        <v>74</v>
      </c>
      <c r="AX1239" t="s">
        <v>74</v>
      </c>
      <c r="AY1239" t="s">
        <v>74</v>
      </c>
      <c r="AZ1239" t="s">
        <v>74</v>
      </c>
      <c r="BA1239" t="s">
        <v>74</v>
      </c>
      <c r="BB1239" t="s">
        <v>74</v>
      </c>
      <c r="BC1239" t="s">
        <v>74</v>
      </c>
      <c r="BD1239">
        <v>809841</v>
      </c>
      <c r="BE1239" t="s">
        <v>20796</v>
      </c>
      <c r="BF1239" t="str">
        <f>HYPERLINK("http://dx.doi.org/10.3389/fpsyg.2022.809841","http://dx.doi.org/10.3389/fpsyg.2022.809841")</f>
        <v>http://dx.doi.org/10.3389/fpsyg.2022.809841</v>
      </c>
      <c r="BG1239" t="s">
        <v>74</v>
      </c>
      <c r="BH1239" t="s">
        <v>74</v>
      </c>
      <c r="BI1239">
        <v>16</v>
      </c>
      <c r="BJ1239" t="s">
        <v>3203</v>
      </c>
      <c r="BK1239" t="s">
        <v>94</v>
      </c>
      <c r="BL1239" t="s">
        <v>460</v>
      </c>
      <c r="BM1239" t="s">
        <v>20797</v>
      </c>
      <c r="BN1239">
        <v>35645918</v>
      </c>
      <c r="BO1239" t="s">
        <v>4398</v>
      </c>
      <c r="BP1239" t="s">
        <v>74</v>
      </c>
      <c r="BQ1239" t="s">
        <v>74</v>
      </c>
      <c r="BR1239" t="s">
        <v>97</v>
      </c>
      <c r="BS1239" t="s">
        <v>20798</v>
      </c>
      <c r="BT1239" t="str">
        <f>HYPERLINK("https%3A%2F%2Fwww.webofscience.com%2Fwos%2Fwoscc%2Ffull-record%2FWOS:000803670000001","View Full Record in Web of Science")</f>
        <v>View Full Record in Web of Science</v>
      </c>
    </row>
    <row r="1240" spans="1:72" x14ac:dyDescent="0.25">
      <c r="A1240" t="s">
        <v>72</v>
      </c>
      <c r="B1240" t="s">
        <v>20799</v>
      </c>
      <c r="C1240" t="s">
        <v>74</v>
      </c>
      <c r="D1240" t="s">
        <v>74</v>
      </c>
      <c r="E1240" t="s">
        <v>74</v>
      </c>
      <c r="F1240" t="s">
        <v>20800</v>
      </c>
      <c r="G1240" t="s">
        <v>74</v>
      </c>
      <c r="H1240" t="s">
        <v>74</v>
      </c>
      <c r="I1240" t="s">
        <v>20801</v>
      </c>
      <c r="J1240" t="s">
        <v>20802</v>
      </c>
      <c r="K1240" t="s">
        <v>74</v>
      </c>
      <c r="L1240" t="s">
        <v>74</v>
      </c>
      <c r="M1240" t="s">
        <v>77</v>
      </c>
      <c r="N1240" t="s">
        <v>78</v>
      </c>
      <c r="O1240" t="s">
        <v>74</v>
      </c>
      <c r="P1240" t="s">
        <v>74</v>
      </c>
      <c r="Q1240" t="s">
        <v>74</v>
      </c>
      <c r="R1240" t="s">
        <v>74</v>
      </c>
      <c r="S1240" t="s">
        <v>74</v>
      </c>
      <c r="T1240" t="s">
        <v>20803</v>
      </c>
      <c r="U1240" t="s">
        <v>20804</v>
      </c>
      <c r="V1240" t="s">
        <v>20805</v>
      </c>
      <c r="W1240" t="s">
        <v>20806</v>
      </c>
      <c r="X1240" t="s">
        <v>20807</v>
      </c>
      <c r="Y1240" t="s">
        <v>20808</v>
      </c>
      <c r="Z1240" t="s">
        <v>20809</v>
      </c>
      <c r="AA1240" t="s">
        <v>74</v>
      </c>
      <c r="AB1240" t="s">
        <v>74</v>
      </c>
      <c r="AC1240" t="s">
        <v>74</v>
      </c>
      <c r="AD1240" t="s">
        <v>74</v>
      </c>
      <c r="AE1240" t="s">
        <v>74</v>
      </c>
      <c r="AF1240" t="s">
        <v>74</v>
      </c>
      <c r="AG1240">
        <v>130</v>
      </c>
      <c r="AH1240">
        <v>0</v>
      </c>
      <c r="AI1240">
        <v>0</v>
      </c>
      <c r="AJ1240">
        <v>27</v>
      </c>
      <c r="AK1240">
        <v>48</v>
      </c>
      <c r="AL1240" t="s">
        <v>3195</v>
      </c>
      <c r="AM1240" t="s">
        <v>3196</v>
      </c>
      <c r="AN1240" t="s">
        <v>3197</v>
      </c>
      <c r="AO1240" t="s">
        <v>74</v>
      </c>
      <c r="AP1240" t="s">
        <v>20810</v>
      </c>
      <c r="AQ1240" t="s">
        <v>74</v>
      </c>
      <c r="AR1240" t="s">
        <v>20811</v>
      </c>
      <c r="AS1240" t="s">
        <v>20812</v>
      </c>
      <c r="AT1240" t="s">
        <v>20795</v>
      </c>
      <c r="AU1240">
        <v>2022</v>
      </c>
      <c r="AV1240">
        <v>10</v>
      </c>
      <c r="AW1240" t="s">
        <v>74</v>
      </c>
      <c r="AX1240" t="s">
        <v>74</v>
      </c>
      <c r="AY1240" t="s">
        <v>74</v>
      </c>
      <c r="AZ1240" t="s">
        <v>74</v>
      </c>
      <c r="BA1240" t="s">
        <v>74</v>
      </c>
      <c r="BB1240" t="s">
        <v>74</v>
      </c>
      <c r="BC1240" t="s">
        <v>74</v>
      </c>
      <c r="BD1240">
        <v>846842</v>
      </c>
      <c r="BE1240" t="s">
        <v>20813</v>
      </c>
      <c r="BF1240" t="str">
        <f>HYPERLINK("http://dx.doi.org/10.3389/fpubh.2022.846842","http://dx.doi.org/10.3389/fpubh.2022.846842")</f>
        <v>http://dx.doi.org/10.3389/fpubh.2022.846842</v>
      </c>
      <c r="BG1240" t="s">
        <v>74</v>
      </c>
      <c r="BH1240" t="s">
        <v>74</v>
      </c>
      <c r="BI1240">
        <v>15</v>
      </c>
      <c r="BJ1240" t="s">
        <v>8184</v>
      </c>
      <c r="BK1240" t="s">
        <v>147</v>
      </c>
      <c r="BL1240" t="s">
        <v>8184</v>
      </c>
      <c r="BM1240" t="s">
        <v>20814</v>
      </c>
      <c r="BN1240">
        <v>35655454</v>
      </c>
      <c r="BO1240" t="s">
        <v>4398</v>
      </c>
      <c r="BP1240" t="s">
        <v>74</v>
      </c>
      <c r="BQ1240" t="s">
        <v>74</v>
      </c>
      <c r="BR1240" t="s">
        <v>97</v>
      </c>
      <c r="BS1240" t="s">
        <v>20815</v>
      </c>
      <c r="BT1240" t="str">
        <f>HYPERLINK("https%3A%2F%2Fwww.webofscience.com%2Fwos%2Fwoscc%2Ffull-record%2FWOS:000804109800001","View Full Record in Web of Science")</f>
        <v>View Full Record in Web of Science</v>
      </c>
    </row>
    <row r="1241" spans="1:72" x14ac:dyDescent="0.25">
      <c r="A1241" t="s">
        <v>72</v>
      </c>
      <c r="B1241" t="s">
        <v>20816</v>
      </c>
      <c r="C1241" t="s">
        <v>74</v>
      </c>
      <c r="D1241" t="s">
        <v>74</v>
      </c>
      <c r="E1241" t="s">
        <v>74</v>
      </c>
      <c r="F1241" t="s">
        <v>20817</v>
      </c>
      <c r="G1241" t="s">
        <v>74</v>
      </c>
      <c r="H1241" t="s">
        <v>74</v>
      </c>
      <c r="I1241" t="s">
        <v>20818</v>
      </c>
      <c r="J1241" t="s">
        <v>20819</v>
      </c>
      <c r="K1241" t="s">
        <v>74</v>
      </c>
      <c r="L1241" t="s">
        <v>74</v>
      </c>
      <c r="M1241" t="s">
        <v>77</v>
      </c>
      <c r="N1241" t="s">
        <v>78</v>
      </c>
      <c r="O1241" t="s">
        <v>74</v>
      </c>
      <c r="P1241" t="s">
        <v>74</v>
      </c>
      <c r="Q1241" t="s">
        <v>74</v>
      </c>
      <c r="R1241" t="s">
        <v>74</v>
      </c>
      <c r="S1241" t="s">
        <v>74</v>
      </c>
      <c r="T1241" t="s">
        <v>74</v>
      </c>
      <c r="U1241" t="s">
        <v>20820</v>
      </c>
      <c r="V1241" t="s">
        <v>20821</v>
      </c>
      <c r="W1241" t="s">
        <v>20822</v>
      </c>
      <c r="X1241" t="s">
        <v>20823</v>
      </c>
      <c r="Y1241" t="s">
        <v>20824</v>
      </c>
      <c r="Z1241" t="s">
        <v>20825</v>
      </c>
      <c r="AA1241" t="s">
        <v>74</v>
      </c>
      <c r="AB1241" t="s">
        <v>74</v>
      </c>
      <c r="AC1241" t="s">
        <v>20826</v>
      </c>
      <c r="AD1241" t="s">
        <v>20827</v>
      </c>
      <c r="AE1241" t="s">
        <v>20828</v>
      </c>
      <c r="AF1241" t="s">
        <v>74</v>
      </c>
      <c r="AG1241">
        <v>46</v>
      </c>
      <c r="AH1241">
        <v>0</v>
      </c>
      <c r="AI1241">
        <v>0</v>
      </c>
      <c r="AJ1241">
        <v>0</v>
      </c>
      <c r="AK1241">
        <v>1</v>
      </c>
      <c r="AL1241" t="s">
        <v>20829</v>
      </c>
      <c r="AM1241" t="s">
        <v>5453</v>
      </c>
      <c r="AN1241" t="s">
        <v>20830</v>
      </c>
      <c r="AO1241" t="s">
        <v>20831</v>
      </c>
      <c r="AP1241" t="s">
        <v>74</v>
      </c>
      <c r="AQ1241" t="s">
        <v>74</v>
      </c>
      <c r="AR1241" t="s">
        <v>20832</v>
      </c>
      <c r="AS1241" t="s">
        <v>20833</v>
      </c>
      <c r="AT1241" t="s">
        <v>165</v>
      </c>
      <c r="AU1241">
        <v>2022</v>
      </c>
      <c r="AV1241" t="s">
        <v>74</v>
      </c>
      <c r="AW1241">
        <v>183</v>
      </c>
      <c r="AX1241" t="s">
        <v>74</v>
      </c>
      <c r="AY1241" t="s">
        <v>74</v>
      </c>
      <c r="AZ1241" t="s">
        <v>74</v>
      </c>
      <c r="BA1241" t="s">
        <v>74</v>
      </c>
      <c r="BB1241" t="s">
        <v>74</v>
      </c>
      <c r="BC1241" t="s">
        <v>74</v>
      </c>
      <c r="BD1241" t="s">
        <v>20834</v>
      </c>
      <c r="BE1241" t="s">
        <v>20835</v>
      </c>
      <c r="BF1241" t="str">
        <f>HYPERLINK("http://dx.doi.org/10.3791/63026","http://dx.doi.org/10.3791/63026")</f>
        <v>http://dx.doi.org/10.3791/63026</v>
      </c>
      <c r="BG1241" t="s">
        <v>74</v>
      </c>
      <c r="BH1241" t="s">
        <v>74</v>
      </c>
      <c r="BI1241">
        <v>18</v>
      </c>
      <c r="BJ1241" t="s">
        <v>282</v>
      </c>
      <c r="BK1241" t="s">
        <v>283</v>
      </c>
      <c r="BL1241" t="s">
        <v>284</v>
      </c>
      <c r="BM1241" t="s">
        <v>20836</v>
      </c>
      <c r="BN1241">
        <v>35635458</v>
      </c>
      <c r="BO1241" t="s">
        <v>74</v>
      </c>
      <c r="BP1241" t="s">
        <v>74</v>
      </c>
      <c r="BQ1241" t="s">
        <v>74</v>
      </c>
      <c r="BR1241" t="s">
        <v>97</v>
      </c>
      <c r="BS1241" t="s">
        <v>20837</v>
      </c>
      <c r="BT1241" t="str">
        <f>HYPERLINK("https%3A%2F%2Fwww.webofscience.com%2Fwos%2Fwoscc%2Ffull-record%2FWOS:000810986100023","View Full Record in Web of Science")</f>
        <v>View Full Record in Web of Science</v>
      </c>
    </row>
    <row r="1242" spans="1:72" x14ac:dyDescent="0.25">
      <c r="A1242" t="s">
        <v>72</v>
      </c>
      <c r="B1242" t="s">
        <v>20838</v>
      </c>
      <c r="C1242" t="s">
        <v>74</v>
      </c>
      <c r="D1242" t="s">
        <v>74</v>
      </c>
      <c r="E1242" t="s">
        <v>74</v>
      </c>
      <c r="F1242" t="s">
        <v>20839</v>
      </c>
      <c r="G1242" t="s">
        <v>74</v>
      </c>
      <c r="H1242" t="s">
        <v>74</v>
      </c>
      <c r="I1242" t="s">
        <v>20840</v>
      </c>
      <c r="J1242" t="s">
        <v>20841</v>
      </c>
      <c r="K1242" t="s">
        <v>74</v>
      </c>
      <c r="L1242" t="s">
        <v>74</v>
      </c>
      <c r="M1242" t="s">
        <v>77</v>
      </c>
      <c r="N1242" t="s">
        <v>78</v>
      </c>
      <c r="O1242" t="s">
        <v>74</v>
      </c>
      <c r="P1242" t="s">
        <v>74</v>
      </c>
      <c r="Q1242" t="s">
        <v>74</v>
      </c>
      <c r="R1242" t="s">
        <v>74</v>
      </c>
      <c r="S1242" t="s">
        <v>74</v>
      </c>
      <c r="T1242" t="s">
        <v>20842</v>
      </c>
      <c r="U1242" t="s">
        <v>20843</v>
      </c>
      <c r="V1242" t="s">
        <v>20844</v>
      </c>
      <c r="W1242" t="s">
        <v>20845</v>
      </c>
      <c r="X1242" t="s">
        <v>20846</v>
      </c>
      <c r="Y1242" t="s">
        <v>20847</v>
      </c>
      <c r="Z1242" t="s">
        <v>20848</v>
      </c>
      <c r="AA1242" t="s">
        <v>74</v>
      </c>
      <c r="AB1242" t="s">
        <v>74</v>
      </c>
      <c r="AC1242" t="s">
        <v>20849</v>
      </c>
      <c r="AD1242" t="s">
        <v>20849</v>
      </c>
      <c r="AE1242" t="s">
        <v>20850</v>
      </c>
      <c r="AF1242" t="s">
        <v>74</v>
      </c>
      <c r="AG1242">
        <v>119</v>
      </c>
      <c r="AH1242">
        <v>0</v>
      </c>
      <c r="AI1242">
        <v>0</v>
      </c>
      <c r="AJ1242">
        <v>6</v>
      </c>
      <c r="AK1242">
        <v>25</v>
      </c>
      <c r="AL1242" t="s">
        <v>218</v>
      </c>
      <c r="AM1242" t="s">
        <v>219</v>
      </c>
      <c r="AN1242" t="s">
        <v>220</v>
      </c>
      <c r="AO1242" t="s">
        <v>20851</v>
      </c>
      <c r="AP1242" t="s">
        <v>20852</v>
      </c>
      <c r="AQ1242" t="s">
        <v>74</v>
      </c>
      <c r="AR1242" t="s">
        <v>20853</v>
      </c>
      <c r="AS1242" t="s">
        <v>20854</v>
      </c>
      <c r="AT1242" t="s">
        <v>792</v>
      </c>
      <c r="AU1242">
        <v>2022</v>
      </c>
      <c r="AV1242">
        <v>31</v>
      </c>
      <c r="AW1242">
        <v>3</v>
      </c>
      <c r="AX1242" t="s">
        <v>74</v>
      </c>
      <c r="AY1242" t="s">
        <v>74</v>
      </c>
      <c r="AZ1242" t="s">
        <v>74</v>
      </c>
      <c r="BA1242" t="s">
        <v>74</v>
      </c>
      <c r="BB1242">
        <v>702</v>
      </c>
      <c r="BC1242">
        <v>717</v>
      </c>
      <c r="BD1242" t="s">
        <v>74</v>
      </c>
      <c r="BE1242" t="s">
        <v>20855</v>
      </c>
      <c r="BF1242" t="str">
        <f>HYPERLINK("http://dx.doi.org/10.1111/beer.12437","http://dx.doi.org/10.1111/beer.12437")</f>
        <v>http://dx.doi.org/10.1111/beer.12437</v>
      </c>
      <c r="BG1242" t="s">
        <v>74</v>
      </c>
      <c r="BH1242" t="s">
        <v>11990</v>
      </c>
      <c r="BI1242">
        <v>16</v>
      </c>
      <c r="BJ1242" t="s">
        <v>5819</v>
      </c>
      <c r="BK1242" t="s">
        <v>94</v>
      </c>
      <c r="BL1242" t="s">
        <v>2359</v>
      </c>
      <c r="BM1242" t="s">
        <v>20856</v>
      </c>
      <c r="BN1242" t="s">
        <v>74</v>
      </c>
      <c r="BO1242" t="s">
        <v>74</v>
      </c>
      <c r="BP1242" t="s">
        <v>74</v>
      </c>
      <c r="BQ1242" t="s">
        <v>74</v>
      </c>
      <c r="BR1242" t="s">
        <v>97</v>
      </c>
      <c r="BS1242" t="s">
        <v>20857</v>
      </c>
      <c r="BT1242" t="str">
        <f>HYPERLINK("https%3A%2F%2Fwww.webofscience.com%2Fwos%2Fwoscc%2Ffull-record%2FWOS:000783839800001","View Full Record in Web of Science")</f>
        <v>View Full Record in Web of Science</v>
      </c>
    </row>
    <row r="1243" spans="1:72" x14ac:dyDescent="0.25">
      <c r="A1243" t="s">
        <v>72</v>
      </c>
      <c r="B1243" t="s">
        <v>20858</v>
      </c>
      <c r="C1243" t="s">
        <v>74</v>
      </c>
      <c r="D1243" t="s">
        <v>74</v>
      </c>
      <c r="E1243" t="s">
        <v>74</v>
      </c>
      <c r="F1243" t="s">
        <v>20859</v>
      </c>
      <c r="G1243" t="s">
        <v>74</v>
      </c>
      <c r="H1243" t="s">
        <v>74</v>
      </c>
      <c r="I1243" t="s">
        <v>20860</v>
      </c>
      <c r="J1243" t="s">
        <v>9115</v>
      </c>
      <c r="K1243" t="s">
        <v>74</v>
      </c>
      <c r="L1243" t="s">
        <v>74</v>
      </c>
      <c r="M1243" t="s">
        <v>77</v>
      </c>
      <c r="N1243" t="s">
        <v>10095</v>
      </c>
      <c r="O1243" t="s">
        <v>74</v>
      </c>
      <c r="P1243" t="s">
        <v>74</v>
      </c>
      <c r="Q1243" t="s">
        <v>74</v>
      </c>
      <c r="R1243" t="s">
        <v>74</v>
      </c>
      <c r="S1243" t="s">
        <v>74</v>
      </c>
      <c r="T1243" t="s">
        <v>20861</v>
      </c>
      <c r="U1243" t="s">
        <v>20862</v>
      </c>
      <c r="V1243" t="s">
        <v>20863</v>
      </c>
      <c r="W1243" t="s">
        <v>20864</v>
      </c>
      <c r="X1243" t="s">
        <v>20865</v>
      </c>
      <c r="Y1243" t="s">
        <v>20866</v>
      </c>
      <c r="Z1243" t="s">
        <v>20867</v>
      </c>
      <c r="AA1243" t="s">
        <v>74</v>
      </c>
      <c r="AB1243" t="s">
        <v>74</v>
      </c>
      <c r="AC1243" t="s">
        <v>20868</v>
      </c>
      <c r="AD1243" t="s">
        <v>20869</v>
      </c>
      <c r="AE1243" t="s">
        <v>20870</v>
      </c>
      <c r="AF1243" t="s">
        <v>74</v>
      </c>
      <c r="AG1243">
        <v>139</v>
      </c>
      <c r="AH1243">
        <v>0</v>
      </c>
      <c r="AI1243">
        <v>0</v>
      </c>
      <c r="AJ1243">
        <v>3</v>
      </c>
      <c r="AK1243">
        <v>25</v>
      </c>
      <c r="AL1243" t="s">
        <v>1099</v>
      </c>
      <c r="AM1243" t="s">
        <v>305</v>
      </c>
      <c r="AN1243" t="s">
        <v>1100</v>
      </c>
      <c r="AO1243" t="s">
        <v>9124</v>
      </c>
      <c r="AP1243" t="s">
        <v>9125</v>
      </c>
      <c r="AQ1243" t="s">
        <v>74</v>
      </c>
      <c r="AR1243" t="s">
        <v>9126</v>
      </c>
      <c r="AS1243" t="s">
        <v>9127</v>
      </c>
      <c r="AT1243" t="s">
        <v>74</v>
      </c>
      <c r="AU1243" t="s">
        <v>74</v>
      </c>
      <c r="AV1243" t="s">
        <v>74</v>
      </c>
      <c r="AW1243" t="s">
        <v>74</v>
      </c>
      <c r="AX1243" t="s">
        <v>74</v>
      </c>
      <c r="AY1243" t="s">
        <v>74</v>
      </c>
      <c r="AZ1243" t="s">
        <v>74</v>
      </c>
      <c r="BA1243" t="s">
        <v>74</v>
      </c>
      <c r="BB1243" t="s">
        <v>74</v>
      </c>
      <c r="BC1243" t="s">
        <v>74</v>
      </c>
      <c r="BD1243" t="s">
        <v>74</v>
      </c>
      <c r="BE1243" t="s">
        <v>20871</v>
      </c>
      <c r="BF1243" t="str">
        <f>HYPERLINK("http://dx.doi.org/10.1080/14479338.2022.2064470","http://dx.doi.org/10.1080/14479338.2022.2064470")</f>
        <v>http://dx.doi.org/10.1080/14479338.2022.2064470</v>
      </c>
      <c r="BG1243" t="s">
        <v>74</v>
      </c>
      <c r="BH1243" t="s">
        <v>11990</v>
      </c>
      <c r="BI1243">
        <v>30</v>
      </c>
      <c r="BJ1243" t="s">
        <v>442</v>
      </c>
      <c r="BK1243" t="s">
        <v>94</v>
      </c>
      <c r="BL1243" t="s">
        <v>95</v>
      </c>
      <c r="BM1243" t="s">
        <v>20872</v>
      </c>
      <c r="BN1243" t="s">
        <v>74</v>
      </c>
      <c r="BO1243" t="s">
        <v>74</v>
      </c>
      <c r="BP1243" t="s">
        <v>74</v>
      </c>
      <c r="BQ1243" t="s">
        <v>74</v>
      </c>
      <c r="BR1243" t="s">
        <v>97</v>
      </c>
      <c r="BS1243" t="s">
        <v>20873</v>
      </c>
      <c r="BT1243" t="str">
        <f>HYPERLINK("https%3A%2F%2Fwww.webofscience.com%2Fwos%2Fwoscc%2Ffull-record%2FWOS:000783397700001","View Full Record in Web of Science")</f>
        <v>View Full Record in Web of Science</v>
      </c>
    </row>
    <row r="1244" spans="1:72" x14ac:dyDescent="0.25">
      <c r="A1244" t="s">
        <v>72</v>
      </c>
      <c r="B1244" t="s">
        <v>20874</v>
      </c>
      <c r="C1244" t="s">
        <v>74</v>
      </c>
      <c r="D1244" t="s">
        <v>74</v>
      </c>
      <c r="E1244" t="s">
        <v>74</v>
      </c>
      <c r="F1244" t="s">
        <v>20875</v>
      </c>
      <c r="G1244" t="s">
        <v>74</v>
      </c>
      <c r="H1244" t="s">
        <v>74</v>
      </c>
      <c r="I1244" t="s">
        <v>20876</v>
      </c>
      <c r="J1244" t="s">
        <v>20877</v>
      </c>
      <c r="K1244" t="s">
        <v>74</v>
      </c>
      <c r="L1244" t="s">
        <v>74</v>
      </c>
      <c r="M1244" t="s">
        <v>77</v>
      </c>
      <c r="N1244" t="s">
        <v>78</v>
      </c>
      <c r="O1244" t="s">
        <v>74</v>
      </c>
      <c r="P1244" t="s">
        <v>74</v>
      </c>
      <c r="Q1244" t="s">
        <v>74</v>
      </c>
      <c r="R1244" t="s">
        <v>74</v>
      </c>
      <c r="S1244" t="s">
        <v>74</v>
      </c>
      <c r="T1244" t="s">
        <v>20878</v>
      </c>
      <c r="U1244" t="s">
        <v>20879</v>
      </c>
      <c r="V1244" t="s">
        <v>20880</v>
      </c>
      <c r="W1244" t="s">
        <v>20881</v>
      </c>
      <c r="X1244" t="s">
        <v>20882</v>
      </c>
      <c r="Y1244" t="s">
        <v>20883</v>
      </c>
      <c r="Z1244" t="s">
        <v>20884</v>
      </c>
      <c r="AA1244" t="s">
        <v>74</v>
      </c>
      <c r="AB1244" t="s">
        <v>74</v>
      </c>
      <c r="AC1244" t="s">
        <v>20885</v>
      </c>
      <c r="AD1244" t="s">
        <v>20886</v>
      </c>
      <c r="AE1244" t="s">
        <v>20887</v>
      </c>
      <c r="AF1244" t="s">
        <v>74</v>
      </c>
      <c r="AG1244">
        <v>138</v>
      </c>
      <c r="AH1244">
        <v>0</v>
      </c>
      <c r="AI1244">
        <v>0</v>
      </c>
      <c r="AJ1244">
        <v>4</v>
      </c>
      <c r="AK1244">
        <v>12</v>
      </c>
      <c r="AL1244" t="s">
        <v>1099</v>
      </c>
      <c r="AM1244" t="s">
        <v>305</v>
      </c>
      <c r="AN1244" t="s">
        <v>1100</v>
      </c>
      <c r="AO1244" t="s">
        <v>20888</v>
      </c>
      <c r="AP1244" t="s">
        <v>20889</v>
      </c>
      <c r="AQ1244" t="s">
        <v>74</v>
      </c>
      <c r="AR1244" t="s">
        <v>20890</v>
      </c>
      <c r="AS1244" t="s">
        <v>20891</v>
      </c>
      <c r="AT1244" t="s">
        <v>19964</v>
      </c>
      <c r="AU1244">
        <v>2022</v>
      </c>
      <c r="AV1244">
        <v>54</v>
      </c>
      <c r="AW1244">
        <v>53</v>
      </c>
      <c r="AX1244" t="s">
        <v>74</v>
      </c>
      <c r="AY1244" t="s">
        <v>74</v>
      </c>
      <c r="AZ1244" t="s">
        <v>74</v>
      </c>
      <c r="BA1244" t="s">
        <v>74</v>
      </c>
      <c r="BB1244">
        <v>6160</v>
      </c>
      <c r="BC1244">
        <v>6178</v>
      </c>
      <c r="BD1244" t="s">
        <v>74</v>
      </c>
      <c r="BE1244" t="s">
        <v>20892</v>
      </c>
      <c r="BF1244" t="str">
        <f>HYPERLINK("http://dx.doi.org/10.1080/00036846.2022.2059437","http://dx.doi.org/10.1080/00036846.2022.2059437")</f>
        <v>http://dx.doi.org/10.1080/00036846.2022.2059437</v>
      </c>
      <c r="BG1244" t="s">
        <v>74</v>
      </c>
      <c r="BH1244" t="s">
        <v>11990</v>
      </c>
      <c r="BI1244">
        <v>19</v>
      </c>
      <c r="BJ1244" t="s">
        <v>2599</v>
      </c>
      <c r="BK1244" t="s">
        <v>94</v>
      </c>
      <c r="BL1244" t="s">
        <v>95</v>
      </c>
      <c r="BM1244" t="s">
        <v>20893</v>
      </c>
      <c r="BN1244" t="s">
        <v>74</v>
      </c>
      <c r="BO1244" t="s">
        <v>74</v>
      </c>
      <c r="BP1244" t="s">
        <v>74</v>
      </c>
      <c r="BQ1244" t="s">
        <v>74</v>
      </c>
      <c r="BR1244" t="s">
        <v>97</v>
      </c>
      <c r="BS1244" t="s">
        <v>20894</v>
      </c>
      <c r="BT1244" t="str">
        <f>HYPERLINK("https%3A%2F%2Fwww.webofscience.com%2Fwos%2Fwoscc%2Ffull-record%2FWOS:000779267600001","View Full Record in Web of Science")</f>
        <v>View Full Record in Web of Science</v>
      </c>
    </row>
    <row r="1245" spans="1:72" x14ac:dyDescent="0.25">
      <c r="A1245" t="s">
        <v>72</v>
      </c>
      <c r="B1245" t="s">
        <v>20895</v>
      </c>
      <c r="C1245" t="s">
        <v>74</v>
      </c>
      <c r="D1245" t="s">
        <v>74</v>
      </c>
      <c r="E1245" t="s">
        <v>74</v>
      </c>
      <c r="F1245" t="s">
        <v>20896</v>
      </c>
      <c r="G1245" t="s">
        <v>74</v>
      </c>
      <c r="H1245" t="s">
        <v>74</v>
      </c>
      <c r="I1245" t="s">
        <v>20897</v>
      </c>
      <c r="J1245" t="s">
        <v>3184</v>
      </c>
      <c r="K1245" t="s">
        <v>74</v>
      </c>
      <c r="L1245" t="s">
        <v>74</v>
      </c>
      <c r="M1245" t="s">
        <v>77</v>
      </c>
      <c r="N1245" t="s">
        <v>78</v>
      </c>
      <c r="O1245" t="s">
        <v>74</v>
      </c>
      <c r="P1245" t="s">
        <v>74</v>
      </c>
      <c r="Q1245" t="s">
        <v>74</v>
      </c>
      <c r="R1245" t="s">
        <v>74</v>
      </c>
      <c r="S1245" t="s">
        <v>74</v>
      </c>
      <c r="T1245" t="s">
        <v>20898</v>
      </c>
      <c r="U1245" t="s">
        <v>20899</v>
      </c>
      <c r="V1245" t="s">
        <v>20900</v>
      </c>
      <c r="W1245" t="s">
        <v>20901</v>
      </c>
      <c r="X1245" t="s">
        <v>19161</v>
      </c>
      <c r="Y1245" t="s">
        <v>20902</v>
      </c>
      <c r="Z1245" t="s">
        <v>20903</v>
      </c>
      <c r="AA1245" t="s">
        <v>74</v>
      </c>
      <c r="AB1245" t="s">
        <v>20904</v>
      </c>
      <c r="AC1245" t="s">
        <v>74</v>
      </c>
      <c r="AD1245" t="s">
        <v>74</v>
      </c>
      <c r="AE1245" t="s">
        <v>74</v>
      </c>
      <c r="AF1245" t="s">
        <v>74</v>
      </c>
      <c r="AG1245">
        <v>78</v>
      </c>
      <c r="AH1245">
        <v>0</v>
      </c>
      <c r="AI1245">
        <v>0</v>
      </c>
      <c r="AJ1245">
        <v>4</v>
      </c>
      <c r="AK1245">
        <v>6</v>
      </c>
      <c r="AL1245" t="s">
        <v>3195</v>
      </c>
      <c r="AM1245" t="s">
        <v>3196</v>
      </c>
      <c r="AN1245" t="s">
        <v>3197</v>
      </c>
      <c r="AO1245" t="s">
        <v>3198</v>
      </c>
      <c r="AP1245" t="s">
        <v>74</v>
      </c>
      <c r="AQ1245" t="s">
        <v>74</v>
      </c>
      <c r="AR1245" t="s">
        <v>3199</v>
      </c>
      <c r="AS1245" t="s">
        <v>3200</v>
      </c>
      <c r="AT1245" t="s">
        <v>3541</v>
      </c>
      <c r="AU1245">
        <v>2022</v>
      </c>
      <c r="AV1245">
        <v>13</v>
      </c>
      <c r="AW1245" t="s">
        <v>74</v>
      </c>
      <c r="AX1245" t="s">
        <v>74</v>
      </c>
      <c r="AY1245" t="s">
        <v>74</v>
      </c>
      <c r="AZ1245" t="s">
        <v>74</v>
      </c>
      <c r="BA1245" t="s">
        <v>74</v>
      </c>
      <c r="BB1245" t="s">
        <v>74</v>
      </c>
      <c r="BC1245" t="s">
        <v>74</v>
      </c>
      <c r="BD1245">
        <v>848235</v>
      </c>
      <c r="BE1245" t="s">
        <v>20905</v>
      </c>
      <c r="BF1245" t="str">
        <f>HYPERLINK("http://dx.doi.org/10.3389/fpsyg.2022.848235","http://dx.doi.org/10.3389/fpsyg.2022.848235")</f>
        <v>http://dx.doi.org/10.3389/fpsyg.2022.848235</v>
      </c>
      <c r="BG1245" t="s">
        <v>74</v>
      </c>
      <c r="BH1245" t="s">
        <v>74</v>
      </c>
      <c r="BI1245">
        <v>12</v>
      </c>
      <c r="BJ1245" t="s">
        <v>3203</v>
      </c>
      <c r="BK1245" t="s">
        <v>94</v>
      </c>
      <c r="BL1245" t="s">
        <v>460</v>
      </c>
      <c r="BM1245" t="s">
        <v>20906</v>
      </c>
      <c r="BN1245">
        <v>35432144</v>
      </c>
      <c r="BO1245" t="s">
        <v>4398</v>
      </c>
      <c r="BP1245" t="s">
        <v>74</v>
      </c>
      <c r="BQ1245" t="s">
        <v>74</v>
      </c>
      <c r="BR1245" t="s">
        <v>97</v>
      </c>
      <c r="BS1245" t="s">
        <v>20907</v>
      </c>
      <c r="BT1245" t="str">
        <f>HYPERLINK("https%3A%2F%2Fwww.webofscience.com%2Fwos%2Fwoscc%2Ffull-record%2FWOS:000789104800001","View Full Record in Web of Science")</f>
        <v>View Full Record in Web of Science</v>
      </c>
    </row>
    <row r="1246" spans="1:72" x14ac:dyDescent="0.25">
      <c r="A1246" t="s">
        <v>72</v>
      </c>
      <c r="B1246" t="s">
        <v>20908</v>
      </c>
      <c r="C1246" t="s">
        <v>74</v>
      </c>
      <c r="D1246" t="s">
        <v>74</v>
      </c>
      <c r="E1246" t="s">
        <v>74</v>
      </c>
      <c r="F1246" t="s">
        <v>20909</v>
      </c>
      <c r="G1246" t="s">
        <v>74</v>
      </c>
      <c r="H1246" t="s">
        <v>74</v>
      </c>
      <c r="I1246" t="s">
        <v>20910</v>
      </c>
      <c r="J1246" t="s">
        <v>8851</v>
      </c>
      <c r="K1246" t="s">
        <v>74</v>
      </c>
      <c r="L1246" t="s">
        <v>74</v>
      </c>
      <c r="M1246" t="s">
        <v>77</v>
      </c>
      <c r="N1246" t="s">
        <v>78</v>
      </c>
      <c r="O1246" t="s">
        <v>74</v>
      </c>
      <c r="P1246" t="s">
        <v>74</v>
      </c>
      <c r="Q1246" t="s">
        <v>74</v>
      </c>
      <c r="R1246" t="s">
        <v>74</v>
      </c>
      <c r="S1246" t="s">
        <v>74</v>
      </c>
      <c r="T1246" t="s">
        <v>20911</v>
      </c>
      <c r="U1246" t="s">
        <v>20912</v>
      </c>
      <c r="V1246" t="s">
        <v>20913</v>
      </c>
      <c r="W1246" t="s">
        <v>20914</v>
      </c>
      <c r="X1246" t="s">
        <v>20915</v>
      </c>
      <c r="Y1246" t="s">
        <v>20916</v>
      </c>
      <c r="Z1246" t="s">
        <v>20917</v>
      </c>
      <c r="AA1246" t="s">
        <v>20918</v>
      </c>
      <c r="AB1246" t="s">
        <v>20919</v>
      </c>
      <c r="AC1246" t="s">
        <v>74</v>
      </c>
      <c r="AD1246" t="s">
        <v>74</v>
      </c>
      <c r="AE1246" t="s">
        <v>74</v>
      </c>
      <c r="AF1246" t="s">
        <v>74</v>
      </c>
      <c r="AG1246">
        <v>58</v>
      </c>
      <c r="AH1246">
        <v>0</v>
      </c>
      <c r="AI1246">
        <v>0</v>
      </c>
      <c r="AJ1246">
        <v>4</v>
      </c>
      <c r="AK1246">
        <v>10</v>
      </c>
      <c r="AL1246" t="s">
        <v>350</v>
      </c>
      <c r="AM1246" t="s">
        <v>351</v>
      </c>
      <c r="AN1246" t="s">
        <v>352</v>
      </c>
      <c r="AO1246" t="s">
        <v>8864</v>
      </c>
      <c r="AP1246" t="s">
        <v>74</v>
      </c>
      <c r="AQ1246" t="s">
        <v>74</v>
      </c>
      <c r="AR1246" t="s">
        <v>8851</v>
      </c>
      <c r="AS1246" t="s">
        <v>8865</v>
      </c>
      <c r="AT1246" t="s">
        <v>122</v>
      </c>
      <c r="AU1246">
        <v>2022</v>
      </c>
      <c r="AV1246">
        <v>12</v>
      </c>
      <c r="AW1246">
        <v>2</v>
      </c>
      <c r="AX1246" t="s">
        <v>74</v>
      </c>
      <c r="AY1246" t="s">
        <v>74</v>
      </c>
      <c r="AZ1246" t="s">
        <v>74</v>
      </c>
      <c r="BA1246" t="s">
        <v>74</v>
      </c>
      <c r="BB1246" t="s">
        <v>74</v>
      </c>
      <c r="BC1246" t="s">
        <v>74</v>
      </c>
      <c r="BD1246">
        <v>2.158244022109124E+16</v>
      </c>
      <c r="BE1246" t="s">
        <v>20920</v>
      </c>
      <c r="BF1246" t="str">
        <f>HYPERLINK("http://dx.doi.org/10.1177/21582440221091240","http://dx.doi.org/10.1177/21582440221091240")</f>
        <v>http://dx.doi.org/10.1177/21582440221091240</v>
      </c>
      <c r="BG1246" t="s">
        <v>74</v>
      </c>
      <c r="BH1246" t="s">
        <v>74</v>
      </c>
      <c r="BI1246">
        <v>13</v>
      </c>
      <c r="BJ1246" t="s">
        <v>8867</v>
      </c>
      <c r="BK1246" t="s">
        <v>94</v>
      </c>
      <c r="BL1246" t="s">
        <v>631</v>
      </c>
      <c r="BM1246" t="s">
        <v>20921</v>
      </c>
      <c r="BN1246" t="s">
        <v>74</v>
      </c>
      <c r="BO1246" t="s">
        <v>2482</v>
      </c>
      <c r="BP1246" t="s">
        <v>74</v>
      </c>
      <c r="BQ1246" t="s">
        <v>74</v>
      </c>
      <c r="BR1246" t="s">
        <v>97</v>
      </c>
      <c r="BS1246" t="s">
        <v>20922</v>
      </c>
      <c r="BT1246" t="str">
        <f>HYPERLINK("https%3A%2F%2Fwww.webofscience.com%2Fwos%2Fwoscc%2Ffull-record%2FWOS:000791248800001","View Full Record in Web of Science")</f>
        <v>View Full Record in Web of Science</v>
      </c>
    </row>
    <row r="1247" spans="1:72" x14ac:dyDescent="0.25">
      <c r="A1247" t="s">
        <v>72</v>
      </c>
      <c r="B1247" t="s">
        <v>20923</v>
      </c>
      <c r="C1247" t="s">
        <v>74</v>
      </c>
      <c r="D1247" t="s">
        <v>74</v>
      </c>
      <c r="E1247" t="s">
        <v>74</v>
      </c>
      <c r="F1247" t="s">
        <v>20924</v>
      </c>
      <c r="G1247" t="s">
        <v>74</v>
      </c>
      <c r="H1247" t="s">
        <v>74</v>
      </c>
      <c r="I1247" t="s">
        <v>20925</v>
      </c>
      <c r="J1247" t="s">
        <v>4134</v>
      </c>
      <c r="K1247" t="s">
        <v>74</v>
      </c>
      <c r="L1247" t="s">
        <v>74</v>
      </c>
      <c r="M1247" t="s">
        <v>77</v>
      </c>
      <c r="N1247" t="s">
        <v>10095</v>
      </c>
      <c r="O1247" t="s">
        <v>74</v>
      </c>
      <c r="P1247" t="s">
        <v>74</v>
      </c>
      <c r="Q1247" t="s">
        <v>74</v>
      </c>
      <c r="R1247" t="s">
        <v>74</v>
      </c>
      <c r="S1247" t="s">
        <v>74</v>
      </c>
      <c r="T1247" t="s">
        <v>20926</v>
      </c>
      <c r="U1247" t="s">
        <v>20927</v>
      </c>
      <c r="V1247" t="s">
        <v>20928</v>
      </c>
      <c r="W1247" t="s">
        <v>20929</v>
      </c>
      <c r="X1247" t="s">
        <v>20930</v>
      </c>
      <c r="Y1247" t="s">
        <v>20931</v>
      </c>
      <c r="Z1247" t="s">
        <v>20932</v>
      </c>
      <c r="AA1247" t="s">
        <v>74</v>
      </c>
      <c r="AB1247" t="s">
        <v>20933</v>
      </c>
      <c r="AC1247" t="s">
        <v>20934</v>
      </c>
      <c r="AD1247" t="s">
        <v>20935</v>
      </c>
      <c r="AE1247" t="s">
        <v>20936</v>
      </c>
      <c r="AF1247" t="s">
        <v>74</v>
      </c>
      <c r="AG1247">
        <v>87</v>
      </c>
      <c r="AH1247">
        <v>0</v>
      </c>
      <c r="AI1247">
        <v>0</v>
      </c>
      <c r="AJ1247">
        <v>11</v>
      </c>
      <c r="AK1247">
        <v>30</v>
      </c>
      <c r="AL1247" t="s">
        <v>665</v>
      </c>
      <c r="AM1247" t="s">
        <v>666</v>
      </c>
      <c r="AN1247" t="s">
        <v>667</v>
      </c>
      <c r="AO1247" t="s">
        <v>4144</v>
      </c>
      <c r="AP1247" t="s">
        <v>4145</v>
      </c>
      <c r="AQ1247" t="s">
        <v>74</v>
      </c>
      <c r="AR1247" t="s">
        <v>4146</v>
      </c>
      <c r="AS1247" t="s">
        <v>4147</v>
      </c>
      <c r="AT1247" t="s">
        <v>74</v>
      </c>
      <c r="AU1247" t="s">
        <v>74</v>
      </c>
      <c r="AV1247" t="s">
        <v>74</v>
      </c>
      <c r="AW1247" t="s">
        <v>74</v>
      </c>
      <c r="AX1247" t="s">
        <v>74</v>
      </c>
      <c r="AY1247" t="s">
        <v>74</v>
      </c>
      <c r="AZ1247" t="s">
        <v>74</v>
      </c>
      <c r="BA1247" t="s">
        <v>74</v>
      </c>
      <c r="BB1247" t="s">
        <v>74</v>
      </c>
      <c r="BC1247" t="s">
        <v>74</v>
      </c>
      <c r="BD1247" t="s">
        <v>74</v>
      </c>
      <c r="BE1247" t="s">
        <v>20937</v>
      </c>
      <c r="BF1247" t="str">
        <f>HYPERLINK("http://dx.doi.org/10.1108/EJIM-08-2021-0387","http://dx.doi.org/10.1108/EJIM-08-2021-0387")</f>
        <v>http://dx.doi.org/10.1108/EJIM-08-2021-0387</v>
      </c>
      <c r="BG1247" t="s">
        <v>74</v>
      </c>
      <c r="BH1247" t="s">
        <v>11990</v>
      </c>
      <c r="BI1247">
        <v>24</v>
      </c>
      <c r="BJ1247" t="s">
        <v>93</v>
      </c>
      <c r="BK1247" t="s">
        <v>94</v>
      </c>
      <c r="BL1247" t="s">
        <v>95</v>
      </c>
      <c r="BM1247" t="s">
        <v>20938</v>
      </c>
      <c r="BN1247" t="s">
        <v>74</v>
      </c>
      <c r="BO1247" t="s">
        <v>74</v>
      </c>
      <c r="BP1247" t="s">
        <v>74</v>
      </c>
      <c r="BQ1247" t="s">
        <v>74</v>
      </c>
      <c r="BR1247" t="s">
        <v>97</v>
      </c>
      <c r="BS1247" t="s">
        <v>20939</v>
      </c>
      <c r="BT1247" t="str">
        <f>HYPERLINK("https%3A%2F%2Fwww.webofscience.com%2Fwos%2Fwoscc%2Ffull-record%2FWOS:000776251500001","View Full Record in Web of Science")</f>
        <v>View Full Record in Web of Science</v>
      </c>
    </row>
    <row r="1248" spans="1:72" x14ac:dyDescent="0.25">
      <c r="A1248" t="s">
        <v>72</v>
      </c>
      <c r="B1248" t="s">
        <v>20940</v>
      </c>
      <c r="C1248" t="s">
        <v>74</v>
      </c>
      <c r="D1248" t="s">
        <v>74</v>
      </c>
      <c r="E1248" t="s">
        <v>74</v>
      </c>
      <c r="F1248" t="s">
        <v>20941</v>
      </c>
      <c r="G1248" t="s">
        <v>74</v>
      </c>
      <c r="H1248" t="s">
        <v>74</v>
      </c>
      <c r="I1248" t="s">
        <v>20942</v>
      </c>
      <c r="J1248" t="s">
        <v>3184</v>
      </c>
      <c r="K1248" t="s">
        <v>74</v>
      </c>
      <c r="L1248" t="s">
        <v>74</v>
      </c>
      <c r="M1248" t="s">
        <v>77</v>
      </c>
      <c r="N1248" t="s">
        <v>78</v>
      </c>
      <c r="O1248" t="s">
        <v>74</v>
      </c>
      <c r="P1248" t="s">
        <v>74</v>
      </c>
      <c r="Q1248" t="s">
        <v>74</v>
      </c>
      <c r="R1248" t="s">
        <v>74</v>
      </c>
      <c r="S1248" t="s">
        <v>74</v>
      </c>
      <c r="T1248" t="s">
        <v>20943</v>
      </c>
      <c r="U1248" t="s">
        <v>20944</v>
      </c>
      <c r="V1248" t="s">
        <v>20945</v>
      </c>
      <c r="W1248" t="s">
        <v>20946</v>
      </c>
      <c r="X1248" t="s">
        <v>10416</v>
      </c>
      <c r="Y1248" t="s">
        <v>20947</v>
      </c>
      <c r="Z1248" t="s">
        <v>20948</v>
      </c>
      <c r="AA1248" t="s">
        <v>74</v>
      </c>
      <c r="AB1248" t="s">
        <v>74</v>
      </c>
      <c r="AC1248" t="s">
        <v>74</v>
      </c>
      <c r="AD1248" t="s">
        <v>74</v>
      </c>
      <c r="AE1248" t="s">
        <v>74</v>
      </c>
      <c r="AF1248" t="s">
        <v>74</v>
      </c>
      <c r="AG1248">
        <v>45</v>
      </c>
      <c r="AH1248">
        <v>0</v>
      </c>
      <c r="AI1248">
        <v>0</v>
      </c>
      <c r="AJ1248">
        <v>5</v>
      </c>
      <c r="AK1248">
        <v>10</v>
      </c>
      <c r="AL1248" t="s">
        <v>3195</v>
      </c>
      <c r="AM1248" t="s">
        <v>3196</v>
      </c>
      <c r="AN1248" t="s">
        <v>3197</v>
      </c>
      <c r="AO1248" t="s">
        <v>3198</v>
      </c>
      <c r="AP1248" t="s">
        <v>74</v>
      </c>
      <c r="AQ1248" t="s">
        <v>74</v>
      </c>
      <c r="AR1248" t="s">
        <v>3199</v>
      </c>
      <c r="AS1248" t="s">
        <v>3200</v>
      </c>
      <c r="AT1248" t="s">
        <v>13259</v>
      </c>
      <c r="AU1248">
        <v>2022</v>
      </c>
      <c r="AV1248">
        <v>13</v>
      </c>
      <c r="AW1248" t="s">
        <v>74</v>
      </c>
      <c r="AX1248" t="s">
        <v>74</v>
      </c>
      <c r="AY1248" t="s">
        <v>74</v>
      </c>
      <c r="AZ1248" t="s">
        <v>74</v>
      </c>
      <c r="BA1248" t="s">
        <v>74</v>
      </c>
      <c r="BB1248" t="s">
        <v>74</v>
      </c>
      <c r="BC1248" t="s">
        <v>74</v>
      </c>
      <c r="BD1248">
        <v>849586</v>
      </c>
      <c r="BE1248" t="s">
        <v>20949</v>
      </c>
      <c r="BF1248" t="str">
        <f>HYPERLINK("http://dx.doi.org/10.3389/fpsyg.2022.849586","http://dx.doi.org/10.3389/fpsyg.2022.849586")</f>
        <v>http://dx.doi.org/10.3389/fpsyg.2022.849586</v>
      </c>
      <c r="BG1248" t="s">
        <v>74</v>
      </c>
      <c r="BH1248" t="s">
        <v>74</v>
      </c>
      <c r="BI1248">
        <v>9</v>
      </c>
      <c r="BJ1248" t="s">
        <v>3203</v>
      </c>
      <c r="BK1248" t="s">
        <v>94</v>
      </c>
      <c r="BL1248" t="s">
        <v>460</v>
      </c>
      <c r="BM1248" t="s">
        <v>20950</v>
      </c>
      <c r="BN1248">
        <v>35401332</v>
      </c>
      <c r="BO1248" t="s">
        <v>4398</v>
      </c>
      <c r="BP1248" t="s">
        <v>74</v>
      </c>
      <c r="BQ1248" t="s">
        <v>74</v>
      </c>
      <c r="BR1248" t="s">
        <v>97</v>
      </c>
      <c r="BS1248" t="s">
        <v>20951</v>
      </c>
      <c r="BT1248" t="str">
        <f>HYPERLINK("https%3A%2F%2Fwww.webofscience.com%2Fwos%2Fwoscc%2Ffull-record%2FWOS:000805980200001","View Full Record in Web of Science")</f>
        <v>View Full Record in Web of Science</v>
      </c>
    </row>
    <row r="1249" spans="1:72" x14ac:dyDescent="0.25">
      <c r="A1249" t="s">
        <v>72</v>
      </c>
      <c r="B1249" t="s">
        <v>20952</v>
      </c>
      <c r="C1249" t="s">
        <v>74</v>
      </c>
      <c r="D1249" t="s">
        <v>74</v>
      </c>
      <c r="E1249" t="s">
        <v>74</v>
      </c>
      <c r="F1249" t="s">
        <v>20953</v>
      </c>
      <c r="G1249" t="s">
        <v>74</v>
      </c>
      <c r="H1249" t="s">
        <v>74</v>
      </c>
      <c r="I1249" t="s">
        <v>20954</v>
      </c>
      <c r="J1249" t="s">
        <v>20955</v>
      </c>
      <c r="K1249" t="s">
        <v>74</v>
      </c>
      <c r="L1249" t="s">
        <v>74</v>
      </c>
      <c r="M1249" t="s">
        <v>77</v>
      </c>
      <c r="N1249" t="s">
        <v>78</v>
      </c>
      <c r="O1249" t="s">
        <v>74</v>
      </c>
      <c r="P1249" t="s">
        <v>74</v>
      </c>
      <c r="Q1249" t="s">
        <v>74</v>
      </c>
      <c r="R1249" t="s">
        <v>74</v>
      </c>
      <c r="S1249" t="s">
        <v>74</v>
      </c>
      <c r="T1249" t="s">
        <v>20956</v>
      </c>
      <c r="U1249" t="s">
        <v>20957</v>
      </c>
      <c r="V1249" t="s">
        <v>20958</v>
      </c>
      <c r="W1249" t="s">
        <v>20959</v>
      </c>
      <c r="X1249" t="s">
        <v>20960</v>
      </c>
      <c r="Y1249" t="s">
        <v>20961</v>
      </c>
      <c r="Z1249" t="s">
        <v>20962</v>
      </c>
      <c r="AA1249" t="s">
        <v>74</v>
      </c>
      <c r="AB1249" t="s">
        <v>20963</v>
      </c>
      <c r="AC1249" t="s">
        <v>74</v>
      </c>
      <c r="AD1249" t="s">
        <v>74</v>
      </c>
      <c r="AE1249" t="s">
        <v>74</v>
      </c>
      <c r="AF1249" t="s">
        <v>74</v>
      </c>
      <c r="AG1249">
        <v>54</v>
      </c>
      <c r="AH1249">
        <v>0</v>
      </c>
      <c r="AI1249">
        <v>0</v>
      </c>
      <c r="AJ1249">
        <v>4</v>
      </c>
      <c r="AK1249">
        <v>11</v>
      </c>
      <c r="AL1249" t="s">
        <v>350</v>
      </c>
      <c r="AM1249" t="s">
        <v>351</v>
      </c>
      <c r="AN1249" t="s">
        <v>352</v>
      </c>
      <c r="AO1249" t="s">
        <v>20964</v>
      </c>
      <c r="AP1249" t="s">
        <v>20965</v>
      </c>
      <c r="AQ1249" t="s">
        <v>74</v>
      </c>
      <c r="AR1249" t="s">
        <v>20966</v>
      </c>
      <c r="AS1249" t="s">
        <v>20967</v>
      </c>
      <c r="AT1249" t="s">
        <v>256</v>
      </c>
      <c r="AU1249">
        <v>2022</v>
      </c>
      <c r="AV1249">
        <v>56</v>
      </c>
      <c r="AW1249">
        <v>4</v>
      </c>
      <c r="AX1249" t="s">
        <v>74</v>
      </c>
      <c r="AY1249" t="s">
        <v>74</v>
      </c>
      <c r="AZ1249" t="s">
        <v>74</v>
      </c>
      <c r="BA1249" t="s">
        <v>74</v>
      </c>
      <c r="BB1249">
        <v>307</v>
      </c>
      <c r="BC1249">
        <v>322</v>
      </c>
      <c r="BD1249">
        <v>1.0693971221078088E+16</v>
      </c>
      <c r="BE1249" t="s">
        <v>20968</v>
      </c>
      <c r="BF1249" t="str">
        <f>HYPERLINK("http://dx.doi.org/10.1177/10693971221078087","http://dx.doi.org/10.1177/10693971221078087")</f>
        <v>http://dx.doi.org/10.1177/10693971221078087</v>
      </c>
      <c r="BG1249" t="s">
        <v>74</v>
      </c>
      <c r="BH1249" t="s">
        <v>7969</v>
      </c>
      <c r="BI1249">
        <v>16</v>
      </c>
      <c r="BJ1249" t="s">
        <v>8867</v>
      </c>
      <c r="BK1249" t="s">
        <v>94</v>
      </c>
      <c r="BL1249" t="s">
        <v>631</v>
      </c>
      <c r="BM1249" t="s">
        <v>20969</v>
      </c>
      <c r="BN1249" t="s">
        <v>74</v>
      </c>
      <c r="BO1249" t="s">
        <v>74</v>
      </c>
      <c r="BP1249" t="s">
        <v>74</v>
      </c>
      <c r="BQ1249" t="s">
        <v>74</v>
      </c>
      <c r="BR1249" t="s">
        <v>97</v>
      </c>
      <c r="BS1249" t="s">
        <v>20970</v>
      </c>
      <c r="BT1249" t="str">
        <f>HYPERLINK("https%3A%2F%2Fwww.webofscience.com%2Fwos%2Fwoscc%2Ffull-record%2FWOS:000775789600001","View Full Record in Web of Science")</f>
        <v>View Full Record in Web of Science</v>
      </c>
    </row>
    <row r="1250" spans="1:72" x14ac:dyDescent="0.25">
      <c r="A1250" t="s">
        <v>72</v>
      </c>
      <c r="B1250" t="s">
        <v>20971</v>
      </c>
      <c r="C1250" t="s">
        <v>74</v>
      </c>
      <c r="D1250" t="s">
        <v>74</v>
      </c>
      <c r="E1250" t="s">
        <v>74</v>
      </c>
      <c r="F1250" t="s">
        <v>20972</v>
      </c>
      <c r="G1250" t="s">
        <v>74</v>
      </c>
      <c r="H1250" t="s">
        <v>74</v>
      </c>
      <c r="I1250" t="s">
        <v>20973</v>
      </c>
      <c r="J1250" t="s">
        <v>5442</v>
      </c>
      <c r="K1250" t="s">
        <v>74</v>
      </c>
      <c r="L1250" t="s">
        <v>74</v>
      </c>
      <c r="M1250" t="s">
        <v>77</v>
      </c>
      <c r="N1250" t="s">
        <v>10095</v>
      </c>
      <c r="O1250" t="s">
        <v>74</v>
      </c>
      <c r="P1250" t="s">
        <v>74</v>
      </c>
      <c r="Q1250" t="s">
        <v>74</v>
      </c>
      <c r="R1250" t="s">
        <v>74</v>
      </c>
      <c r="S1250" t="s">
        <v>74</v>
      </c>
      <c r="T1250" t="s">
        <v>20974</v>
      </c>
      <c r="U1250" t="s">
        <v>20975</v>
      </c>
      <c r="V1250" t="s">
        <v>20976</v>
      </c>
      <c r="W1250" t="s">
        <v>20977</v>
      </c>
      <c r="X1250" t="s">
        <v>9120</v>
      </c>
      <c r="Y1250" t="s">
        <v>20978</v>
      </c>
      <c r="Z1250" t="s">
        <v>20979</v>
      </c>
      <c r="AA1250" t="s">
        <v>20980</v>
      </c>
      <c r="AB1250" t="s">
        <v>20981</v>
      </c>
      <c r="AC1250" t="s">
        <v>20982</v>
      </c>
      <c r="AD1250" t="s">
        <v>20983</v>
      </c>
      <c r="AE1250" t="s">
        <v>20984</v>
      </c>
      <c r="AF1250" t="s">
        <v>74</v>
      </c>
      <c r="AG1250">
        <v>103</v>
      </c>
      <c r="AH1250">
        <v>0</v>
      </c>
      <c r="AI1250">
        <v>0</v>
      </c>
      <c r="AJ1250">
        <v>8</v>
      </c>
      <c r="AK1250">
        <v>31</v>
      </c>
      <c r="AL1250" t="s">
        <v>5452</v>
      </c>
      <c r="AM1250" t="s">
        <v>5453</v>
      </c>
      <c r="AN1250" t="s">
        <v>5454</v>
      </c>
      <c r="AO1250" t="s">
        <v>5455</v>
      </c>
      <c r="AP1250" t="s">
        <v>5456</v>
      </c>
      <c r="AQ1250" t="s">
        <v>74</v>
      </c>
      <c r="AR1250" t="s">
        <v>5457</v>
      </c>
      <c r="AS1250" t="s">
        <v>5458</v>
      </c>
      <c r="AT1250" t="s">
        <v>74</v>
      </c>
      <c r="AU1250" t="s">
        <v>74</v>
      </c>
      <c r="AV1250" t="s">
        <v>74</v>
      </c>
      <c r="AW1250" t="s">
        <v>74</v>
      </c>
      <c r="AX1250" t="s">
        <v>74</v>
      </c>
      <c r="AY1250" t="s">
        <v>74</v>
      </c>
      <c r="AZ1250" t="s">
        <v>74</v>
      </c>
      <c r="BA1250" t="s">
        <v>74</v>
      </c>
      <c r="BB1250" t="s">
        <v>74</v>
      </c>
      <c r="BC1250" t="s">
        <v>74</v>
      </c>
      <c r="BD1250" t="s">
        <v>20985</v>
      </c>
      <c r="BE1250" t="s">
        <v>20986</v>
      </c>
      <c r="BF1250" t="str">
        <f>HYPERLINK("http://dx.doi.org/10.1017/jmo.2022.9","http://dx.doi.org/10.1017/jmo.2022.9")</f>
        <v>http://dx.doi.org/10.1017/jmo.2022.9</v>
      </c>
      <c r="BG1250" t="s">
        <v>74</v>
      </c>
      <c r="BH1250" t="s">
        <v>7969</v>
      </c>
      <c r="BI1250">
        <v>23</v>
      </c>
      <c r="BJ1250" t="s">
        <v>442</v>
      </c>
      <c r="BK1250" t="s">
        <v>94</v>
      </c>
      <c r="BL1250" t="s">
        <v>95</v>
      </c>
      <c r="BM1250" t="s">
        <v>20987</v>
      </c>
      <c r="BN1250" t="s">
        <v>74</v>
      </c>
      <c r="BO1250" t="s">
        <v>4225</v>
      </c>
      <c r="BP1250" t="s">
        <v>74</v>
      </c>
      <c r="BQ1250" t="s">
        <v>74</v>
      </c>
      <c r="BR1250" t="s">
        <v>97</v>
      </c>
      <c r="BS1250" t="s">
        <v>20988</v>
      </c>
      <c r="BT1250" t="str">
        <f>HYPERLINK("https%3A%2F%2Fwww.webofscience.com%2Fwos%2Fwoscc%2Ffull-record%2FWOS:000770450800001","View Full Record in Web of Science")</f>
        <v>View Full Record in Web of Science</v>
      </c>
    </row>
    <row r="1251" spans="1:72" x14ac:dyDescent="0.25">
      <c r="A1251" t="s">
        <v>72</v>
      </c>
      <c r="B1251" t="s">
        <v>20989</v>
      </c>
      <c r="C1251" t="s">
        <v>74</v>
      </c>
      <c r="D1251" t="s">
        <v>74</v>
      </c>
      <c r="E1251" t="s">
        <v>74</v>
      </c>
      <c r="F1251" t="s">
        <v>20990</v>
      </c>
      <c r="G1251" t="s">
        <v>74</v>
      </c>
      <c r="H1251" t="s">
        <v>74</v>
      </c>
      <c r="I1251" t="s">
        <v>20991</v>
      </c>
      <c r="J1251" t="s">
        <v>9297</v>
      </c>
      <c r="K1251" t="s">
        <v>74</v>
      </c>
      <c r="L1251" t="s">
        <v>74</v>
      </c>
      <c r="M1251" t="s">
        <v>77</v>
      </c>
      <c r="N1251" t="s">
        <v>78</v>
      </c>
      <c r="O1251" t="s">
        <v>74</v>
      </c>
      <c r="P1251" t="s">
        <v>74</v>
      </c>
      <c r="Q1251" t="s">
        <v>74</v>
      </c>
      <c r="R1251" t="s">
        <v>74</v>
      </c>
      <c r="S1251" t="s">
        <v>74</v>
      </c>
      <c r="T1251" t="s">
        <v>20992</v>
      </c>
      <c r="U1251" t="s">
        <v>20993</v>
      </c>
      <c r="V1251" t="s">
        <v>20994</v>
      </c>
      <c r="W1251" t="s">
        <v>20995</v>
      </c>
      <c r="X1251" t="s">
        <v>20996</v>
      </c>
      <c r="Y1251" t="s">
        <v>20997</v>
      </c>
      <c r="Z1251" t="s">
        <v>20998</v>
      </c>
      <c r="AA1251" t="s">
        <v>74</v>
      </c>
      <c r="AB1251" t="s">
        <v>74</v>
      </c>
      <c r="AC1251" t="s">
        <v>20999</v>
      </c>
      <c r="AD1251" t="s">
        <v>21000</v>
      </c>
      <c r="AE1251" t="s">
        <v>21001</v>
      </c>
      <c r="AF1251" t="s">
        <v>74</v>
      </c>
      <c r="AG1251">
        <v>36</v>
      </c>
      <c r="AH1251">
        <v>0</v>
      </c>
      <c r="AI1251">
        <v>0</v>
      </c>
      <c r="AJ1251">
        <v>5</v>
      </c>
      <c r="AK1251">
        <v>21</v>
      </c>
      <c r="AL1251" t="s">
        <v>1099</v>
      </c>
      <c r="AM1251" t="s">
        <v>305</v>
      </c>
      <c r="AN1251" t="s">
        <v>1100</v>
      </c>
      <c r="AO1251" t="s">
        <v>9304</v>
      </c>
      <c r="AP1251" t="s">
        <v>9305</v>
      </c>
      <c r="AQ1251" t="s">
        <v>74</v>
      </c>
      <c r="AR1251" t="s">
        <v>9306</v>
      </c>
      <c r="AS1251" t="s">
        <v>9307</v>
      </c>
      <c r="AT1251" t="s">
        <v>21002</v>
      </c>
      <c r="AU1251">
        <v>2022</v>
      </c>
      <c r="AV1251">
        <v>35</v>
      </c>
      <c r="AW1251">
        <v>1</v>
      </c>
      <c r="AX1251" t="s">
        <v>74</v>
      </c>
      <c r="AY1251" t="s">
        <v>74</v>
      </c>
      <c r="AZ1251" t="s">
        <v>74</v>
      </c>
      <c r="BA1251" t="s">
        <v>74</v>
      </c>
      <c r="BB1251">
        <v>5924</v>
      </c>
      <c r="BC1251">
        <v>5946</v>
      </c>
      <c r="BD1251" t="s">
        <v>74</v>
      </c>
      <c r="BE1251" t="s">
        <v>21003</v>
      </c>
      <c r="BF1251" t="str">
        <f>HYPERLINK("http://dx.doi.org/10.1080/1331677X.2022.2042709","http://dx.doi.org/10.1080/1331677X.2022.2042709")</f>
        <v>http://dx.doi.org/10.1080/1331677X.2022.2042709</v>
      </c>
      <c r="BG1251" t="s">
        <v>74</v>
      </c>
      <c r="BH1251" t="s">
        <v>10089</v>
      </c>
      <c r="BI1251">
        <v>23</v>
      </c>
      <c r="BJ1251" t="s">
        <v>2599</v>
      </c>
      <c r="BK1251" t="s">
        <v>94</v>
      </c>
      <c r="BL1251" t="s">
        <v>95</v>
      </c>
      <c r="BM1251" t="s">
        <v>21004</v>
      </c>
      <c r="BN1251" t="s">
        <v>74</v>
      </c>
      <c r="BO1251" t="s">
        <v>2482</v>
      </c>
      <c r="BP1251" t="s">
        <v>74</v>
      </c>
      <c r="BQ1251" t="s">
        <v>74</v>
      </c>
      <c r="BR1251" t="s">
        <v>97</v>
      </c>
      <c r="BS1251" t="s">
        <v>21005</v>
      </c>
      <c r="BT1251" t="str">
        <f>HYPERLINK("https%3A%2F%2Fwww.webofscience.com%2Fwos%2Fwoscc%2Ffull-record%2FWOS:000769852400001","View Full Record in Web of Science")</f>
        <v>View Full Record in Web of Science</v>
      </c>
    </row>
    <row r="1252" spans="1:72" x14ac:dyDescent="0.25">
      <c r="A1252" t="s">
        <v>72</v>
      </c>
      <c r="B1252" t="s">
        <v>21006</v>
      </c>
      <c r="C1252" t="s">
        <v>74</v>
      </c>
      <c r="D1252" t="s">
        <v>74</v>
      </c>
      <c r="E1252" t="s">
        <v>74</v>
      </c>
      <c r="F1252" t="s">
        <v>21007</v>
      </c>
      <c r="G1252" t="s">
        <v>74</v>
      </c>
      <c r="H1252" t="s">
        <v>74</v>
      </c>
      <c r="I1252" t="s">
        <v>21008</v>
      </c>
      <c r="J1252" t="s">
        <v>5615</v>
      </c>
      <c r="K1252" t="s">
        <v>74</v>
      </c>
      <c r="L1252" t="s">
        <v>74</v>
      </c>
      <c r="M1252" t="s">
        <v>77</v>
      </c>
      <c r="N1252" t="s">
        <v>78</v>
      </c>
      <c r="O1252" t="s">
        <v>74</v>
      </c>
      <c r="P1252" t="s">
        <v>74</v>
      </c>
      <c r="Q1252" t="s">
        <v>74</v>
      </c>
      <c r="R1252" t="s">
        <v>74</v>
      </c>
      <c r="S1252" t="s">
        <v>74</v>
      </c>
      <c r="T1252" t="s">
        <v>21009</v>
      </c>
      <c r="U1252" t="s">
        <v>21010</v>
      </c>
      <c r="V1252" t="s">
        <v>21011</v>
      </c>
      <c r="W1252" t="s">
        <v>21012</v>
      </c>
      <c r="X1252" t="s">
        <v>21013</v>
      </c>
      <c r="Y1252" t="s">
        <v>21014</v>
      </c>
      <c r="Z1252" t="s">
        <v>21015</v>
      </c>
      <c r="AA1252" t="s">
        <v>74</v>
      </c>
      <c r="AB1252" t="s">
        <v>74</v>
      </c>
      <c r="AC1252" t="s">
        <v>21016</v>
      </c>
      <c r="AD1252" t="s">
        <v>21017</v>
      </c>
      <c r="AE1252" t="s">
        <v>21018</v>
      </c>
      <c r="AF1252" t="s">
        <v>74</v>
      </c>
      <c r="AG1252">
        <v>73</v>
      </c>
      <c r="AH1252">
        <v>0</v>
      </c>
      <c r="AI1252">
        <v>0</v>
      </c>
      <c r="AJ1252">
        <v>11</v>
      </c>
      <c r="AK1252">
        <v>46</v>
      </c>
      <c r="AL1252" t="s">
        <v>665</v>
      </c>
      <c r="AM1252" t="s">
        <v>666</v>
      </c>
      <c r="AN1252" t="s">
        <v>667</v>
      </c>
      <c r="AO1252" t="s">
        <v>5625</v>
      </c>
      <c r="AP1252" t="s">
        <v>5626</v>
      </c>
      <c r="AQ1252" t="s">
        <v>74</v>
      </c>
      <c r="AR1252" t="s">
        <v>5627</v>
      </c>
      <c r="AS1252" t="s">
        <v>5628</v>
      </c>
      <c r="AT1252" t="s">
        <v>15075</v>
      </c>
      <c r="AU1252">
        <v>2023</v>
      </c>
      <c r="AV1252">
        <v>17</v>
      </c>
      <c r="AW1252">
        <v>2</v>
      </c>
      <c r="AX1252" t="s">
        <v>74</v>
      </c>
      <c r="AY1252" t="s">
        <v>74</v>
      </c>
      <c r="AZ1252" t="s">
        <v>74</v>
      </c>
      <c r="BA1252" t="s">
        <v>74</v>
      </c>
      <c r="BB1252">
        <v>233</v>
      </c>
      <c r="BC1252">
        <v>250</v>
      </c>
      <c r="BD1252" t="s">
        <v>74</v>
      </c>
      <c r="BE1252" t="s">
        <v>21019</v>
      </c>
      <c r="BF1252" t="str">
        <f>HYPERLINK("http://dx.doi.org/10.1108/CMS-06-2021-0243","http://dx.doi.org/10.1108/CMS-06-2021-0243")</f>
        <v>http://dx.doi.org/10.1108/CMS-06-2021-0243</v>
      </c>
      <c r="BG1252" t="s">
        <v>74</v>
      </c>
      <c r="BH1252" t="s">
        <v>10089</v>
      </c>
      <c r="BI1252">
        <v>18</v>
      </c>
      <c r="BJ1252" t="s">
        <v>442</v>
      </c>
      <c r="BK1252" t="s">
        <v>94</v>
      </c>
      <c r="BL1252" t="s">
        <v>95</v>
      </c>
      <c r="BM1252" t="s">
        <v>21020</v>
      </c>
      <c r="BN1252" t="s">
        <v>74</v>
      </c>
      <c r="BO1252" t="s">
        <v>74</v>
      </c>
      <c r="BP1252" t="s">
        <v>74</v>
      </c>
      <c r="BQ1252" t="s">
        <v>74</v>
      </c>
      <c r="BR1252" t="s">
        <v>97</v>
      </c>
      <c r="BS1252" t="s">
        <v>21021</v>
      </c>
      <c r="BT1252" t="str">
        <f>HYPERLINK("https%3A%2F%2Fwww.webofscience.com%2Fwos%2Fwoscc%2Ffull-record%2FWOS:000759451600001","View Full Record in Web of Science")</f>
        <v>View Full Record in Web of Science</v>
      </c>
    </row>
    <row r="1253" spans="1:72" x14ac:dyDescent="0.25">
      <c r="A1253" t="s">
        <v>72</v>
      </c>
      <c r="B1253" t="s">
        <v>21022</v>
      </c>
      <c r="C1253" t="s">
        <v>74</v>
      </c>
      <c r="D1253" t="s">
        <v>74</v>
      </c>
      <c r="E1253" t="s">
        <v>74</v>
      </c>
      <c r="F1253" t="s">
        <v>21023</v>
      </c>
      <c r="G1253" t="s">
        <v>74</v>
      </c>
      <c r="H1253" t="s">
        <v>74</v>
      </c>
      <c r="I1253" t="s">
        <v>21024</v>
      </c>
      <c r="J1253" t="s">
        <v>21025</v>
      </c>
      <c r="K1253" t="s">
        <v>74</v>
      </c>
      <c r="L1253" t="s">
        <v>74</v>
      </c>
      <c r="M1253" t="s">
        <v>77</v>
      </c>
      <c r="N1253" t="s">
        <v>78</v>
      </c>
      <c r="O1253" t="s">
        <v>74</v>
      </c>
      <c r="P1253" t="s">
        <v>74</v>
      </c>
      <c r="Q1253" t="s">
        <v>74</v>
      </c>
      <c r="R1253" t="s">
        <v>74</v>
      </c>
      <c r="S1253" t="s">
        <v>74</v>
      </c>
      <c r="T1253" t="s">
        <v>21026</v>
      </c>
      <c r="U1253" t="s">
        <v>21027</v>
      </c>
      <c r="V1253" t="s">
        <v>21028</v>
      </c>
      <c r="W1253" t="s">
        <v>21029</v>
      </c>
      <c r="X1253" t="s">
        <v>21030</v>
      </c>
      <c r="Y1253" t="s">
        <v>21031</v>
      </c>
      <c r="Z1253" t="s">
        <v>21032</v>
      </c>
      <c r="AA1253" t="s">
        <v>21033</v>
      </c>
      <c r="AB1253" t="s">
        <v>21034</v>
      </c>
      <c r="AC1253" t="s">
        <v>74</v>
      </c>
      <c r="AD1253" t="s">
        <v>74</v>
      </c>
      <c r="AE1253" t="s">
        <v>74</v>
      </c>
      <c r="AF1253" t="s">
        <v>74</v>
      </c>
      <c r="AG1253">
        <v>80</v>
      </c>
      <c r="AH1253">
        <v>0</v>
      </c>
      <c r="AI1253">
        <v>0</v>
      </c>
      <c r="AJ1253">
        <v>3</v>
      </c>
      <c r="AK1253">
        <v>9</v>
      </c>
      <c r="AL1253" t="s">
        <v>434</v>
      </c>
      <c r="AM1253" t="s">
        <v>435</v>
      </c>
      <c r="AN1253" t="s">
        <v>436</v>
      </c>
      <c r="AO1253" t="s">
        <v>21035</v>
      </c>
      <c r="AP1253" t="s">
        <v>21036</v>
      </c>
      <c r="AQ1253" t="s">
        <v>74</v>
      </c>
      <c r="AR1253" t="s">
        <v>21037</v>
      </c>
      <c r="AS1253" t="s">
        <v>21038</v>
      </c>
      <c r="AT1253" t="s">
        <v>200</v>
      </c>
      <c r="AU1253">
        <v>2022</v>
      </c>
      <c r="AV1253">
        <v>27</v>
      </c>
      <c r="AW1253" t="s">
        <v>74</v>
      </c>
      <c r="AX1253" t="s">
        <v>74</v>
      </c>
      <c r="AY1253" t="s">
        <v>74</v>
      </c>
      <c r="AZ1253" t="s">
        <v>74</v>
      </c>
      <c r="BA1253" t="s">
        <v>74</v>
      </c>
      <c r="BB1253" t="s">
        <v>74</v>
      </c>
      <c r="BC1253" t="s">
        <v>74</v>
      </c>
      <c r="BD1253">
        <v>100472</v>
      </c>
      <c r="BE1253" t="s">
        <v>21039</v>
      </c>
      <c r="BF1253" t="str">
        <f>HYPERLINK("http://dx.doi.org/10.1016/j.ijgfs.2022.100472","http://dx.doi.org/10.1016/j.ijgfs.2022.100472")</f>
        <v>http://dx.doi.org/10.1016/j.ijgfs.2022.100472</v>
      </c>
      <c r="BG1253" t="s">
        <v>74</v>
      </c>
      <c r="BH1253" t="s">
        <v>9259</v>
      </c>
      <c r="BI1253">
        <v>10</v>
      </c>
      <c r="BJ1253" t="s">
        <v>7677</v>
      </c>
      <c r="BK1253" t="s">
        <v>147</v>
      </c>
      <c r="BL1253" t="s">
        <v>7677</v>
      </c>
      <c r="BM1253" t="s">
        <v>21040</v>
      </c>
      <c r="BN1253" t="s">
        <v>74</v>
      </c>
      <c r="BO1253" t="s">
        <v>74</v>
      </c>
      <c r="BP1253" t="s">
        <v>74</v>
      </c>
      <c r="BQ1253" t="s">
        <v>74</v>
      </c>
      <c r="BR1253" t="s">
        <v>97</v>
      </c>
      <c r="BS1253" t="s">
        <v>21041</v>
      </c>
      <c r="BT1253" t="str">
        <f>HYPERLINK("https%3A%2F%2Fwww.webofscience.com%2Fwos%2Fwoscc%2Ffull-record%2FWOS:000766216400001","View Full Record in Web of Science")</f>
        <v>View Full Record in Web of Science</v>
      </c>
    </row>
    <row r="1254" spans="1:72" x14ac:dyDescent="0.25">
      <c r="A1254" t="s">
        <v>72</v>
      </c>
      <c r="B1254" t="s">
        <v>21042</v>
      </c>
      <c r="C1254" t="s">
        <v>74</v>
      </c>
      <c r="D1254" t="s">
        <v>74</v>
      </c>
      <c r="E1254" t="s">
        <v>74</v>
      </c>
      <c r="F1254" t="s">
        <v>21043</v>
      </c>
      <c r="G1254" t="s">
        <v>74</v>
      </c>
      <c r="H1254" t="s">
        <v>74</v>
      </c>
      <c r="I1254" t="s">
        <v>21044</v>
      </c>
      <c r="J1254" t="s">
        <v>17913</v>
      </c>
      <c r="K1254" t="s">
        <v>74</v>
      </c>
      <c r="L1254" t="s">
        <v>74</v>
      </c>
      <c r="M1254" t="s">
        <v>77</v>
      </c>
      <c r="N1254" t="s">
        <v>10095</v>
      </c>
      <c r="O1254" t="s">
        <v>74</v>
      </c>
      <c r="P1254" t="s">
        <v>74</v>
      </c>
      <c r="Q1254" t="s">
        <v>74</v>
      </c>
      <c r="R1254" t="s">
        <v>74</v>
      </c>
      <c r="S1254" t="s">
        <v>74</v>
      </c>
      <c r="T1254" t="s">
        <v>21045</v>
      </c>
      <c r="U1254" t="s">
        <v>21046</v>
      </c>
      <c r="V1254" t="s">
        <v>21047</v>
      </c>
      <c r="W1254" t="s">
        <v>21048</v>
      </c>
      <c r="X1254" t="s">
        <v>21049</v>
      </c>
      <c r="Y1254" t="s">
        <v>21050</v>
      </c>
      <c r="Z1254" t="s">
        <v>21051</v>
      </c>
      <c r="AA1254" t="s">
        <v>74</v>
      </c>
      <c r="AB1254" t="s">
        <v>18332</v>
      </c>
      <c r="AC1254" t="s">
        <v>21052</v>
      </c>
      <c r="AD1254" t="s">
        <v>21053</v>
      </c>
      <c r="AE1254" t="s">
        <v>21054</v>
      </c>
      <c r="AF1254" t="s">
        <v>74</v>
      </c>
      <c r="AG1254">
        <v>60</v>
      </c>
      <c r="AH1254">
        <v>0</v>
      </c>
      <c r="AI1254">
        <v>0</v>
      </c>
      <c r="AJ1254">
        <v>4</v>
      </c>
      <c r="AK1254">
        <v>19</v>
      </c>
      <c r="AL1254" t="s">
        <v>350</v>
      </c>
      <c r="AM1254" t="s">
        <v>351</v>
      </c>
      <c r="AN1254" t="s">
        <v>352</v>
      </c>
      <c r="AO1254" t="s">
        <v>17922</v>
      </c>
      <c r="AP1254" t="s">
        <v>17923</v>
      </c>
      <c r="AQ1254" t="s">
        <v>74</v>
      </c>
      <c r="AR1254" t="s">
        <v>17924</v>
      </c>
      <c r="AS1254" t="s">
        <v>17925</v>
      </c>
      <c r="AT1254" t="s">
        <v>74</v>
      </c>
      <c r="AU1254" t="s">
        <v>74</v>
      </c>
      <c r="AV1254" t="s">
        <v>74</v>
      </c>
      <c r="AW1254" t="s">
        <v>74</v>
      </c>
      <c r="AX1254" t="s">
        <v>74</v>
      </c>
      <c r="AY1254" t="s">
        <v>74</v>
      </c>
      <c r="AZ1254" t="s">
        <v>74</v>
      </c>
      <c r="BA1254" t="s">
        <v>74</v>
      </c>
      <c r="BB1254" t="s">
        <v>74</v>
      </c>
      <c r="BC1254" t="s">
        <v>74</v>
      </c>
      <c r="BD1254">
        <v>332941211064810</v>
      </c>
      <c r="BE1254" t="s">
        <v>21055</v>
      </c>
      <c r="BF1254" t="str">
        <f>HYPERLINK("http://dx.doi.org/10.1177/00332941211064810","http://dx.doi.org/10.1177/00332941211064810")</f>
        <v>http://dx.doi.org/10.1177/00332941211064810</v>
      </c>
      <c r="BG1254" t="s">
        <v>74</v>
      </c>
      <c r="BH1254" t="s">
        <v>9259</v>
      </c>
      <c r="BI1254">
        <v>20</v>
      </c>
      <c r="BJ1254" t="s">
        <v>3203</v>
      </c>
      <c r="BK1254" t="s">
        <v>94</v>
      </c>
      <c r="BL1254" t="s">
        <v>460</v>
      </c>
      <c r="BM1254" t="s">
        <v>21056</v>
      </c>
      <c r="BN1254">
        <v>35038929</v>
      </c>
      <c r="BO1254" t="s">
        <v>74</v>
      </c>
      <c r="BP1254" t="s">
        <v>74</v>
      </c>
      <c r="BQ1254" t="s">
        <v>74</v>
      </c>
      <c r="BR1254" t="s">
        <v>97</v>
      </c>
      <c r="BS1254" t="s">
        <v>21057</v>
      </c>
      <c r="BT1254" t="str">
        <f>HYPERLINK("https%3A%2F%2Fwww.webofscience.com%2Fwos%2Fwoscc%2Ffull-record%2FWOS:000748974800001","View Full Record in Web of Science")</f>
        <v>View Full Record in Web of Science</v>
      </c>
    </row>
    <row r="1255" spans="1:72" x14ac:dyDescent="0.25">
      <c r="A1255" t="s">
        <v>72</v>
      </c>
      <c r="B1255" t="s">
        <v>21058</v>
      </c>
      <c r="C1255" t="s">
        <v>74</v>
      </c>
      <c r="D1255" t="s">
        <v>74</v>
      </c>
      <c r="E1255" t="s">
        <v>74</v>
      </c>
      <c r="F1255" t="s">
        <v>21059</v>
      </c>
      <c r="G1255" t="s">
        <v>74</v>
      </c>
      <c r="H1255" t="s">
        <v>74</v>
      </c>
      <c r="I1255" t="s">
        <v>21060</v>
      </c>
      <c r="J1255" t="s">
        <v>5442</v>
      </c>
      <c r="K1255" t="s">
        <v>74</v>
      </c>
      <c r="L1255" t="s">
        <v>74</v>
      </c>
      <c r="M1255" t="s">
        <v>77</v>
      </c>
      <c r="N1255" t="s">
        <v>10095</v>
      </c>
      <c r="O1255" t="s">
        <v>74</v>
      </c>
      <c r="P1255" t="s">
        <v>74</v>
      </c>
      <c r="Q1255" t="s">
        <v>74</v>
      </c>
      <c r="R1255" t="s">
        <v>74</v>
      </c>
      <c r="S1255" t="s">
        <v>74</v>
      </c>
      <c r="T1255" t="s">
        <v>21061</v>
      </c>
      <c r="U1255" t="s">
        <v>21062</v>
      </c>
      <c r="V1255" t="s">
        <v>21063</v>
      </c>
      <c r="W1255" t="s">
        <v>21064</v>
      </c>
      <c r="X1255" t="s">
        <v>21065</v>
      </c>
      <c r="Y1255" t="s">
        <v>21066</v>
      </c>
      <c r="Z1255" t="s">
        <v>17373</v>
      </c>
      <c r="AA1255" t="s">
        <v>21067</v>
      </c>
      <c r="AB1255" t="s">
        <v>21068</v>
      </c>
      <c r="AC1255" t="s">
        <v>74</v>
      </c>
      <c r="AD1255" t="s">
        <v>74</v>
      </c>
      <c r="AE1255" t="s">
        <v>74</v>
      </c>
      <c r="AF1255" t="s">
        <v>74</v>
      </c>
      <c r="AG1255">
        <v>96</v>
      </c>
      <c r="AH1255">
        <v>0</v>
      </c>
      <c r="AI1255">
        <v>0</v>
      </c>
      <c r="AJ1255">
        <v>7</v>
      </c>
      <c r="AK1255">
        <v>23</v>
      </c>
      <c r="AL1255" t="s">
        <v>5452</v>
      </c>
      <c r="AM1255" t="s">
        <v>5453</v>
      </c>
      <c r="AN1255" t="s">
        <v>5454</v>
      </c>
      <c r="AO1255" t="s">
        <v>5455</v>
      </c>
      <c r="AP1255" t="s">
        <v>5456</v>
      </c>
      <c r="AQ1255" t="s">
        <v>74</v>
      </c>
      <c r="AR1255" t="s">
        <v>5457</v>
      </c>
      <c r="AS1255" t="s">
        <v>5458</v>
      </c>
      <c r="AT1255" t="s">
        <v>74</v>
      </c>
      <c r="AU1255" t="s">
        <v>74</v>
      </c>
      <c r="AV1255" t="s">
        <v>74</v>
      </c>
      <c r="AW1255" t="s">
        <v>74</v>
      </c>
      <c r="AX1255" t="s">
        <v>74</v>
      </c>
      <c r="AY1255" t="s">
        <v>74</v>
      </c>
      <c r="AZ1255" t="s">
        <v>74</v>
      </c>
      <c r="BA1255" t="s">
        <v>74</v>
      </c>
      <c r="BB1255" t="s">
        <v>74</v>
      </c>
      <c r="BC1255" t="s">
        <v>74</v>
      </c>
      <c r="BD1255" t="s">
        <v>21069</v>
      </c>
      <c r="BE1255" t="s">
        <v>21070</v>
      </c>
      <c r="BF1255" t="str">
        <f>HYPERLINK("http://dx.doi.org/10.1017/jmo.2021.67","http://dx.doi.org/10.1017/jmo.2021.67")</f>
        <v>http://dx.doi.org/10.1017/jmo.2021.67</v>
      </c>
      <c r="BG1255" t="s">
        <v>74</v>
      </c>
      <c r="BH1255" t="s">
        <v>9259</v>
      </c>
      <c r="BI1255">
        <v>18</v>
      </c>
      <c r="BJ1255" t="s">
        <v>442</v>
      </c>
      <c r="BK1255" t="s">
        <v>94</v>
      </c>
      <c r="BL1255" t="s">
        <v>95</v>
      </c>
      <c r="BM1255" t="s">
        <v>21071</v>
      </c>
      <c r="BN1255" t="s">
        <v>74</v>
      </c>
      <c r="BO1255" t="s">
        <v>74</v>
      </c>
      <c r="BP1255" t="s">
        <v>74</v>
      </c>
      <c r="BQ1255" t="s">
        <v>74</v>
      </c>
      <c r="BR1255" t="s">
        <v>97</v>
      </c>
      <c r="BS1255" t="s">
        <v>21072</v>
      </c>
      <c r="BT1255" t="str">
        <f>HYPERLINK("https%3A%2F%2Fwww.webofscience.com%2Fwos%2Fwoscc%2Ffull-record%2FWOS:000740205000001","View Full Record in Web of Science")</f>
        <v>View Full Record in Web of Science</v>
      </c>
    </row>
    <row r="1256" spans="1:72" x14ac:dyDescent="0.25">
      <c r="A1256" t="s">
        <v>72</v>
      </c>
      <c r="B1256" t="s">
        <v>21073</v>
      </c>
      <c r="C1256" t="s">
        <v>74</v>
      </c>
      <c r="D1256" t="s">
        <v>74</v>
      </c>
      <c r="E1256" t="s">
        <v>74</v>
      </c>
      <c r="F1256" t="s">
        <v>21074</v>
      </c>
      <c r="G1256" t="s">
        <v>74</v>
      </c>
      <c r="H1256" t="s">
        <v>74</v>
      </c>
      <c r="I1256" t="s">
        <v>21075</v>
      </c>
      <c r="J1256" t="s">
        <v>6395</v>
      </c>
      <c r="K1256" t="s">
        <v>74</v>
      </c>
      <c r="L1256" t="s">
        <v>74</v>
      </c>
      <c r="M1256" t="s">
        <v>77</v>
      </c>
      <c r="N1256" t="s">
        <v>78</v>
      </c>
      <c r="O1256" t="s">
        <v>74</v>
      </c>
      <c r="P1256" t="s">
        <v>74</v>
      </c>
      <c r="Q1256" t="s">
        <v>74</v>
      </c>
      <c r="R1256" t="s">
        <v>74</v>
      </c>
      <c r="S1256" t="s">
        <v>74</v>
      </c>
      <c r="T1256" t="s">
        <v>21076</v>
      </c>
      <c r="U1256" t="s">
        <v>21077</v>
      </c>
      <c r="V1256" t="s">
        <v>21078</v>
      </c>
      <c r="W1256" t="s">
        <v>21079</v>
      </c>
      <c r="X1256" t="s">
        <v>21080</v>
      </c>
      <c r="Y1256" t="s">
        <v>21081</v>
      </c>
      <c r="Z1256" t="s">
        <v>21082</v>
      </c>
      <c r="AA1256" t="s">
        <v>74</v>
      </c>
      <c r="AB1256" t="s">
        <v>21083</v>
      </c>
      <c r="AC1256" t="s">
        <v>74</v>
      </c>
      <c r="AD1256" t="s">
        <v>74</v>
      </c>
      <c r="AE1256" t="s">
        <v>74</v>
      </c>
      <c r="AF1256" t="s">
        <v>74</v>
      </c>
      <c r="AG1256">
        <v>67</v>
      </c>
      <c r="AH1256">
        <v>0</v>
      </c>
      <c r="AI1256">
        <v>0</v>
      </c>
      <c r="AJ1256">
        <v>13</v>
      </c>
      <c r="AK1256">
        <v>13</v>
      </c>
      <c r="AL1256" t="s">
        <v>6407</v>
      </c>
      <c r="AM1256" t="s">
        <v>6408</v>
      </c>
      <c r="AN1256" t="s">
        <v>6409</v>
      </c>
      <c r="AO1256" t="s">
        <v>6410</v>
      </c>
      <c r="AP1256" t="s">
        <v>74</v>
      </c>
      <c r="AQ1256" t="s">
        <v>74</v>
      </c>
      <c r="AR1256" t="s">
        <v>6411</v>
      </c>
      <c r="AS1256" t="s">
        <v>6412</v>
      </c>
      <c r="AT1256" t="s">
        <v>74</v>
      </c>
      <c r="AU1256">
        <v>2022</v>
      </c>
      <c r="AV1256">
        <v>15</v>
      </c>
      <c r="AW1256" t="s">
        <v>74</v>
      </c>
      <c r="AX1256" t="s">
        <v>74</v>
      </c>
      <c r="AY1256" t="s">
        <v>74</v>
      </c>
      <c r="AZ1256" t="s">
        <v>74</v>
      </c>
      <c r="BA1256" t="s">
        <v>74</v>
      </c>
      <c r="BB1256">
        <v>3081</v>
      </c>
      <c r="BC1256">
        <v>3095</v>
      </c>
      <c r="BD1256" t="s">
        <v>74</v>
      </c>
      <c r="BE1256" t="s">
        <v>21084</v>
      </c>
      <c r="BF1256" t="str">
        <f>HYPERLINK("http://dx.doi.org/10.2147/PRBM.S384632","http://dx.doi.org/10.2147/PRBM.S384632")</f>
        <v>http://dx.doi.org/10.2147/PRBM.S384632</v>
      </c>
      <c r="BG1256" t="s">
        <v>74</v>
      </c>
      <c r="BH1256" t="s">
        <v>74</v>
      </c>
      <c r="BI1256">
        <v>15</v>
      </c>
      <c r="BJ1256" t="s">
        <v>6414</v>
      </c>
      <c r="BK1256" t="s">
        <v>94</v>
      </c>
      <c r="BL1256" t="s">
        <v>6415</v>
      </c>
      <c r="BM1256" t="s">
        <v>21085</v>
      </c>
      <c r="BN1256">
        <v>36284579</v>
      </c>
      <c r="BO1256" t="s">
        <v>3205</v>
      </c>
      <c r="BP1256" t="s">
        <v>74</v>
      </c>
      <c r="BQ1256" t="s">
        <v>74</v>
      </c>
      <c r="BR1256" t="s">
        <v>97</v>
      </c>
      <c r="BS1256" t="s">
        <v>21086</v>
      </c>
      <c r="BT1256" t="str">
        <f>HYPERLINK("https%3A%2F%2Fwww.webofscience.com%2Fwos%2Fwoscc%2Ffull-record%2FWOS:000888018800001","View Full Record in Web of Science")</f>
        <v>View Full Record in Web of Science</v>
      </c>
    </row>
    <row r="1257" spans="1:72" x14ac:dyDescent="0.25">
      <c r="A1257" t="s">
        <v>72</v>
      </c>
      <c r="B1257" t="s">
        <v>21087</v>
      </c>
      <c r="C1257" t="s">
        <v>74</v>
      </c>
      <c r="D1257" t="s">
        <v>74</v>
      </c>
      <c r="E1257" t="s">
        <v>74</v>
      </c>
      <c r="F1257" t="s">
        <v>21088</v>
      </c>
      <c r="G1257" t="s">
        <v>74</v>
      </c>
      <c r="H1257" t="s">
        <v>74</v>
      </c>
      <c r="I1257" t="s">
        <v>21089</v>
      </c>
      <c r="J1257" t="s">
        <v>21090</v>
      </c>
      <c r="K1257" t="s">
        <v>74</v>
      </c>
      <c r="L1257" t="s">
        <v>74</v>
      </c>
      <c r="M1257" t="s">
        <v>77</v>
      </c>
      <c r="N1257" t="s">
        <v>78</v>
      </c>
      <c r="O1257" t="s">
        <v>74</v>
      </c>
      <c r="P1257" t="s">
        <v>74</v>
      </c>
      <c r="Q1257" t="s">
        <v>74</v>
      </c>
      <c r="R1257" t="s">
        <v>74</v>
      </c>
      <c r="S1257" t="s">
        <v>74</v>
      </c>
      <c r="T1257" t="s">
        <v>21091</v>
      </c>
      <c r="U1257" t="s">
        <v>21092</v>
      </c>
      <c r="V1257" t="s">
        <v>21093</v>
      </c>
      <c r="W1257" t="s">
        <v>21094</v>
      </c>
      <c r="X1257" t="s">
        <v>74</v>
      </c>
      <c r="Y1257" t="s">
        <v>21095</v>
      </c>
      <c r="Z1257" t="s">
        <v>21096</v>
      </c>
      <c r="AA1257" t="s">
        <v>74</v>
      </c>
      <c r="AB1257" t="s">
        <v>21097</v>
      </c>
      <c r="AC1257" t="s">
        <v>74</v>
      </c>
      <c r="AD1257" t="s">
        <v>74</v>
      </c>
      <c r="AE1257" t="s">
        <v>74</v>
      </c>
      <c r="AF1257" t="s">
        <v>74</v>
      </c>
      <c r="AG1257">
        <v>38</v>
      </c>
      <c r="AH1257">
        <v>0</v>
      </c>
      <c r="AI1257">
        <v>0</v>
      </c>
      <c r="AJ1257">
        <v>3</v>
      </c>
      <c r="AK1257">
        <v>5</v>
      </c>
      <c r="AL1257" t="s">
        <v>21098</v>
      </c>
      <c r="AM1257" t="s">
        <v>21099</v>
      </c>
      <c r="AN1257" t="s">
        <v>21100</v>
      </c>
      <c r="AO1257" t="s">
        <v>21101</v>
      </c>
      <c r="AP1257" t="s">
        <v>21102</v>
      </c>
      <c r="AQ1257" t="s">
        <v>74</v>
      </c>
      <c r="AR1257" t="s">
        <v>21103</v>
      </c>
      <c r="AS1257" t="s">
        <v>21104</v>
      </c>
      <c r="AT1257" t="s">
        <v>892</v>
      </c>
      <c r="AU1257">
        <v>2023</v>
      </c>
      <c r="AV1257">
        <v>55</v>
      </c>
      <c r="AW1257">
        <v>1</v>
      </c>
      <c r="AX1257" t="s">
        <v>74</v>
      </c>
      <c r="AY1257" t="s">
        <v>74</v>
      </c>
      <c r="AZ1257" t="s">
        <v>74</v>
      </c>
      <c r="BA1257" t="s">
        <v>74</v>
      </c>
      <c r="BB1257">
        <v>81</v>
      </c>
      <c r="BC1257">
        <v>87</v>
      </c>
      <c r="BD1257" t="s">
        <v>74</v>
      </c>
      <c r="BE1257" t="s">
        <v>21105</v>
      </c>
      <c r="BF1257" t="str">
        <f>HYPERLINK("http://dx.doi.org/10.1037/cbs0000310","http://dx.doi.org/10.1037/cbs0000310")</f>
        <v>http://dx.doi.org/10.1037/cbs0000310</v>
      </c>
      <c r="BG1257" t="s">
        <v>74</v>
      </c>
      <c r="BH1257" t="s">
        <v>9273</v>
      </c>
      <c r="BI1257">
        <v>7</v>
      </c>
      <c r="BJ1257" t="s">
        <v>3203</v>
      </c>
      <c r="BK1257" t="s">
        <v>94</v>
      </c>
      <c r="BL1257" t="s">
        <v>460</v>
      </c>
      <c r="BM1257" t="s">
        <v>21106</v>
      </c>
      <c r="BN1257" t="s">
        <v>74</v>
      </c>
      <c r="BO1257" t="s">
        <v>74</v>
      </c>
      <c r="BP1257" t="s">
        <v>74</v>
      </c>
      <c r="BQ1257" t="s">
        <v>74</v>
      </c>
      <c r="BR1257" t="s">
        <v>97</v>
      </c>
      <c r="BS1257" t="s">
        <v>21107</v>
      </c>
      <c r="BT1257" t="str">
        <f>HYPERLINK("https%3A%2F%2Fwww.webofscience.com%2Fwos%2Fwoscc%2Ffull-record%2FWOS:000735547700001","View Full Record in Web of Science")</f>
        <v>View Full Record in Web of Science</v>
      </c>
    </row>
    <row r="1258" spans="1:72" x14ac:dyDescent="0.25">
      <c r="A1258" t="s">
        <v>72</v>
      </c>
      <c r="B1258" t="s">
        <v>21108</v>
      </c>
      <c r="C1258" t="s">
        <v>74</v>
      </c>
      <c r="D1258" t="s">
        <v>74</v>
      </c>
      <c r="E1258" t="s">
        <v>74</v>
      </c>
      <c r="F1258" t="s">
        <v>21109</v>
      </c>
      <c r="G1258" t="s">
        <v>74</v>
      </c>
      <c r="H1258" t="s">
        <v>74</v>
      </c>
      <c r="I1258" t="s">
        <v>21110</v>
      </c>
      <c r="J1258" t="s">
        <v>3184</v>
      </c>
      <c r="K1258" t="s">
        <v>74</v>
      </c>
      <c r="L1258" t="s">
        <v>74</v>
      </c>
      <c r="M1258" t="s">
        <v>77</v>
      </c>
      <c r="N1258" t="s">
        <v>78</v>
      </c>
      <c r="O1258" t="s">
        <v>74</v>
      </c>
      <c r="P1258" t="s">
        <v>74</v>
      </c>
      <c r="Q1258" t="s">
        <v>74</v>
      </c>
      <c r="R1258" t="s">
        <v>74</v>
      </c>
      <c r="S1258" t="s">
        <v>74</v>
      </c>
      <c r="T1258" t="s">
        <v>21111</v>
      </c>
      <c r="U1258" t="s">
        <v>21112</v>
      </c>
      <c r="V1258" t="s">
        <v>21113</v>
      </c>
      <c r="W1258" t="s">
        <v>21114</v>
      </c>
      <c r="X1258" t="s">
        <v>21115</v>
      </c>
      <c r="Y1258" t="s">
        <v>21116</v>
      </c>
      <c r="Z1258" t="s">
        <v>21117</v>
      </c>
      <c r="AA1258" t="s">
        <v>74</v>
      </c>
      <c r="AB1258" t="s">
        <v>21118</v>
      </c>
      <c r="AC1258" t="s">
        <v>21119</v>
      </c>
      <c r="AD1258" t="s">
        <v>21120</v>
      </c>
      <c r="AE1258" t="s">
        <v>21121</v>
      </c>
      <c r="AF1258" t="s">
        <v>74</v>
      </c>
      <c r="AG1258">
        <v>76</v>
      </c>
      <c r="AH1258">
        <v>0</v>
      </c>
      <c r="AI1258">
        <v>0</v>
      </c>
      <c r="AJ1258">
        <v>4</v>
      </c>
      <c r="AK1258">
        <v>14</v>
      </c>
      <c r="AL1258" t="s">
        <v>3195</v>
      </c>
      <c r="AM1258" t="s">
        <v>3196</v>
      </c>
      <c r="AN1258" t="s">
        <v>3197</v>
      </c>
      <c r="AO1258" t="s">
        <v>3198</v>
      </c>
      <c r="AP1258" t="s">
        <v>74</v>
      </c>
      <c r="AQ1258" t="s">
        <v>74</v>
      </c>
      <c r="AR1258" t="s">
        <v>3199</v>
      </c>
      <c r="AS1258" t="s">
        <v>3200</v>
      </c>
      <c r="AT1258" t="s">
        <v>4441</v>
      </c>
      <c r="AU1258">
        <v>2021</v>
      </c>
      <c r="AV1258">
        <v>12</v>
      </c>
      <c r="AW1258" t="s">
        <v>74</v>
      </c>
      <c r="AX1258" t="s">
        <v>74</v>
      </c>
      <c r="AY1258" t="s">
        <v>74</v>
      </c>
      <c r="AZ1258" t="s">
        <v>74</v>
      </c>
      <c r="BA1258" t="s">
        <v>74</v>
      </c>
      <c r="BB1258" t="s">
        <v>74</v>
      </c>
      <c r="BC1258" t="s">
        <v>74</v>
      </c>
      <c r="BD1258">
        <v>794492</v>
      </c>
      <c r="BE1258" t="s">
        <v>21122</v>
      </c>
      <c r="BF1258" t="str">
        <f>HYPERLINK("http://dx.doi.org/10.3389/fpsyg.2021.794492","http://dx.doi.org/10.3389/fpsyg.2021.794492")</f>
        <v>http://dx.doi.org/10.3389/fpsyg.2021.794492</v>
      </c>
      <c r="BG1258" t="s">
        <v>74</v>
      </c>
      <c r="BH1258" t="s">
        <v>74</v>
      </c>
      <c r="BI1258">
        <v>13</v>
      </c>
      <c r="BJ1258" t="s">
        <v>3203</v>
      </c>
      <c r="BK1258" t="s">
        <v>94</v>
      </c>
      <c r="BL1258" t="s">
        <v>460</v>
      </c>
      <c r="BM1258" t="s">
        <v>21123</v>
      </c>
      <c r="BN1258">
        <v>34975695</v>
      </c>
      <c r="BO1258" t="s">
        <v>3205</v>
      </c>
      <c r="BP1258" t="s">
        <v>74</v>
      </c>
      <c r="BQ1258" t="s">
        <v>74</v>
      </c>
      <c r="BR1258" t="s">
        <v>97</v>
      </c>
      <c r="BS1258" t="s">
        <v>21124</v>
      </c>
      <c r="BT1258" t="str">
        <f>HYPERLINK("https%3A%2F%2Fwww.webofscience.com%2Fwos%2Fwoscc%2Ffull-record%2FWOS:000738403500001","View Full Record in Web of Science")</f>
        <v>View Full Record in Web of Science</v>
      </c>
    </row>
    <row r="1259" spans="1:72" x14ac:dyDescent="0.25">
      <c r="A1259" t="s">
        <v>72</v>
      </c>
      <c r="B1259" t="s">
        <v>21125</v>
      </c>
      <c r="C1259" t="s">
        <v>74</v>
      </c>
      <c r="D1259" t="s">
        <v>74</v>
      </c>
      <c r="E1259" t="s">
        <v>74</v>
      </c>
      <c r="F1259" t="s">
        <v>21126</v>
      </c>
      <c r="G1259" t="s">
        <v>74</v>
      </c>
      <c r="H1259" t="s">
        <v>74</v>
      </c>
      <c r="I1259" t="s">
        <v>21127</v>
      </c>
      <c r="J1259" t="s">
        <v>3142</v>
      </c>
      <c r="K1259" t="s">
        <v>74</v>
      </c>
      <c r="L1259" t="s">
        <v>74</v>
      </c>
      <c r="M1259" t="s">
        <v>77</v>
      </c>
      <c r="N1259" t="s">
        <v>10095</v>
      </c>
      <c r="O1259" t="s">
        <v>74</v>
      </c>
      <c r="P1259" t="s">
        <v>74</v>
      </c>
      <c r="Q1259" t="s">
        <v>74</v>
      </c>
      <c r="R1259" t="s">
        <v>74</v>
      </c>
      <c r="S1259" t="s">
        <v>74</v>
      </c>
      <c r="T1259" t="s">
        <v>21128</v>
      </c>
      <c r="U1259" t="s">
        <v>21129</v>
      </c>
      <c r="V1259" t="s">
        <v>21130</v>
      </c>
      <c r="W1259" t="s">
        <v>21131</v>
      </c>
      <c r="X1259" t="s">
        <v>21132</v>
      </c>
      <c r="Y1259" t="s">
        <v>21133</v>
      </c>
      <c r="Z1259" t="s">
        <v>21134</v>
      </c>
      <c r="AA1259" t="s">
        <v>74</v>
      </c>
      <c r="AB1259" t="s">
        <v>21135</v>
      </c>
      <c r="AC1259" t="s">
        <v>21136</v>
      </c>
      <c r="AD1259" t="s">
        <v>21137</v>
      </c>
      <c r="AE1259" t="s">
        <v>21138</v>
      </c>
      <c r="AF1259" t="s">
        <v>74</v>
      </c>
      <c r="AG1259">
        <v>76</v>
      </c>
      <c r="AH1259">
        <v>0</v>
      </c>
      <c r="AI1259">
        <v>0</v>
      </c>
      <c r="AJ1259">
        <v>7</v>
      </c>
      <c r="AK1259">
        <v>23</v>
      </c>
      <c r="AL1259" t="s">
        <v>3149</v>
      </c>
      <c r="AM1259" t="s">
        <v>195</v>
      </c>
      <c r="AN1259" t="s">
        <v>3150</v>
      </c>
      <c r="AO1259" t="s">
        <v>3151</v>
      </c>
      <c r="AP1259" t="s">
        <v>3152</v>
      </c>
      <c r="AQ1259" t="s">
        <v>74</v>
      </c>
      <c r="AR1259" t="s">
        <v>3153</v>
      </c>
      <c r="AS1259" t="s">
        <v>3154</v>
      </c>
      <c r="AT1259" t="s">
        <v>74</v>
      </c>
      <c r="AU1259" t="s">
        <v>74</v>
      </c>
      <c r="AV1259" t="s">
        <v>74</v>
      </c>
      <c r="AW1259" t="s">
        <v>74</v>
      </c>
      <c r="AX1259" t="s">
        <v>74</v>
      </c>
      <c r="AY1259" t="s">
        <v>74</v>
      </c>
      <c r="AZ1259" t="s">
        <v>74</v>
      </c>
      <c r="BA1259" t="s">
        <v>74</v>
      </c>
      <c r="BB1259" t="s">
        <v>74</v>
      </c>
      <c r="BC1259" t="s">
        <v>74</v>
      </c>
      <c r="BD1259" t="s">
        <v>74</v>
      </c>
      <c r="BE1259" t="s">
        <v>21139</v>
      </c>
      <c r="BF1259" t="str">
        <f>HYPERLINK("http://dx.doi.org/10.1037/aca0000447","http://dx.doi.org/10.1037/aca0000447")</f>
        <v>http://dx.doi.org/10.1037/aca0000447</v>
      </c>
      <c r="BG1259" t="s">
        <v>74</v>
      </c>
      <c r="BH1259" t="s">
        <v>12650</v>
      </c>
      <c r="BI1259">
        <v>12</v>
      </c>
      <c r="BJ1259" t="s">
        <v>3156</v>
      </c>
      <c r="BK1259" t="s">
        <v>3157</v>
      </c>
      <c r="BL1259" t="s">
        <v>3158</v>
      </c>
      <c r="BM1259" t="s">
        <v>21140</v>
      </c>
      <c r="BN1259" t="s">
        <v>74</v>
      </c>
      <c r="BO1259" t="s">
        <v>74</v>
      </c>
      <c r="BP1259" t="s">
        <v>74</v>
      </c>
      <c r="BQ1259" t="s">
        <v>74</v>
      </c>
      <c r="BR1259" t="s">
        <v>97</v>
      </c>
      <c r="BS1259" t="s">
        <v>21141</v>
      </c>
      <c r="BT1259" t="str">
        <f>HYPERLINK("https%3A%2F%2Fwww.webofscience.com%2Fwos%2Fwoscc%2Ffull-record%2FWOS:000733098100001","View Full Record in Web of Science")</f>
        <v>View Full Record in Web of Science</v>
      </c>
    </row>
    <row r="1260" spans="1:72" x14ac:dyDescent="0.25">
      <c r="A1260" t="s">
        <v>72</v>
      </c>
      <c r="B1260" t="s">
        <v>21142</v>
      </c>
      <c r="C1260" t="s">
        <v>74</v>
      </c>
      <c r="D1260" t="s">
        <v>74</v>
      </c>
      <c r="E1260" t="s">
        <v>74</v>
      </c>
      <c r="F1260" t="s">
        <v>21143</v>
      </c>
      <c r="G1260" t="s">
        <v>74</v>
      </c>
      <c r="H1260" t="s">
        <v>74</v>
      </c>
      <c r="I1260" t="s">
        <v>21144</v>
      </c>
      <c r="J1260" t="s">
        <v>3184</v>
      </c>
      <c r="K1260" t="s">
        <v>74</v>
      </c>
      <c r="L1260" t="s">
        <v>74</v>
      </c>
      <c r="M1260" t="s">
        <v>77</v>
      </c>
      <c r="N1260" t="s">
        <v>78</v>
      </c>
      <c r="O1260" t="s">
        <v>74</v>
      </c>
      <c r="P1260" t="s">
        <v>74</v>
      </c>
      <c r="Q1260" t="s">
        <v>74</v>
      </c>
      <c r="R1260" t="s">
        <v>74</v>
      </c>
      <c r="S1260" t="s">
        <v>74</v>
      </c>
      <c r="T1260" t="s">
        <v>21145</v>
      </c>
      <c r="U1260" t="s">
        <v>21146</v>
      </c>
      <c r="V1260" t="s">
        <v>21147</v>
      </c>
      <c r="W1260" t="s">
        <v>21148</v>
      </c>
      <c r="X1260" t="s">
        <v>21149</v>
      </c>
      <c r="Y1260" t="s">
        <v>21150</v>
      </c>
      <c r="Z1260" t="s">
        <v>21151</v>
      </c>
      <c r="AA1260" t="s">
        <v>74</v>
      </c>
      <c r="AB1260" t="s">
        <v>74</v>
      </c>
      <c r="AC1260" t="s">
        <v>21152</v>
      </c>
      <c r="AD1260" t="s">
        <v>7706</v>
      </c>
      <c r="AE1260" t="s">
        <v>21153</v>
      </c>
      <c r="AF1260" t="s">
        <v>74</v>
      </c>
      <c r="AG1260">
        <v>92</v>
      </c>
      <c r="AH1260">
        <v>0</v>
      </c>
      <c r="AI1260">
        <v>0</v>
      </c>
      <c r="AJ1260">
        <v>13</v>
      </c>
      <c r="AK1260">
        <v>62</v>
      </c>
      <c r="AL1260" t="s">
        <v>3195</v>
      </c>
      <c r="AM1260" t="s">
        <v>3196</v>
      </c>
      <c r="AN1260" t="s">
        <v>3197</v>
      </c>
      <c r="AO1260" t="s">
        <v>3198</v>
      </c>
      <c r="AP1260" t="s">
        <v>74</v>
      </c>
      <c r="AQ1260" t="s">
        <v>74</v>
      </c>
      <c r="AR1260" t="s">
        <v>3199</v>
      </c>
      <c r="AS1260" t="s">
        <v>3200</v>
      </c>
      <c r="AT1260" t="s">
        <v>17286</v>
      </c>
      <c r="AU1260">
        <v>2021</v>
      </c>
      <c r="AV1260">
        <v>12</v>
      </c>
      <c r="AW1260" t="s">
        <v>74</v>
      </c>
      <c r="AX1260" t="s">
        <v>74</v>
      </c>
      <c r="AY1260" t="s">
        <v>74</v>
      </c>
      <c r="AZ1260" t="s">
        <v>74</v>
      </c>
      <c r="BA1260" t="s">
        <v>74</v>
      </c>
      <c r="BB1260" t="s">
        <v>74</v>
      </c>
      <c r="BC1260" t="s">
        <v>74</v>
      </c>
      <c r="BD1260">
        <v>750960</v>
      </c>
      <c r="BE1260" t="s">
        <v>21154</v>
      </c>
      <c r="BF1260" t="str">
        <f>HYPERLINK("http://dx.doi.org/10.3389/fpsyg.2021.750960","http://dx.doi.org/10.3389/fpsyg.2021.750960")</f>
        <v>http://dx.doi.org/10.3389/fpsyg.2021.750960</v>
      </c>
      <c r="BG1260" t="s">
        <v>74</v>
      </c>
      <c r="BH1260" t="s">
        <v>74</v>
      </c>
      <c r="BI1260">
        <v>16</v>
      </c>
      <c r="BJ1260" t="s">
        <v>3203</v>
      </c>
      <c r="BK1260" t="s">
        <v>94</v>
      </c>
      <c r="BL1260" t="s">
        <v>460</v>
      </c>
      <c r="BM1260" t="s">
        <v>21155</v>
      </c>
      <c r="BN1260">
        <v>34899490</v>
      </c>
      <c r="BO1260" t="s">
        <v>4398</v>
      </c>
      <c r="BP1260" t="s">
        <v>74</v>
      </c>
      <c r="BQ1260" t="s">
        <v>74</v>
      </c>
      <c r="BR1260" t="s">
        <v>97</v>
      </c>
      <c r="BS1260" t="s">
        <v>21156</v>
      </c>
      <c r="BT1260" t="str">
        <f>HYPERLINK("https%3A%2F%2Fwww.webofscience.com%2Fwos%2Fwoscc%2Ffull-record%2FWOS:000731686700001","View Full Record in Web of Science")</f>
        <v>View Full Record in Web of Science</v>
      </c>
    </row>
    <row r="1261" spans="1:72" x14ac:dyDescent="0.25">
      <c r="A1261" t="s">
        <v>72</v>
      </c>
      <c r="B1261" t="s">
        <v>21157</v>
      </c>
      <c r="C1261" t="s">
        <v>74</v>
      </c>
      <c r="D1261" t="s">
        <v>74</v>
      </c>
      <c r="E1261" t="s">
        <v>74</v>
      </c>
      <c r="F1261" t="s">
        <v>21158</v>
      </c>
      <c r="G1261" t="s">
        <v>74</v>
      </c>
      <c r="H1261" t="s">
        <v>74</v>
      </c>
      <c r="I1261" t="s">
        <v>21159</v>
      </c>
      <c r="J1261" t="s">
        <v>2059</v>
      </c>
      <c r="K1261" t="s">
        <v>74</v>
      </c>
      <c r="L1261" t="s">
        <v>74</v>
      </c>
      <c r="M1261" t="s">
        <v>77</v>
      </c>
      <c r="N1261" t="s">
        <v>78</v>
      </c>
      <c r="O1261" t="s">
        <v>74</v>
      </c>
      <c r="P1261" t="s">
        <v>74</v>
      </c>
      <c r="Q1261" t="s">
        <v>74</v>
      </c>
      <c r="R1261" t="s">
        <v>74</v>
      </c>
      <c r="S1261" t="s">
        <v>74</v>
      </c>
      <c r="T1261" t="s">
        <v>21160</v>
      </c>
      <c r="U1261" t="s">
        <v>21161</v>
      </c>
      <c r="V1261" t="s">
        <v>21162</v>
      </c>
      <c r="W1261" t="s">
        <v>21163</v>
      </c>
      <c r="X1261" t="s">
        <v>21164</v>
      </c>
      <c r="Y1261" t="s">
        <v>21165</v>
      </c>
      <c r="Z1261" t="s">
        <v>21166</v>
      </c>
      <c r="AA1261" t="s">
        <v>21167</v>
      </c>
      <c r="AB1261" t="s">
        <v>21168</v>
      </c>
      <c r="AC1261" t="s">
        <v>21169</v>
      </c>
      <c r="AD1261" t="s">
        <v>21170</v>
      </c>
      <c r="AE1261" t="s">
        <v>21171</v>
      </c>
      <c r="AF1261" t="s">
        <v>74</v>
      </c>
      <c r="AG1261">
        <v>51</v>
      </c>
      <c r="AH1261">
        <v>0</v>
      </c>
      <c r="AI1261">
        <v>0</v>
      </c>
      <c r="AJ1261">
        <v>29</v>
      </c>
      <c r="AK1261">
        <v>96</v>
      </c>
      <c r="AL1261" t="s">
        <v>2067</v>
      </c>
      <c r="AM1261" t="s">
        <v>2068</v>
      </c>
      <c r="AN1261" t="s">
        <v>2069</v>
      </c>
      <c r="AO1261" t="s">
        <v>2070</v>
      </c>
      <c r="AP1261" t="s">
        <v>2071</v>
      </c>
      <c r="AQ1261" t="s">
        <v>74</v>
      </c>
      <c r="AR1261" t="s">
        <v>2072</v>
      </c>
      <c r="AS1261" t="s">
        <v>2073</v>
      </c>
      <c r="AT1261" t="s">
        <v>584</v>
      </c>
      <c r="AU1261">
        <v>2021</v>
      </c>
      <c r="AV1261">
        <v>49</v>
      </c>
      <c r="AW1261">
        <v>11</v>
      </c>
      <c r="AX1261" t="s">
        <v>74</v>
      </c>
      <c r="AY1261" t="s">
        <v>74</v>
      </c>
      <c r="AZ1261" t="s">
        <v>74</v>
      </c>
      <c r="BA1261" t="s">
        <v>74</v>
      </c>
      <c r="BB1261" t="s">
        <v>74</v>
      </c>
      <c r="BC1261" t="s">
        <v>74</v>
      </c>
      <c r="BD1261" t="s">
        <v>21172</v>
      </c>
      <c r="BE1261" t="s">
        <v>21173</v>
      </c>
      <c r="BF1261" t="str">
        <f>HYPERLINK("http://dx.doi.org/10.2224/sbp.10840","http://dx.doi.org/10.2224/sbp.10840")</f>
        <v>http://dx.doi.org/10.2224/sbp.10840</v>
      </c>
      <c r="BG1261" t="s">
        <v>74</v>
      </c>
      <c r="BH1261" t="s">
        <v>74</v>
      </c>
      <c r="BI1261">
        <v>12</v>
      </c>
      <c r="BJ1261" t="s">
        <v>459</v>
      </c>
      <c r="BK1261" t="s">
        <v>94</v>
      </c>
      <c r="BL1261" t="s">
        <v>460</v>
      </c>
      <c r="BM1261" t="s">
        <v>21174</v>
      </c>
      <c r="BN1261" t="s">
        <v>74</v>
      </c>
      <c r="BO1261" t="s">
        <v>74</v>
      </c>
      <c r="BP1261" t="s">
        <v>74</v>
      </c>
      <c r="BQ1261" t="s">
        <v>74</v>
      </c>
      <c r="BR1261" t="s">
        <v>97</v>
      </c>
      <c r="BS1261" t="s">
        <v>21175</v>
      </c>
      <c r="BT1261" t="str">
        <f>HYPERLINK("https%3A%2F%2Fwww.webofscience.com%2Fwos%2Fwoscc%2Ffull-record%2FWOS:000716440200010","View Full Record in Web of Science")</f>
        <v>View Full Record in Web of Science</v>
      </c>
    </row>
    <row r="1262" spans="1:72" x14ac:dyDescent="0.25">
      <c r="A1262" t="s">
        <v>72</v>
      </c>
      <c r="B1262" t="s">
        <v>21176</v>
      </c>
      <c r="C1262" t="s">
        <v>74</v>
      </c>
      <c r="D1262" t="s">
        <v>74</v>
      </c>
      <c r="E1262" t="s">
        <v>74</v>
      </c>
      <c r="F1262" t="s">
        <v>21177</v>
      </c>
      <c r="G1262" t="s">
        <v>74</v>
      </c>
      <c r="H1262" t="s">
        <v>74</v>
      </c>
      <c r="I1262" t="s">
        <v>21178</v>
      </c>
      <c r="J1262" t="s">
        <v>13539</v>
      </c>
      <c r="K1262" t="s">
        <v>74</v>
      </c>
      <c r="L1262" t="s">
        <v>74</v>
      </c>
      <c r="M1262" t="s">
        <v>77</v>
      </c>
      <c r="N1262" t="s">
        <v>78</v>
      </c>
      <c r="O1262" t="s">
        <v>74</v>
      </c>
      <c r="P1262" t="s">
        <v>74</v>
      </c>
      <c r="Q1262" t="s">
        <v>74</v>
      </c>
      <c r="R1262" t="s">
        <v>74</v>
      </c>
      <c r="S1262" t="s">
        <v>74</v>
      </c>
      <c r="T1262" t="s">
        <v>21179</v>
      </c>
      <c r="U1262" t="s">
        <v>21180</v>
      </c>
      <c r="V1262" t="s">
        <v>21181</v>
      </c>
      <c r="W1262" t="s">
        <v>21182</v>
      </c>
      <c r="X1262" t="s">
        <v>11167</v>
      </c>
      <c r="Y1262" t="s">
        <v>21183</v>
      </c>
      <c r="Z1262" t="s">
        <v>21184</v>
      </c>
      <c r="AA1262" t="s">
        <v>74</v>
      </c>
      <c r="AB1262" t="s">
        <v>21185</v>
      </c>
      <c r="AC1262" t="s">
        <v>74</v>
      </c>
      <c r="AD1262" t="s">
        <v>74</v>
      </c>
      <c r="AE1262" t="s">
        <v>74</v>
      </c>
      <c r="AF1262" t="s">
        <v>74</v>
      </c>
      <c r="AG1262">
        <v>47</v>
      </c>
      <c r="AH1262">
        <v>0</v>
      </c>
      <c r="AI1262">
        <v>0</v>
      </c>
      <c r="AJ1262">
        <v>1</v>
      </c>
      <c r="AK1262">
        <v>5</v>
      </c>
      <c r="AL1262" t="s">
        <v>766</v>
      </c>
      <c r="AM1262" t="s">
        <v>330</v>
      </c>
      <c r="AN1262" t="s">
        <v>1452</v>
      </c>
      <c r="AO1262" t="s">
        <v>13548</v>
      </c>
      <c r="AP1262" t="s">
        <v>13549</v>
      </c>
      <c r="AQ1262" t="s">
        <v>74</v>
      </c>
      <c r="AR1262" t="s">
        <v>13550</v>
      </c>
      <c r="AS1262" t="s">
        <v>13551</v>
      </c>
      <c r="AT1262" t="s">
        <v>375</v>
      </c>
      <c r="AU1262">
        <v>2022</v>
      </c>
      <c r="AV1262">
        <v>13</v>
      </c>
      <c r="AW1262">
        <v>4</v>
      </c>
      <c r="AX1262" t="s">
        <v>74</v>
      </c>
      <c r="AY1262" t="s">
        <v>74</v>
      </c>
      <c r="AZ1262" t="s">
        <v>74</v>
      </c>
      <c r="BA1262" t="s">
        <v>74</v>
      </c>
      <c r="BB1262">
        <v>3103</v>
      </c>
      <c r="BC1262">
        <v>3122</v>
      </c>
      <c r="BD1262" t="s">
        <v>74</v>
      </c>
      <c r="BE1262" t="s">
        <v>21186</v>
      </c>
      <c r="BF1262" t="str">
        <f>HYPERLINK("http://dx.doi.org/10.1007/s13132-021-00830-w","http://dx.doi.org/10.1007/s13132-021-00830-w")</f>
        <v>http://dx.doi.org/10.1007/s13132-021-00830-w</v>
      </c>
      <c r="BG1262" t="s">
        <v>74</v>
      </c>
      <c r="BH1262" t="s">
        <v>7655</v>
      </c>
      <c r="BI1262">
        <v>20</v>
      </c>
      <c r="BJ1262" t="s">
        <v>2599</v>
      </c>
      <c r="BK1262" t="s">
        <v>94</v>
      </c>
      <c r="BL1262" t="s">
        <v>95</v>
      </c>
      <c r="BM1262" t="s">
        <v>21187</v>
      </c>
      <c r="BN1262" t="s">
        <v>74</v>
      </c>
      <c r="BO1262" t="s">
        <v>74</v>
      </c>
      <c r="BP1262" t="s">
        <v>74</v>
      </c>
      <c r="BQ1262" t="s">
        <v>74</v>
      </c>
      <c r="BR1262" t="s">
        <v>97</v>
      </c>
      <c r="BS1262" t="s">
        <v>21188</v>
      </c>
      <c r="BT1262" t="str">
        <f>HYPERLINK("https%3A%2F%2Fwww.webofscience.com%2Fwos%2Fwoscc%2Ffull-record%2FWOS:000712490900001","View Full Record in Web of Science")</f>
        <v>View Full Record in Web of Science</v>
      </c>
    </row>
    <row r="1263" spans="1:72" x14ac:dyDescent="0.25">
      <c r="A1263" t="s">
        <v>72</v>
      </c>
      <c r="B1263" t="s">
        <v>21189</v>
      </c>
      <c r="C1263" t="s">
        <v>74</v>
      </c>
      <c r="D1263" t="s">
        <v>74</v>
      </c>
      <c r="E1263" t="s">
        <v>74</v>
      </c>
      <c r="F1263" t="s">
        <v>21190</v>
      </c>
      <c r="G1263" t="s">
        <v>74</v>
      </c>
      <c r="H1263" t="s">
        <v>74</v>
      </c>
      <c r="I1263" t="s">
        <v>21191</v>
      </c>
      <c r="J1263" t="s">
        <v>3184</v>
      </c>
      <c r="K1263" t="s">
        <v>74</v>
      </c>
      <c r="L1263" t="s">
        <v>74</v>
      </c>
      <c r="M1263" t="s">
        <v>77</v>
      </c>
      <c r="N1263" t="s">
        <v>78</v>
      </c>
      <c r="O1263" t="s">
        <v>74</v>
      </c>
      <c r="P1263" t="s">
        <v>74</v>
      </c>
      <c r="Q1263" t="s">
        <v>74</v>
      </c>
      <c r="R1263" t="s">
        <v>74</v>
      </c>
      <c r="S1263" t="s">
        <v>74</v>
      </c>
      <c r="T1263" t="s">
        <v>21192</v>
      </c>
      <c r="U1263" t="s">
        <v>21193</v>
      </c>
      <c r="V1263" t="s">
        <v>21194</v>
      </c>
      <c r="W1263" t="s">
        <v>21195</v>
      </c>
      <c r="X1263" t="s">
        <v>21196</v>
      </c>
      <c r="Y1263" t="s">
        <v>21197</v>
      </c>
      <c r="Z1263" t="s">
        <v>21198</v>
      </c>
      <c r="AA1263" t="s">
        <v>74</v>
      </c>
      <c r="AB1263" t="s">
        <v>21199</v>
      </c>
      <c r="AC1263" t="s">
        <v>21200</v>
      </c>
      <c r="AD1263" t="s">
        <v>21201</v>
      </c>
      <c r="AE1263" t="s">
        <v>21202</v>
      </c>
      <c r="AF1263" t="s">
        <v>74</v>
      </c>
      <c r="AG1263">
        <v>90</v>
      </c>
      <c r="AH1263">
        <v>0</v>
      </c>
      <c r="AI1263">
        <v>0</v>
      </c>
      <c r="AJ1263">
        <v>28</v>
      </c>
      <c r="AK1263">
        <v>81</v>
      </c>
      <c r="AL1263" t="s">
        <v>3195</v>
      </c>
      <c r="AM1263" t="s">
        <v>3196</v>
      </c>
      <c r="AN1263" t="s">
        <v>3197</v>
      </c>
      <c r="AO1263" t="s">
        <v>3198</v>
      </c>
      <c r="AP1263" t="s">
        <v>74</v>
      </c>
      <c r="AQ1263" t="s">
        <v>74</v>
      </c>
      <c r="AR1263" t="s">
        <v>3199</v>
      </c>
      <c r="AS1263" t="s">
        <v>3200</v>
      </c>
      <c r="AT1263" t="s">
        <v>7141</v>
      </c>
      <c r="AU1263">
        <v>2021</v>
      </c>
      <c r="AV1263">
        <v>12</v>
      </c>
      <c r="AW1263" t="s">
        <v>74</v>
      </c>
      <c r="AX1263" t="s">
        <v>74</v>
      </c>
      <c r="AY1263" t="s">
        <v>74</v>
      </c>
      <c r="AZ1263" t="s">
        <v>74</v>
      </c>
      <c r="BA1263" t="s">
        <v>74</v>
      </c>
      <c r="BB1263" t="s">
        <v>74</v>
      </c>
      <c r="BC1263" t="s">
        <v>74</v>
      </c>
      <c r="BD1263">
        <v>696034</v>
      </c>
      <c r="BE1263" t="s">
        <v>21203</v>
      </c>
      <c r="BF1263" t="str">
        <f>HYPERLINK("http://dx.doi.org/10.3389/fpsyg.2021.696034","http://dx.doi.org/10.3389/fpsyg.2021.696034")</f>
        <v>http://dx.doi.org/10.3389/fpsyg.2021.696034</v>
      </c>
      <c r="BG1263" t="s">
        <v>74</v>
      </c>
      <c r="BH1263" t="s">
        <v>74</v>
      </c>
      <c r="BI1263">
        <v>17</v>
      </c>
      <c r="BJ1263" t="s">
        <v>3203</v>
      </c>
      <c r="BK1263" t="s">
        <v>94</v>
      </c>
      <c r="BL1263" t="s">
        <v>460</v>
      </c>
      <c r="BM1263" t="s">
        <v>21204</v>
      </c>
      <c r="BN1263">
        <v>34744861</v>
      </c>
      <c r="BO1263" t="s">
        <v>4398</v>
      </c>
      <c r="BP1263" t="s">
        <v>74</v>
      </c>
      <c r="BQ1263" t="s">
        <v>74</v>
      </c>
      <c r="BR1263" t="s">
        <v>97</v>
      </c>
      <c r="BS1263" t="s">
        <v>21205</v>
      </c>
      <c r="BT1263" t="str">
        <f>HYPERLINK("https%3A%2F%2Fwww.webofscience.com%2Fwos%2Fwoscc%2Ffull-record%2FWOS:000716636600001","View Full Record in Web of Science")</f>
        <v>View Full Record in Web of Science</v>
      </c>
    </row>
    <row r="1264" spans="1:72" x14ac:dyDescent="0.25">
      <c r="A1264" t="s">
        <v>72</v>
      </c>
      <c r="B1264" t="s">
        <v>21206</v>
      </c>
      <c r="C1264" t="s">
        <v>74</v>
      </c>
      <c r="D1264" t="s">
        <v>74</v>
      </c>
      <c r="E1264" t="s">
        <v>74</v>
      </c>
      <c r="F1264" t="s">
        <v>21207</v>
      </c>
      <c r="G1264" t="s">
        <v>74</v>
      </c>
      <c r="H1264" t="s">
        <v>74</v>
      </c>
      <c r="I1264" t="s">
        <v>21208</v>
      </c>
      <c r="J1264" t="s">
        <v>21209</v>
      </c>
      <c r="K1264" t="s">
        <v>74</v>
      </c>
      <c r="L1264" t="s">
        <v>74</v>
      </c>
      <c r="M1264" t="s">
        <v>77</v>
      </c>
      <c r="N1264" t="s">
        <v>78</v>
      </c>
      <c r="O1264" t="s">
        <v>74</v>
      </c>
      <c r="P1264" t="s">
        <v>74</v>
      </c>
      <c r="Q1264" t="s">
        <v>74</v>
      </c>
      <c r="R1264" t="s">
        <v>74</v>
      </c>
      <c r="S1264" t="s">
        <v>74</v>
      </c>
      <c r="T1264" t="s">
        <v>21210</v>
      </c>
      <c r="U1264" t="s">
        <v>21211</v>
      </c>
      <c r="V1264" t="s">
        <v>21212</v>
      </c>
      <c r="W1264" t="s">
        <v>21213</v>
      </c>
      <c r="X1264" t="s">
        <v>21214</v>
      </c>
      <c r="Y1264" t="s">
        <v>21215</v>
      </c>
      <c r="Z1264" t="s">
        <v>21216</v>
      </c>
      <c r="AA1264" t="s">
        <v>21217</v>
      </c>
      <c r="AB1264" t="s">
        <v>21218</v>
      </c>
      <c r="AC1264" t="s">
        <v>21219</v>
      </c>
      <c r="AD1264" t="s">
        <v>21219</v>
      </c>
      <c r="AE1264" t="s">
        <v>21220</v>
      </c>
      <c r="AF1264" t="s">
        <v>74</v>
      </c>
      <c r="AG1264">
        <v>25</v>
      </c>
      <c r="AH1264">
        <v>0</v>
      </c>
      <c r="AI1264">
        <v>0</v>
      </c>
      <c r="AJ1264">
        <v>1</v>
      </c>
      <c r="AK1264">
        <v>4</v>
      </c>
      <c r="AL1264" t="s">
        <v>21221</v>
      </c>
      <c r="AM1264" t="s">
        <v>18763</v>
      </c>
      <c r="AN1264" t="s">
        <v>21222</v>
      </c>
      <c r="AO1264" t="s">
        <v>21223</v>
      </c>
      <c r="AP1264" t="s">
        <v>21224</v>
      </c>
      <c r="AQ1264" t="s">
        <v>74</v>
      </c>
      <c r="AR1264" t="s">
        <v>21209</v>
      </c>
      <c r="AS1264" t="s">
        <v>21225</v>
      </c>
      <c r="AT1264" t="s">
        <v>892</v>
      </c>
      <c r="AU1264">
        <v>2022</v>
      </c>
      <c r="AV1264">
        <v>63</v>
      </c>
      <c r="AW1264">
        <v>1</v>
      </c>
      <c r="AX1264" t="s">
        <v>74</v>
      </c>
      <c r="AY1264" t="s">
        <v>74</v>
      </c>
      <c r="AZ1264" t="s">
        <v>74</v>
      </c>
      <c r="BA1264" t="s">
        <v>74</v>
      </c>
      <c r="BB1264">
        <v>33</v>
      </c>
      <c r="BC1264">
        <v>39</v>
      </c>
      <c r="BD1264" t="s">
        <v>74</v>
      </c>
      <c r="BE1264" t="s">
        <v>21226</v>
      </c>
      <c r="BF1264" t="str">
        <f>HYPERLINK("http://dx.doi.org/10.1007/s10329-021-00952-4","http://dx.doi.org/10.1007/s10329-021-00952-4")</f>
        <v>http://dx.doi.org/10.1007/s10329-021-00952-4</v>
      </c>
      <c r="BG1264" t="s">
        <v>74</v>
      </c>
      <c r="BH1264" t="s">
        <v>7655</v>
      </c>
      <c r="BI1264">
        <v>7</v>
      </c>
      <c r="BJ1264" t="s">
        <v>2108</v>
      </c>
      <c r="BK1264" t="s">
        <v>147</v>
      </c>
      <c r="BL1264" t="s">
        <v>2108</v>
      </c>
      <c r="BM1264" t="s">
        <v>21227</v>
      </c>
      <c r="BN1264">
        <v>34655344</v>
      </c>
      <c r="BO1264" t="s">
        <v>21228</v>
      </c>
      <c r="BP1264" t="s">
        <v>74</v>
      </c>
      <c r="BQ1264" t="s">
        <v>74</v>
      </c>
      <c r="BR1264" t="s">
        <v>97</v>
      </c>
      <c r="BS1264" t="s">
        <v>21229</v>
      </c>
      <c r="BT1264" t="str">
        <f>HYPERLINK("https%3A%2F%2Fwww.webofscience.com%2Fwos%2Fwoscc%2Ffull-record%2FWOS:000707681800001","View Full Record in Web of Science")</f>
        <v>View Full Record in Web of Science</v>
      </c>
    </row>
    <row r="1265" spans="1:72" x14ac:dyDescent="0.25">
      <c r="A1265" t="s">
        <v>72</v>
      </c>
      <c r="B1265" t="s">
        <v>21230</v>
      </c>
      <c r="C1265" t="s">
        <v>74</v>
      </c>
      <c r="D1265" t="s">
        <v>74</v>
      </c>
      <c r="E1265" t="s">
        <v>74</v>
      </c>
      <c r="F1265" t="s">
        <v>21231</v>
      </c>
      <c r="G1265" t="s">
        <v>74</v>
      </c>
      <c r="H1265" t="s">
        <v>74</v>
      </c>
      <c r="I1265" t="s">
        <v>21232</v>
      </c>
      <c r="J1265" t="s">
        <v>21233</v>
      </c>
      <c r="K1265" t="s">
        <v>74</v>
      </c>
      <c r="L1265" t="s">
        <v>74</v>
      </c>
      <c r="M1265" t="s">
        <v>77</v>
      </c>
      <c r="N1265" t="s">
        <v>78</v>
      </c>
      <c r="O1265" t="s">
        <v>74</v>
      </c>
      <c r="P1265" t="s">
        <v>74</v>
      </c>
      <c r="Q1265" t="s">
        <v>74</v>
      </c>
      <c r="R1265" t="s">
        <v>74</v>
      </c>
      <c r="S1265" t="s">
        <v>74</v>
      </c>
      <c r="T1265" t="s">
        <v>21234</v>
      </c>
      <c r="U1265" t="s">
        <v>21235</v>
      </c>
      <c r="V1265" t="s">
        <v>21236</v>
      </c>
      <c r="W1265" t="s">
        <v>21237</v>
      </c>
      <c r="X1265" t="s">
        <v>21238</v>
      </c>
      <c r="Y1265" t="s">
        <v>21239</v>
      </c>
      <c r="Z1265" t="s">
        <v>21240</v>
      </c>
      <c r="AA1265" t="s">
        <v>74</v>
      </c>
      <c r="AB1265" t="s">
        <v>21241</v>
      </c>
      <c r="AC1265" t="s">
        <v>21242</v>
      </c>
      <c r="AD1265" t="s">
        <v>21243</v>
      </c>
      <c r="AE1265" t="s">
        <v>21244</v>
      </c>
      <c r="AF1265" t="s">
        <v>74</v>
      </c>
      <c r="AG1265">
        <v>41</v>
      </c>
      <c r="AH1265">
        <v>0</v>
      </c>
      <c r="AI1265">
        <v>0</v>
      </c>
      <c r="AJ1265">
        <v>1</v>
      </c>
      <c r="AK1265">
        <v>3</v>
      </c>
      <c r="AL1265" t="s">
        <v>766</v>
      </c>
      <c r="AM1265" t="s">
        <v>330</v>
      </c>
      <c r="AN1265" t="s">
        <v>1452</v>
      </c>
      <c r="AO1265" t="s">
        <v>21245</v>
      </c>
      <c r="AP1265" t="s">
        <v>21246</v>
      </c>
      <c r="AQ1265" t="s">
        <v>74</v>
      </c>
      <c r="AR1265" t="s">
        <v>21247</v>
      </c>
      <c r="AS1265" t="s">
        <v>21248</v>
      </c>
      <c r="AT1265" t="s">
        <v>375</v>
      </c>
      <c r="AU1265">
        <v>2021</v>
      </c>
      <c r="AV1265">
        <v>71</v>
      </c>
      <c r="AW1265">
        <v>4</v>
      </c>
      <c r="AX1265" t="s">
        <v>74</v>
      </c>
      <c r="AY1265" t="s">
        <v>74</v>
      </c>
      <c r="AZ1265" t="s">
        <v>74</v>
      </c>
      <c r="BA1265" t="s">
        <v>74</v>
      </c>
      <c r="BB1265">
        <v>525</v>
      </c>
      <c r="BC1265">
        <v>542</v>
      </c>
      <c r="BD1265" t="s">
        <v>74</v>
      </c>
      <c r="BE1265" t="s">
        <v>21249</v>
      </c>
      <c r="BF1265" t="str">
        <f>HYPERLINK("http://dx.doi.org/10.1007/s40732-021-00482-x","http://dx.doi.org/10.1007/s40732-021-00482-x")</f>
        <v>http://dx.doi.org/10.1007/s40732-021-00482-x</v>
      </c>
      <c r="BG1265" t="s">
        <v>74</v>
      </c>
      <c r="BH1265" t="s">
        <v>7655</v>
      </c>
      <c r="BI1265">
        <v>18</v>
      </c>
      <c r="BJ1265" t="s">
        <v>3203</v>
      </c>
      <c r="BK1265" t="s">
        <v>94</v>
      </c>
      <c r="BL1265" t="s">
        <v>460</v>
      </c>
      <c r="BM1265" t="s">
        <v>21250</v>
      </c>
      <c r="BN1265" t="s">
        <v>74</v>
      </c>
      <c r="BO1265" t="s">
        <v>74</v>
      </c>
      <c r="BP1265" t="s">
        <v>74</v>
      </c>
      <c r="BQ1265" t="s">
        <v>74</v>
      </c>
      <c r="BR1265" t="s">
        <v>97</v>
      </c>
      <c r="BS1265" t="s">
        <v>21251</v>
      </c>
      <c r="BT1265" t="str">
        <f>HYPERLINK("https%3A%2F%2Fwww.webofscience.com%2Fwos%2Fwoscc%2Ffull-record%2FWOS:000703366800001","View Full Record in Web of Science")</f>
        <v>View Full Record in Web of Science</v>
      </c>
    </row>
    <row r="1266" spans="1:72" x14ac:dyDescent="0.25">
      <c r="A1266" t="s">
        <v>72</v>
      </c>
      <c r="B1266" t="s">
        <v>21252</v>
      </c>
      <c r="C1266" t="s">
        <v>74</v>
      </c>
      <c r="D1266" t="s">
        <v>74</v>
      </c>
      <c r="E1266" t="s">
        <v>74</v>
      </c>
      <c r="F1266" t="s">
        <v>21253</v>
      </c>
      <c r="G1266" t="s">
        <v>74</v>
      </c>
      <c r="H1266" t="s">
        <v>74</v>
      </c>
      <c r="I1266" t="s">
        <v>21254</v>
      </c>
      <c r="J1266" t="s">
        <v>2059</v>
      </c>
      <c r="K1266" t="s">
        <v>74</v>
      </c>
      <c r="L1266" t="s">
        <v>74</v>
      </c>
      <c r="M1266" t="s">
        <v>77</v>
      </c>
      <c r="N1266" t="s">
        <v>78</v>
      </c>
      <c r="O1266" t="s">
        <v>74</v>
      </c>
      <c r="P1266" t="s">
        <v>74</v>
      </c>
      <c r="Q1266" t="s">
        <v>74</v>
      </c>
      <c r="R1266" t="s">
        <v>74</v>
      </c>
      <c r="S1266" t="s">
        <v>74</v>
      </c>
      <c r="T1266" t="s">
        <v>21255</v>
      </c>
      <c r="U1266" t="s">
        <v>21256</v>
      </c>
      <c r="V1266" t="s">
        <v>21257</v>
      </c>
      <c r="W1266" t="s">
        <v>21258</v>
      </c>
      <c r="X1266" t="s">
        <v>21259</v>
      </c>
      <c r="Y1266" t="s">
        <v>21260</v>
      </c>
      <c r="Z1266" t="s">
        <v>21261</v>
      </c>
      <c r="AA1266" t="s">
        <v>74</v>
      </c>
      <c r="AB1266" t="s">
        <v>74</v>
      </c>
      <c r="AC1266" t="s">
        <v>74</v>
      </c>
      <c r="AD1266" t="s">
        <v>74</v>
      </c>
      <c r="AE1266" t="s">
        <v>74</v>
      </c>
      <c r="AF1266" t="s">
        <v>74</v>
      </c>
      <c r="AG1266">
        <v>50</v>
      </c>
      <c r="AH1266">
        <v>0</v>
      </c>
      <c r="AI1266">
        <v>0</v>
      </c>
      <c r="AJ1266">
        <v>4</v>
      </c>
      <c r="AK1266">
        <v>28</v>
      </c>
      <c r="AL1266" t="s">
        <v>2067</v>
      </c>
      <c r="AM1266" t="s">
        <v>2068</v>
      </c>
      <c r="AN1266" t="s">
        <v>2069</v>
      </c>
      <c r="AO1266" t="s">
        <v>2070</v>
      </c>
      <c r="AP1266" t="s">
        <v>2071</v>
      </c>
      <c r="AQ1266" t="s">
        <v>74</v>
      </c>
      <c r="AR1266" t="s">
        <v>2072</v>
      </c>
      <c r="AS1266" t="s">
        <v>2073</v>
      </c>
      <c r="AT1266" t="s">
        <v>256</v>
      </c>
      <c r="AU1266">
        <v>2021</v>
      </c>
      <c r="AV1266">
        <v>49</v>
      </c>
      <c r="AW1266">
        <v>10</v>
      </c>
      <c r="AX1266" t="s">
        <v>74</v>
      </c>
      <c r="AY1266" t="s">
        <v>74</v>
      </c>
      <c r="AZ1266" t="s">
        <v>74</v>
      </c>
      <c r="BA1266" t="s">
        <v>74</v>
      </c>
      <c r="BB1266" t="s">
        <v>74</v>
      </c>
      <c r="BC1266" t="s">
        <v>74</v>
      </c>
      <c r="BD1266" t="s">
        <v>21262</v>
      </c>
      <c r="BE1266" t="s">
        <v>21263</v>
      </c>
      <c r="BF1266" t="str">
        <f>HYPERLINK("http://dx.doi.org/10.2224/sbp.10782","http://dx.doi.org/10.2224/sbp.10782")</f>
        <v>http://dx.doi.org/10.2224/sbp.10782</v>
      </c>
      <c r="BG1266" t="s">
        <v>74</v>
      </c>
      <c r="BH1266" t="s">
        <v>74</v>
      </c>
      <c r="BI1266">
        <v>13</v>
      </c>
      <c r="BJ1266" t="s">
        <v>459</v>
      </c>
      <c r="BK1266" t="s">
        <v>94</v>
      </c>
      <c r="BL1266" t="s">
        <v>460</v>
      </c>
      <c r="BM1266" t="s">
        <v>21264</v>
      </c>
      <c r="BN1266" t="s">
        <v>74</v>
      </c>
      <c r="BO1266" t="s">
        <v>74</v>
      </c>
      <c r="BP1266" t="s">
        <v>74</v>
      </c>
      <c r="BQ1266" t="s">
        <v>74</v>
      </c>
      <c r="BR1266" t="s">
        <v>97</v>
      </c>
      <c r="BS1266" t="s">
        <v>21265</v>
      </c>
      <c r="BT1266" t="str">
        <f>HYPERLINK("https%3A%2F%2Fwww.webofscience.com%2Fwos%2Fwoscc%2Ffull-record%2FWOS:000707021000013","View Full Record in Web of Science")</f>
        <v>View Full Record in Web of Science</v>
      </c>
    </row>
    <row r="1267" spans="1:72" x14ac:dyDescent="0.25">
      <c r="A1267" t="s">
        <v>72</v>
      </c>
      <c r="B1267" t="s">
        <v>21266</v>
      </c>
      <c r="C1267" t="s">
        <v>74</v>
      </c>
      <c r="D1267" t="s">
        <v>74</v>
      </c>
      <c r="E1267" t="s">
        <v>74</v>
      </c>
      <c r="F1267" t="s">
        <v>21267</v>
      </c>
      <c r="G1267" t="s">
        <v>74</v>
      </c>
      <c r="H1267" t="s">
        <v>74</v>
      </c>
      <c r="I1267" t="s">
        <v>21268</v>
      </c>
      <c r="J1267" t="s">
        <v>1951</v>
      </c>
      <c r="K1267" t="s">
        <v>74</v>
      </c>
      <c r="L1267" t="s">
        <v>74</v>
      </c>
      <c r="M1267" t="s">
        <v>77</v>
      </c>
      <c r="N1267" t="s">
        <v>78</v>
      </c>
      <c r="O1267" t="s">
        <v>74</v>
      </c>
      <c r="P1267" t="s">
        <v>74</v>
      </c>
      <c r="Q1267" t="s">
        <v>74</v>
      </c>
      <c r="R1267" t="s">
        <v>74</v>
      </c>
      <c r="S1267" t="s">
        <v>74</v>
      </c>
      <c r="T1267" t="s">
        <v>21269</v>
      </c>
      <c r="U1267" t="s">
        <v>21270</v>
      </c>
      <c r="V1267" t="s">
        <v>21271</v>
      </c>
      <c r="W1267" t="s">
        <v>21272</v>
      </c>
      <c r="X1267" t="s">
        <v>21273</v>
      </c>
      <c r="Y1267" t="s">
        <v>21274</v>
      </c>
      <c r="Z1267" t="s">
        <v>21275</v>
      </c>
      <c r="AA1267" t="s">
        <v>74</v>
      </c>
      <c r="AB1267" t="s">
        <v>21276</v>
      </c>
      <c r="AC1267" t="s">
        <v>21277</v>
      </c>
      <c r="AD1267" t="s">
        <v>21278</v>
      </c>
      <c r="AE1267" t="s">
        <v>21279</v>
      </c>
      <c r="AF1267" t="s">
        <v>74</v>
      </c>
      <c r="AG1267">
        <v>97</v>
      </c>
      <c r="AH1267">
        <v>0</v>
      </c>
      <c r="AI1267">
        <v>0</v>
      </c>
      <c r="AJ1267">
        <v>5</v>
      </c>
      <c r="AK1267">
        <v>26</v>
      </c>
      <c r="AL1267" t="s">
        <v>1099</v>
      </c>
      <c r="AM1267" t="s">
        <v>305</v>
      </c>
      <c r="AN1267" t="s">
        <v>1100</v>
      </c>
      <c r="AO1267" t="s">
        <v>1963</v>
      </c>
      <c r="AP1267" t="s">
        <v>1964</v>
      </c>
      <c r="AQ1267" t="s">
        <v>74</v>
      </c>
      <c r="AR1267" t="s">
        <v>1965</v>
      </c>
      <c r="AS1267" t="s">
        <v>1966</v>
      </c>
      <c r="AT1267" t="s">
        <v>6560</v>
      </c>
      <c r="AU1267">
        <v>2022</v>
      </c>
      <c r="AV1267">
        <v>31</v>
      </c>
      <c r="AW1267">
        <v>3</v>
      </c>
      <c r="AX1267" t="s">
        <v>74</v>
      </c>
      <c r="AY1267" t="s">
        <v>74</v>
      </c>
      <c r="AZ1267" t="s">
        <v>74</v>
      </c>
      <c r="BA1267" t="s">
        <v>74</v>
      </c>
      <c r="BB1267">
        <v>367</v>
      </c>
      <c r="BC1267">
        <v>382</v>
      </c>
      <c r="BD1267" t="s">
        <v>74</v>
      </c>
      <c r="BE1267" t="s">
        <v>21280</v>
      </c>
      <c r="BF1267" t="str">
        <f>HYPERLINK("http://dx.doi.org/10.1080/1359432X.2021.1981292","http://dx.doi.org/10.1080/1359432X.2021.1981292")</f>
        <v>http://dx.doi.org/10.1080/1359432X.2021.1981292</v>
      </c>
      <c r="BG1267" t="s">
        <v>74</v>
      </c>
      <c r="BH1267" t="s">
        <v>6758</v>
      </c>
      <c r="BI1267">
        <v>16</v>
      </c>
      <c r="BJ1267" t="s">
        <v>202</v>
      </c>
      <c r="BK1267" t="s">
        <v>94</v>
      </c>
      <c r="BL1267" t="s">
        <v>203</v>
      </c>
      <c r="BM1267" t="s">
        <v>21281</v>
      </c>
      <c r="BN1267" t="s">
        <v>74</v>
      </c>
      <c r="BO1267" t="s">
        <v>74</v>
      </c>
      <c r="BP1267" t="s">
        <v>74</v>
      </c>
      <c r="BQ1267" t="s">
        <v>74</v>
      </c>
      <c r="BR1267" t="s">
        <v>97</v>
      </c>
      <c r="BS1267" t="s">
        <v>21282</v>
      </c>
      <c r="BT1267" t="str">
        <f>HYPERLINK("https%3A%2F%2Fwww.webofscience.com%2Fwos%2Fwoscc%2Ffull-record%2FWOS:000698276400001","View Full Record in Web of Science")</f>
        <v>View Full Record in Web of Science</v>
      </c>
    </row>
    <row r="1268" spans="1:72" x14ac:dyDescent="0.25">
      <c r="A1268" t="s">
        <v>72</v>
      </c>
      <c r="B1268" t="s">
        <v>21283</v>
      </c>
      <c r="C1268" t="s">
        <v>74</v>
      </c>
      <c r="D1268" t="s">
        <v>74</v>
      </c>
      <c r="E1268" t="s">
        <v>74</v>
      </c>
      <c r="F1268" t="s">
        <v>21284</v>
      </c>
      <c r="G1268" t="s">
        <v>74</v>
      </c>
      <c r="H1268" t="s">
        <v>74</v>
      </c>
      <c r="I1268" t="s">
        <v>21285</v>
      </c>
      <c r="J1268" t="s">
        <v>5615</v>
      </c>
      <c r="K1268" t="s">
        <v>74</v>
      </c>
      <c r="L1268" t="s">
        <v>74</v>
      </c>
      <c r="M1268" t="s">
        <v>77</v>
      </c>
      <c r="N1268" t="s">
        <v>78</v>
      </c>
      <c r="O1268" t="s">
        <v>74</v>
      </c>
      <c r="P1268" t="s">
        <v>74</v>
      </c>
      <c r="Q1268" t="s">
        <v>74</v>
      </c>
      <c r="R1268" t="s">
        <v>74</v>
      </c>
      <c r="S1268" t="s">
        <v>74</v>
      </c>
      <c r="T1268" t="s">
        <v>21286</v>
      </c>
      <c r="U1268" t="s">
        <v>21287</v>
      </c>
      <c r="V1268" t="s">
        <v>21288</v>
      </c>
      <c r="W1268" t="s">
        <v>21289</v>
      </c>
      <c r="X1268" t="s">
        <v>17418</v>
      </c>
      <c r="Y1268" t="s">
        <v>21290</v>
      </c>
      <c r="Z1268" t="s">
        <v>21291</v>
      </c>
      <c r="AA1268" t="s">
        <v>74</v>
      </c>
      <c r="AB1268" t="s">
        <v>74</v>
      </c>
      <c r="AC1268" t="s">
        <v>17423</v>
      </c>
      <c r="AD1268" t="s">
        <v>7706</v>
      </c>
      <c r="AE1268" t="s">
        <v>17424</v>
      </c>
      <c r="AF1268" t="s">
        <v>74</v>
      </c>
      <c r="AG1268">
        <v>83</v>
      </c>
      <c r="AH1268">
        <v>0</v>
      </c>
      <c r="AI1268">
        <v>0</v>
      </c>
      <c r="AJ1268">
        <v>13</v>
      </c>
      <c r="AK1268">
        <v>51</v>
      </c>
      <c r="AL1268" t="s">
        <v>665</v>
      </c>
      <c r="AM1268" t="s">
        <v>666</v>
      </c>
      <c r="AN1268" t="s">
        <v>667</v>
      </c>
      <c r="AO1268" t="s">
        <v>5625</v>
      </c>
      <c r="AP1268" t="s">
        <v>5626</v>
      </c>
      <c r="AQ1268" t="s">
        <v>74</v>
      </c>
      <c r="AR1268" t="s">
        <v>5627</v>
      </c>
      <c r="AS1268" t="s">
        <v>5628</v>
      </c>
      <c r="AT1268" t="s">
        <v>21292</v>
      </c>
      <c r="AU1268">
        <v>2022</v>
      </c>
      <c r="AV1268">
        <v>16</v>
      </c>
      <c r="AW1268">
        <v>5</v>
      </c>
      <c r="AX1268" t="s">
        <v>74</v>
      </c>
      <c r="AY1268" t="s">
        <v>74</v>
      </c>
      <c r="AZ1268" t="s">
        <v>74</v>
      </c>
      <c r="BA1268" t="s">
        <v>74</v>
      </c>
      <c r="BB1268">
        <v>1108</v>
      </c>
      <c r="BC1268">
        <v>1123</v>
      </c>
      <c r="BD1268" t="s">
        <v>74</v>
      </c>
      <c r="BE1268" t="s">
        <v>21293</v>
      </c>
      <c r="BF1268" t="str">
        <f>HYPERLINK("http://dx.doi.org/10.1108/CMS-07-2021-0294","http://dx.doi.org/10.1108/CMS-07-2021-0294")</f>
        <v>http://dx.doi.org/10.1108/CMS-07-2021-0294</v>
      </c>
      <c r="BG1268" t="s">
        <v>74</v>
      </c>
      <c r="BH1268" t="s">
        <v>6758</v>
      </c>
      <c r="BI1268">
        <v>16</v>
      </c>
      <c r="BJ1268" t="s">
        <v>442</v>
      </c>
      <c r="BK1268" t="s">
        <v>94</v>
      </c>
      <c r="BL1268" t="s">
        <v>95</v>
      </c>
      <c r="BM1268" t="s">
        <v>21294</v>
      </c>
      <c r="BN1268" t="s">
        <v>74</v>
      </c>
      <c r="BO1268" t="s">
        <v>74</v>
      </c>
      <c r="BP1268" t="s">
        <v>74</v>
      </c>
      <c r="BQ1268" t="s">
        <v>74</v>
      </c>
      <c r="BR1268" t="s">
        <v>97</v>
      </c>
      <c r="BS1268" t="s">
        <v>21295</v>
      </c>
      <c r="BT1268" t="str">
        <f>HYPERLINK("https%3A%2F%2Fwww.webofscience.com%2Fwos%2Fwoscc%2Ffull-record%2FWOS:000693432400001","View Full Record in Web of Science")</f>
        <v>View Full Record in Web of Science</v>
      </c>
    </row>
    <row r="1269" spans="1:72" x14ac:dyDescent="0.25">
      <c r="A1269" t="s">
        <v>72</v>
      </c>
      <c r="B1269" t="s">
        <v>21296</v>
      </c>
      <c r="C1269" t="s">
        <v>74</v>
      </c>
      <c r="D1269" t="s">
        <v>74</v>
      </c>
      <c r="E1269" t="s">
        <v>74</v>
      </c>
      <c r="F1269" t="s">
        <v>21297</v>
      </c>
      <c r="G1269" t="s">
        <v>74</v>
      </c>
      <c r="H1269" t="s">
        <v>74</v>
      </c>
      <c r="I1269" t="s">
        <v>21298</v>
      </c>
      <c r="J1269" t="s">
        <v>1600</v>
      </c>
      <c r="K1269" t="s">
        <v>74</v>
      </c>
      <c r="L1269" t="s">
        <v>74</v>
      </c>
      <c r="M1269" t="s">
        <v>77</v>
      </c>
      <c r="N1269" t="s">
        <v>78</v>
      </c>
      <c r="O1269" t="s">
        <v>74</v>
      </c>
      <c r="P1269" t="s">
        <v>74</v>
      </c>
      <c r="Q1269" t="s">
        <v>74</v>
      </c>
      <c r="R1269" t="s">
        <v>74</v>
      </c>
      <c r="S1269" t="s">
        <v>74</v>
      </c>
      <c r="T1269" t="s">
        <v>21299</v>
      </c>
      <c r="U1269" t="s">
        <v>21300</v>
      </c>
      <c r="V1269" t="s">
        <v>21301</v>
      </c>
      <c r="W1269" t="s">
        <v>21302</v>
      </c>
      <c r="X1269" t="s">
        <v>21303</v>
      </c>
      <c r="Y1269" t="s">
        <v>21304</v>
      </c>
      <c r="Z1269" t="s">
        <v>21305</v>
      </c>
      <c r="AA1269" t="s">
        <v>21306</v>
      </c>
      <c r="AB1269" t="s">
        <v>21307</v>
      </c>
      <c r="AC1269" t="s">
        <v>74</v>
      </c>
      <c r="AD1269" t="s">
        <v>74</v>
      </c>
      <c r="AE1269" t="s">
        <v>74</v>
      </c>
      <c r="AF1269" t="s">
        <v>74</v>
      </c>
      <c r="AG1269">
        <v>84</v>
      </c>
      <c r="AH1269">
        <v>0</v>
      </c>
      <c r="AI1269">
        <v>0</v>
      </c>
      <c r="AJ1269">
        <v>8</v>
      </c>
      <c r="AK1269">
        <v>36</v>
      </c>
      <c r="AL1269" t="s">
        <v>1099</v>
      </c>
      <c r="AM1269" t="s">
        <v>305</v>
      </c>
      <c r="AN1269" t="s">
        <v>1100</v>
      </c>
      <c r="AO1269" t="s">
        <v>1610</v>
      </c>
      <c r="AP1269" t="s">
        <v>1611</v>
      </c>
      <c r="AQ1269" t="s">
        <v>74</v>
      </c>
      <c r="AR1269" t="s">
        <v>1612</v>
      </c>
      <c r="AS1269" t="s">
        <v>1613</v>
      </c>
      <c r="AT1269" t="s">
        <v>18581</v>
      </c>
      <c r="AU1269">
        <v>2023</v>
      </c>
      <c r="AV1269">
        <v>34</v>
      </c>
      <c r="AW1269">
        <v>6</v>
      </c>
      <c r="AX1269" t="s">
        <v>74</v>
      </c>
      <c r="AY1269" t="s">
        <v>74</v>
      </c>
      <c r="AZ1269" t="s">
        <v>74</v>
      </c>
      <c r="BA1269" t="s">
        <v>74</v>
      </c>
      <c r="BB1269">
        <v>1071</v>
      </c>
      <c r="BC1269">
        <v>1096</v>
      </c>
      <c r="BD1269" t="s">
        <v>74</v>
      </c>
      <c r="BE1269" t="s">
        <v>21308</v>
      </c>
      <c r="BF1269" t="str">
        <f>HYPERLINK("http://dx.doi.org/10.1080/09585192.2021.1973063","http://dx.doi.org/10.1080/09585192.2021.1973063")</f>
        <v>http://dx.doi.org/10.1080/09585192.2021.1973063</v>
      </c>
      <c r="BG1269" t="s">
        <v>74</v>
      </c>
      <c r="BH1269" t="s">
        <v>7676</v>
      </c>
      <c r="BI1269">
        <v>26</v>
      </c>
      <c r="BJ1269" t="s">
        <v>442</v>
      </c>
      <c r="BK1269" t="s">
        <v>94</v>
      </c>
      <c r="BL1269" t="s">
        <v>95</v>
      </c>
      <c r="BM1269" t="s">
        <v>21309</v>
      </c>
      <c r="BN1269" t="s">
        <v>74</v>
      </c>
      <c r="BO1269" t="s">
        <v>378</v>
      </c>
      <c r="BP1269" t="s">
        <v>74</v>
      </c>
      <c r="BQ1269" t="s">
        <v>74</v>
      </c>
      <c r="BR1269" t="s">
        <v>97</v>
      </c>
      <c r="BS1269" t="s">
        <v>21310</v>
      </c>
      <c r="BT1269" t="str">
        <f>HYPERLINK("https%3A%2F%2Fwww.webofscience.com%2Fwos%2Fwoscc%2Ffull-record%2FWOS:000700456500001","View Full Record in Web of Science")</f>
        <v>View Full Record in Web of Science</v>
      </c>
    </row>
    <row r="1270" spans="1:72" x14ac:dyDescent="0.25">
      <c r="A1270" t="s">
        <v>72</v>
      </c>
      <c r="B1270" t="s">
        <v>21311</v>
      </c>
      <c r="C1270" t="s">
        <v>74</v>
      </c>
      <c r="D1270" t="s">
        <v>74</v>
      </c>
      <c r="E1270" t="s">
        <v>74</v>
      </c>
      <c r="F1270" t="s">
        <v>21312</v>
      </c>
      <c r="G1270" t="s">
        <v>74</v>
      </c>
      <c r="H1270" t="s">
        <v>74</v>
      </c>
      <c r="I1270" t="s">
        <v>21313</v>
      </c>
      <c r="J1270" t="s">
        <v>21233</v>
      </c>
      <c r="K1270" t="s">
        <v>74</v>
      </c>
      <c r="L1270" t="s">
        <v>74</v>
      </c>
      <c r="M1270" t="s">
        <v>77</v>
      </c>
      <c r="N1270" t="s">
        <v>78</v>
      </c>
      <c r="O1270" t="s">
        <v>74</v>
      </c>
      <c r="P1270" t="s">
        <v>74</v>
      </c>
      <c r="Q1270" t="s">
        <v>74</v>
      </c>
      <c r="R1270" t="s">
        <v>74</v>
      </c>
      <c r="S1270" t="s">
        <v>74</v>
      </c>
      <c r="T1270" t="s">
        <v>21314</v>
      </c>
      <c r="U1270" t="s">
        <v>21315</v>
      </c>
      <c r="V1270" t="s">
        <v>21316</v>
      </c>
      <c r="W1270" t="s">
        <v>21317</v>
      </c>
      <c r="X1270" t="s">
        <v>21318</v>
      </c>
      <c r="Y1270" t="s">
        <v>21319</v>
      </c>
      <c r="Z1270" t="s">
        <v>21320</v>
      </c>
      <c r="AA1270" t="s">
        <v>74</v>
      </c>
      <c r="AB1270" t="s">
        <v>74</v>
      </c>
      <c r="AC1270" t="s">
        <v>74</v>
      </c>
      <c r="AD1270" t="s">
        <v>74</v>
      </c>
      <c r="AE1270" t="s">
        <v>74</v>
      </c>
      <c r="AF1270" t="s">
        <v>74</v>
      </c>
      <c r="AG1270">
        <v>38</v>
      </c>
      <c r="AH1270">
        <v>0</v>
      </c>
      <c r="AI1270">
        <v>0</v>
      </c>
      <c r="AJ1270">
        <v>2</v>
      </c>
      <c r="AK1270">
        <v>9</v>
      </c>
      <c r="AL1270" t="s">
        <v>766</v>
      </c>
      <c r="AM1270" t="s">
        <v>330</v>
      </c>
      <c r="AN1270" t="s">
        <v>1452</v>
      </c>
      <c r="AO1270" t="s">
        <v>21245</v>
      </c>
      <c r="AP1270" t="s">
        <v>21246</v>
      </c>
      <c r="AQ1270" t="s">
        <v>74</v>
      </c>
      <c r="AR1270" t="s">
        <v>21247</v>
      </c>
      <c r="AS1270" t="s">
        <v>21248</v>
      </c>
      <c r="AT1270" t="s">
        <v>375</v>
      </c>
      <c r="AU1270">
        <v>2021</v>
      </c>
      <c r="AV1270">
        <v>71</v>
      </c>
      <c r="AW1270">
        <v>4</v>
      </c>
      <c r="AX1270" t="s">
        <v>74</v>
      </c>
      <c r="AY1270" t="s">
        <v>74</v>
      </c>
      <c r="AZ1270" t="s">
        <v>74</v>
      </c>
      <c r="BA1270" t="s">
        <v>74</v>
      </c>
      <c r="BB1270">
        <v>553</v>
      </c>
      <c r="BC1270">
        <v>565</v>
      </c>
      <c r="BD1270" t="s">
        <v>74</v>
      </c>
      <c r="BE1270" t="s">
        <v>21321</v>
      </c>
      <c r="BF1270" t="str">
        <f>HYPERLINK("http://dx.doi.org/10.1007/s40732-021-00480-z","http://dx.doi.org/10.1007/s40732-021-00480-z")</f>
        <v>http://dx.doi.org/10.1007/s40732-021-00480-z</v>
      </c>
      <c r="BG1270" t="s">
        <v>74</v>
      </c>
      <c r="BH1270" t="s">
        <v>8573</v>
      </c>
      <c r="BI1270">
        <v>13</v>
      </c>
      <c r="BJ1270" t="s">
        <v>3203</v>
      </c>
      <c r="BK1270" t="s">
        <v>94</v>
      </c>
      <c r="BL1270" t="s">
        <v>460</v>
      </c>
      <c r="BM1270" t="s">
        <v>21250</v>
      </c>
      <c r="BN1270" t="s">
        <v>74</v>
      </c>
      <c r="BO1270" t="s">
        <v>74</v>
      </c>
      <c r="BP1270" t="s">
        <v>74</v>
      </c>
      <c r="BQ1270" t="s">
        <v>74</v>
      </c>
      <c r="BR1270" t="s">
        <v>97</v>
      </c>
      <c r="BS1270" t="s">
        <v>21322</v>
      </c>
      <c r="BT1270" t="str">
        <f>HYPERLINK("https%3A%2F%2Fwww.webofscience.com%2Fwos%2Fwoscc%2Ffull-record%2FWOS:000673016700001","View Full Record in Web of Science")</f>
        <v>View Full Record in Web of Science</v>
      </c>
    </row>
    <row r="1271" spans="1:72" x14ac:dyDescent="0.25">
      <c r="A1271" t="s">
        <v>72</v>
      </c>
      <c r="B1271" t="s">
        <v>21323</v>
      </c>
      <c r="C1271" t="s">
        <v>74</v>
      </c>
      <c r="D1271" t="s">
        <v>74</v>
      </c>
      <c r="E1271" t="s">
        <v>74</v>
      </c>
      <c r="F1271" t="s">
        <v>21324</v>
      </c>
      <c r="G1271" t="s">
        <v>74</v>
      </c>
      <c r="H1271" t="s">
        <v>74</v>
      </c>
      <c r="I1271" t="s">
        <v>21325</v>
      </c>
      <c r="J1271" t="s">
        <v>21326</v>
      </c>
      <c r="K1271" t="s">
        <v>74</v>
      </c>
      <c r="L1271" t="s">
        <v>74</v>
      </c>
      <c r="M1271" t="s">
        <v>77</v>
      </c>
      <c r="N1271" t="s">
        <v>78</v>
      </c>
      <c r="O1271" t="s">
        <v>74</v>
      </c>
      <c r="P1271" t="s">
        <v>74</v>
      </c>
      <c r="Q1271" t="s">
        <v>74</v>
      </c>
      <c r="R1271" t="s">
        <v>74</v>
      </c>
      <c r="S1271" t="s">
        <v>74</v>
      </c>
      <c r="T1271" t="s">
        <v>21327</v>
      </c>
      <c r="U1271" t="s">
        <v>21328</v>
      </c>
      <c r="V1271" t="s">
        <v>21329</v>
      </c>
      <c r="W1271" t="s">
        <v>21330</v>
      </c>
      <c r="X1271" t="s">
        <v>21331</v>
      </c>
      <c r="Y1271" t="s">
        <v>21332</v>
      </c>
      <c r="Z1271" t="s">
        <v>21333</v>
      </c>
      <c r="AA1271" t="s">
        <v>21334</v>
      </c>
      <c r="AB1271" t="s">
        <v>21335</v>
      </c>
      <c r="AC1271" t="s">
        <v>21336</v>
      </c>
      <c r="AD1271" t="s">
        <v>21336</v>
      </c>
      <c r="AE1271" t="s">
        <v>21337</v>
      </c>
      <c r="AF1271" t="s">
        <v>74</v>
      </c>
      <c r="AG1271">
        <v>34</v>
      </c>
      <c r="AH1271">
        <v>0</v>
      </c>
      <c r="AI1271">
        <v>0</v>
      </c>
      <c r="AJ1271">
        <v>2</v>
      </c>
      <c r="AK1271">
        <v>7</v>
      </c>
      <c r="AL1271" t="s">
        <v>2473</v>
      </c>
      <c r="AM1271" t="s">
        <v>2102</v>
      </c>
      <c r="AN1271" t="s">
        <v>2474</v>
      </c>
      <c r="AO1271" t="s">
        <v>74</v>
      </c>
      <c r="AP1271" t="s">
        <v>21338</v>
      </c>
      <c r="AQ1271" t="s">
        <v>74</v>
      </c>
      <c r="AR1271" t="s">
        <v>21339</v>
      </c>
      <c r="AS1271" t="s">
        <v>21340</v>
      </c>
      <c r="AT1271" t="s">
        <v>792</v>
      </c>
      <c r="AU1271">
        <v>2021</v>
      </c>
      <c r="AV1271">
        <v>10</v>
      </c>
      <c r="AW1271">
        <v>7</v>
      </c>
      <c r="AX1271" t="s">
        <v>74</v>
      </c>
      <c r="AY1271" t="s">
        <v>74</v>
      </c>
      <c r="AZ1271" t="s">
        <v>74</v>
      </c>
      <c r="BA1271" t="s">
        <v>74</v>
      </c>
      <c r="BB1271" t="s">
        <v>74</v>
      </c>
      <c r="BC1271" t="s">
        <v>74</v>
      </c>
      <c r="BD1271">
        <v>491</v>
      </c>
      <c r="BE1271" t="s">
        <v>21341</v>
      </c>
      <c r="BF1271" t="str">
        <f>HYPERLINK("http://dx.doi.org/10.3390/ijgi10070491","http://dx.doi.org/10.3390/ijgi10070491")</f>
        <v>http://dx.doi.org/10.3390/ijgi10070491</v>
      </c>
      <c r="BG1271" t="s">
        <v>74</v>
      </c>
      <c r="BH1271" t="s">
        <v>74</v>
      </c>
      <c r="BI1271">
        <v>15</v>
      </c>
      <c r="BJ1271" t="s">
        <v>21342</v>
      </c>
      <c r="BK1271" t="s">
        <v>147</v>
      </c>
      <c r="BL1271" t="s">
        <v>21343</v>
      </c>
      <c r="BM1271" t="s">
        <v>21344</v>
      </c>
      <c r="BN1271" t="s">
        <v>74</v>
      </c>
      <c r="BO1271" t="s">
        <v>3205</v>
      </c>
      <c r="BP1271" t="s">
        <v>74</v>
      </c>
      <c r="BQ1271" t="s">
        <v>74</v>
      </c>
      <c r="BR1271" t="s">
        <v>97</v>
      </c>
      <c r="BS1271" t="s">
        <v>21345</v>
      </c>
      <c r="BT1271" t="str">
        <f>HYPERLINK("https%3A%2F%2Fwww.webofscience.com%2Fwos%2Fwoscc%2Ffull-record%2FWOS:000676662700001","View Full Record in Web of Science")</f>
        <v>View Full Record in Web of Science</v>
      </c>
    </row>
    <row r="1272" spans="1:72" x14ac:dyDescent="0.25">
      <c r="A1272" t="s">
        <v>72</v>
      </c>
      <c r="B1272" t="s">
        <v>21346</v>
      </c>
      <c r="C1272" t="s">
        <v>74</v>
      </c>
      <c r="D1272" t="s">
        <v>74</v>
      </c>
      <c r="E1272" t="s">
        <v>74</v>
      </c>
      <c r="F1272" t="s">
        <v>21347</v>
      </c>
      <c r="G1272" t="s">
        <v>74</v>
      </c>
      <c r="H1272" t="s">
        <v>74</v>
      </c>
      <c r="I1272" t="s">
        <v>21348</v>
      </c>
      <c r="J1272" t="s">
        <v>8851</v>
      </c>
      <c r="K1272" t="s">
        <v>74</v>
      </c>
      <c r="L1272" t="s">
        <v>74</v>
      </c>
      <c r="M1272" t="s">
        <v>77</v>
      </c>
      <c r="N1272" t="s">
        <v>78</v>
      </c>
      <c r="O1272" t="s">
        <v>74</v>
      </c>
      <c r="P1272" t="s">
        <v>74</v>
      </c>
      <c r="Q1272" t="s">
        <v>74</v>
      </c>
      <c r="R1272" t="s">
        <v>74</v>
      </c>
      <c r="S1272" t="s">
        <v>74</v>
      </c>
      <c r="T1272" t="s">
        <v>21349</v>
      </c>
      <c r="U1272" t="s">
        <v>21350</v>
      </c>
      <c r="V1272" t="s">
        <v>21351</v>
      </c>
      <c r="W1272" t="s">
        <v>21352</v>
      </c>
      <c r="X1272" t="s">
        <v>3645</v>
      </c>
      <c r="Y1272" t="s">
        <v>21353</v>
      </c>
      <c r="Z1272" t="s">
        <v>21354</v>
      </c>
      <c r="AA1272" t="s">
        <v>74</v>
      </c>
      <c r="AB1272" t="s">
        <v>74</v>
      </c>
      <c r="AC1272" t="s">
        <v>74</v>
      </c>
      <c r="AD1272" t="s">
        <v>74</v>
      </c>
      <c r="AE1272" t="s">
        <v>74</v>
      </c>
      <c r="AF1272" t="s">
        <v>74</v>
      </c>
      <c r="AG1272">
        <v>105</v>
      </c>
      <c r="AH1272">
        <v>0</v>
      </c>
      <c r="AI1272">
        <v>0</v>
      </c>
      <c r="AJ1272">
        <v>5</v>
      </c>
      <c r="AK1272">
        <v>9</v>
      </c>
      <c r="AL1272" t="s">
        <v>350</v>
      </c>
      <c r="AM1272" t="s">
        <v>351</v>
      </c>
      <c r="AN1272" t="s">
        <v>352</v>
      </c>
      <c r="AO1272" t="s">
        <v>8864</v>
      </c>
      <c r="AP1272" t="s">
        <v>74</v>
      </c>
      <c r="AQ1272" t="s">
        <v>74</v>
      </c>
      <c r="AR1272" t="s">
        <v>8851</v>
      </c>
      <c r="AS1272" t="s">
        <v>8865</v>
      </c>
      <c r="AT1272" t="s">
        <v>792</v>
      </c>
      <c r="AU1272">
        <v>2021</v>
      </c>
      <c r="AV1272">
        <v>11</v>
      </c>
      <c r="AW1272">
        <v>3</v>
      </c>
      <c r="AX1272" t="s">
        <v>74</v>
      </c>
      <c r="AY1272" t="s">
        <v>74</v>
      </c>
      <c r="AZ1272" t="s">
        <v>74</v>
      </c>
      <c r="BA1272" t="s">
        <v>74</v>
      </c>
      <c r="BB1272" t="s">
        <v>74</v>
      </c>
      <c r="BC1272" t="s">
        <v>74</v>
      </c>
      <c r="BD1272">
        <v>2.1582440211043932E+16</v>
      </c>
      <c r="BE1272" t="s">
        <v>21355</v>
      </c>
      <c r="BF1272" t="str">
        <f>HYPERLINK("http://dx.doi.org/10.1177/21582440211043931","http://dx.doi.org/10.1177/21582440211043931")</f>
        <v>http://dx.doi.org/10.1177/21582440211043931</v>
      </c>
      <c r="BG1272" t="s">
        <v>74</v>
      </c>
      <c r="BH1272" t="s">
        <v>74</v>
      </c>
      <c r="BI1272">
        <v>13</v>
      </c>
      <c r="BJ1272" t="s">
        <v>8867</v>
      </c>
      <c r="BK1272" t="s">
        <v>94</v>
      </c>
      <c r="BL1272" t="s">
        <v>631</v>
      </c>
      <c r="BM1272" t="s">
        <v>21356</v>
      </c>
      <c r="BN1272" t="s">
        <v>74</v>
      </c>
      <c r="BO1272" t="s">
        <v>2482</v>
      </c>
      <c r="BP1272" t="s">
        <v>74</v>
      </c>
      <c r="BQ1272" t="s">
        <v>74</v>
      </c>
      <c r="BR1272" t="s">
        <v>97</v>
      </c>
      <c r="BS1272" t="s">
        <v>21357</v>
      </c>
      <c r="BT1272" t="str">
        <f>HYPERLINK("https%3A%2F%2Fwww.webofscience.com%2Fwos%2Fwoscc%2Ffull-record%2FWOS:000700439600001","View Full Record in Web of Science")</f>
        <v>View Full Record in Web of Science</v>
      </c>
    </row>
    <row r="1273" spans="1:72" x14ac:dyDescent="0.25">
      <c r="A1273" t="s">
        <v>72</v>
      </c>
      <c r="B1273" t="s">
        <v>21358</v>
      </c>
      <c r="C1273" t="s">
        <v>74</v>
      </c>
      <c r="D1273" t="s">
        <v>74</v>
      </c>
      <c r="E1273" t="s">
        <v>74</v>
      </c>
      <c r="F1273" t="s">
        <v>21359</v>
      </c>
      <c r="G1273" t="s">
        <v>74</v>
      </c>
      <c r="H1273" t="s">
        <v>74</v>
      </c>
      <c r="I1273" t="s">
        <v>21360</v>
      </c>
      <c r="J1273" t="s">
        <v>1186</v>
      </c>
      <c r="K1273" t="s">
        <v>74</v>
      </c>
      <c r="L1273" t="s">
        <v>74</v>
      </c>
      <c r="M1273" t="s">
        <v>77</v>
      </c>
      <c r="N1273" t="s">
        <v>78</v>
      </c>
      <c r="O1273" t="s">
        <v>74</v>
      </c>
      <c r="P1273" t="s">
        <v>74</v>
      </c>
      <c r="Q1273" t="s">
        <v>74</v>
      </c>
      <c r="R1273" t="s">
        <v>74</v>
      </c>
      <c r="S1273" t="s">
        <v>74</v>
      </c>
      <c r="T1273" t="s">
        <v>21361</v>
      </c>
      <c r="U1273" t="s">
        <v>21362</v>
      </c>
      <c r="V1273" t="s">
        <v>21363</v>
      </c>
      <c r="W1273" t="s">
        <v>21364</v>
      </c>
      <c r="X1273" t="s">
        <v>21365</v>
      </c>
      <c r="Y1273" t="s">
        <v>21366</v>
      </c>
      <c r="Z1273" t="s">
        <v>21367</v>
      </c>
      <c r="AA1273" t="s">
        <v>21368</v>
      </c>
      <c r="AB1273" t="s">
        <v>21369</v>
      </c>
      <c r="AC1273" t="s">
        <v>74</v>
      </c>
      <c r="AD1273" t="s">
        <v>74</v>
      </c>
      <c r="AE1273" t="s">
        <v>74</v>
      </c>
      <c r="AF1273" t="s">
        <v>74</v>
      </c>
      <c r="AG1273">
        <v>36</v>
      </c>
      <c r="AH1273">
        <v>0</v>
      </c>
      <c r="AI1273">
        <v>0</v>
      </c>
      <c r="AJ1273">
        <v>3</v>
      </c>
      <c r="AK1273">
        <v>21</v>
      </c>
      <c r="AL1273" t="s">
        <v>766</v>
      </c>
      <c r="AM1273" t="s">
        <v>1193</v>
      </c>
      <c r="AN1273" t="s">
        <v>1498</v>
      </c>
      <c r="AO1273" t="s">
        <v>1195</v>
      </c>
      <c r="AP1273" t="s">
        <v>1499</v>
      </c>
      <c r="AQ1273" t="s">
        <v>74</v>
      </c>
      <c r="AR1273" t="s">
        <v>1196</v>
      </c>
      <c r="AS1273" t="s">
        <v>1197</v>
      </c>
      <c r="AT1273" t="s">
        <v>91</v>
      </c>
      <c r="AU1273">
        <v>2022</v>
      </c>
      <c r="AV1273">
        <v>59</v>
      </c>
      <c r="AW1273">
        <v>1</v>
      </c>
      <c r="AX1273" t="s">
        <v>74</v>
      </c>
      <c r="AY1273" t="s">
        <v>74</v>
      </c>
      <c r="AZ1273" t="s">
        <v>74</v>
      </c>
      <c r="BA1273" t="s">
        <v>74</v>
      </c>
      <c r="BB1273">
        <v>413</v>
      </c>
      <c r="BC1273">
        <v>422</v>
      </c>
      <c r="BD1273" t="s">
        <v>74</v>
      </c>
      <c r="BE1273" t="s">
        <v>21370</v>
      </c>
      <c r="BF1273" t="str">
        <f>HYPERLINK("http://dx.doi.org/10.1007/s11187-021-00517-1","http://dx.doi.org/10.1007/s11187-021-00517-1")</f>
        <v>http://dx.doi.org/10.1007/s11187-021-00517-1</v>
      </c>
      <c r="BG1273" t="s">
        <v>74</v>
      </c>
      <c r="BH1273" t="s">
        <v>10620</v>
      </c>
      <c r="BI1273">
        <v>10</v>
      </c>
      <c r="BJ1273" t="s">
        <v>1199</v>
      </c>
      <c r="BK1273" t="s">
        <v>94</v>
      </c>
      <c r="BL1273" t="s">
        <v>95</v>
      </c>
      <c r="BM1273" t="s">
        <v>21371</v>
      </c>
      <c r="BN1273" t="s">
        <v>74</v>
      </c>
      <c r="BO1273" t="s">
        <v>2267</v>
      </c>
      <c r="BP1273" t="s">
        <v>74</v>
      </c>
      <c r="BQ1273" t="s">
        <v>74</v>
      </c>
      <c r="BR1273" t="s">
        <v>97</v>
      </c>
      <c r="BS1273" t="s">
        <v>21372</v>
      </c>
      <c r="BT1273" t="str">
        <f>HYPERLINK("https%3A%2F%2Fwww.webofscience.com%2Fwos%2Fwoscc%2Ffull-record%2FWOS:000658972500001","View Full Record in Web of Science")</f>
        <v>View Full Record in Web of Science</v>
      </c>
    </row>
    <row r="1274" spans="1:72" x14ac:dyDescent="0.25">
      <c r="A1274" t="s">
        <v>72</v>
      </c>
      <c r="B1274" t="s">
        <v>21373</v>
      </c>
      <c r="C1274" t="s">
        <v>74</v>
      </c>
      <c r="D1274" t="s">
        <v>74</v>
      </c>
      <c r="E1274" t="s">
        <v>74</v>
      </c>
      <c r="F1274" t="s">
        <v>21374</v>
      </c>
      <c r="G1274" t="s">
        <v>74</v>
      </c>
      <c r="H1274" t="s">
        <v>74</v>
      </c>
      <c r="I1274" t="s">
        <v>21375</v>
      </c>
      <c r="J1274" t="s">
        <v>21376</v>
      </c>
      <c r="K1274" t="s">
        <v>74</v>
      </c>
      <c r="L1274" t="s">
        <v>74</v>
      </c>
      <c r="M1274" t="s">
        <v>77</v>
      </c>
      <c r="N1274" t="s">
        <v>78</v>
      </c>
      <c r="O1274" t="s">
        <v>74</v>
      </c>
      <c r="P1274" t="s">
        <v>74</v>
      </c>
      <c r="Q1274" t="s">
        <v>74</v>
      </c>
      <c r="R1274" t="s">
        <v>74</v>
      </c>
      <c r="S1274" t="s">
        <v>74</v>
      </c>
      <c r="T1274" t="s">
        <v>74</v>
      </c>
      <c r="U1274" t="s">
        <v>74</v>
      </c>
      <c r="V1274" t="s">
        <v>21377</v>
      </c>
      <c r="W1274" t="s">
        <v>21378</v>
      </c>
      <c r="X1274" t="s">
        <v>21379</v>
      </c>
      <c r="Y1274" t="s">
        <v>21380</v>
      </c>
      <c r="Z1274" t="s">
        <v>21381</v>
      </c>
      <c r="AA1274" t="s">
        <v>21382</v>
      </c>
      <c r="AB1274" t="s">
        <v>21383</v>
      </c>
      <c r="AC1274" t="s">
        <v>74</v>
      </c>
      <c r="AD1274" t="s">
        <v>74</v>
      </c>
      <c r="AE1274" t="s">
        <v>74</v>
      </c>
      <c r="AF1274" t="s">
        <v>74</v>
      </c>
      <c r="AG1274">
        <v>68</v>
      </c>
      <c r="AH1274">
        <v>0</v>
      </c>
      <c r="AI1274">
        <v>0</v>
      </c>
      <c r="AJ1274">
        <v>0</v>
      </c>
      <c r="AK1274">
        <v>2</v>
      </c>
      <c r="AL1274" t="s">
        <v>3014</v>
      </c>
      <c r="AM1274" t="s">
        <v>139</v>
      </c>
      <c r="AN1274" t="s">
        <v>3015</v>
      </c>
      <c r="AO1274" t="s">
        <v>21384</v>
      </c>
      <c r="AP1274" t="s">
        <v>21385</v>
      </c>
      <c r="AQ1274" t="s">
        <v>74</v>
      </c>
      <c r="AR1274" t="s">
        <v>21386</v>
      </c>
      <c r="AS1274" t="s">
        <v>21387</v>
      </c>
      <c r="AT1274" t="s">
        <v>3218</v>
      </c>
      <c r="AU1274">
        <v>2022</v>
      </c>
      <c r="AV1274">
        <v>43</v>
      </c>
      <c r="AW1274">
        <v>6</v>
      </c>
      <c r="AX1274" t="s">
        <v>74</v>
      </c>
      <c r="AY1274" t="s">
        <v>74</v>
      </c>
      <c r="AZ1274" t="s">
        <v>74</v>
      </c>
      <c r="BA1274" t="s">
        <v>74</v>
      </c>
      <c r="BB1274">
        <v>709</v>
      </c>
      <c r="BC1274">
        <v>727</v>
      </c>
      <c r="BD1274" t="s">
        <v>74</v>
      </c>
      <c r="BE1274" t="s">
        <v>21388</v>
      </c>
      <c r="BF1274" t="str">
        <f>HYPERLINK("http://dx.doi.org/10.1080/01639625.2021.1913453","http://dx.doi.org/10.1080/01639625.2021.1913453")</f>
        <v>http://dx.doi.org/10.1080/01639625.2021.1913453</v>
      </c>
      <c r="BG1274" t="s">
        <v>74</v>
      </c>
      <c r="BH1274" t="s">
        <v>12091</v>
      </c>
      <c r="BI1274">
        <v>19</v>
      </c>
      <c r="BJ1274" t="s">
        <v>21389</v>
      </c>
      <c r="BK1274" t="s">
        <v>94</v>
      </c>
      <c r="BL1274" t="s">
        <v>21390</v>
      </c>
      <c r="BM1274" t="s">
        <v>21391</v>
      </c>
      <c r="BN1274" t="s">
        <v>74</v>
      </c>
      <c r="BO1274" t="s">
        <v>74</v>
      </c>
      <c r="BP1274" t="s">
        <v>74</v>
      </c>
      <c r="BQ1274" t="s">
        <v>74</v>
      </c>
      <c r="BR1274" t="s">
        <v>97</v>
      </c>
      <c r="BS1274" t="s">
        <v>21392</v>
      </c>
      <c r="BT1274" t="str">
        <f>HYPERLINK("https%3A%2F%2Fwww.webofscience.com%2Fwos%2Fwoscc%2Ffull-record%2FWOS:000639696400001","View Full Record in Web of Science")</f>
        <v>View Full Record in Web of Science</v>
      </c>
    </row>
    <row r="1275" spans="1:72" x14ac:dyDescent="0.25">
      <c r="A1275" t="s">
        <v>72</v>
      </c>
      <c r="B1275" t="s">
        <v>21393</v>
      </c>
      <c r="C1275" t="s">
        <v>74</v>
      </c>
      <c r="D1275" t="s">
        <v>74</v>
      </c>
      <c r="E1275" t="s">
        <v>74</v>
      </c>
      <c r="F1275" t="s">
        <v>21394</v>
      </c>
      <c r="G1275" t="s">
        <v>74</v>
      </c>
      <c r="H1275" t="s">
        <v>74</v>
      </c>
      <c r="I1275" t="s">
        <v>21395</v>
      </c>
      <c r="J1275" t="s">
        <v>21396</v>
      </c>
      <c r="K1275" t="s">
        <v>74</v>
      </c>
      <c r="L1275" t="s">
        <v>74</v>
      </c>
      <c r="M1275" t="s">
        <v>77</v>
      </c>
      <c r="N1275" t="s">
        <v>78</v>
      </c>
      <c r="O1275" t="s">
        <v>74</v>
      </c>
      <c r="P1275" t="s">
        <v>74</v>
      </c>
      <c r="Q1275" t="s">
        <v>74</v>
      </c>
      <c r="R1275" t="s">
        <v>74</v>
      </c>
      <c r="S1275" t="s">
        <v>74</v>
      </c>
      <c r="T1275" t="s">
        <v>21397</v>
      </c>
      <c r="U1275" t="s">
        <v>21398</v>
      </c>
      <c r="V1275" t="s">
        <v>21399</v>
      </c>
      <c r="W1275" t="s">
        <v>21400</v>
      </c>
      <c r="X1275" t="s">
        <v>21401</v>
      </c>
      <c r="Y1275" t="s">
        <v>21402</v>
      </c>
      <c r="Z1275" t="s">
        <v>21403</v>
      </c>
      <c r="AA1275" t="s">
        <v>21404</v>
      </c>
      <c r="AB1275" t="s">
        <v>21405</v>
      </c>
      <c r="AC1275" t="s">
        <v>21406</v>
      </c>
      <c r="AD1275" t="s">
        <v>21407</v>
      </c>
      <c r="AE1275" t="s">
        <v>21408</v>
      </c>
      <c r="AF1275" t="s">
        <v>74</v>
      </c>
      <c r="AG1275">
        <v>125</v>
      </c>
      <c r="AH1275">
        <v>0</v>
      </c>
      <c r="AI1275">
        <v>0</v>
      </c>
      <c r="AJ1275">
        <v>0</v>
      </c>
      <c r="AK1275">
        <v>5</v>
      </c>
      <c r="AL1275" t="s">
        <v>21409</v>
      </c>
      <c r="AM1275" t="s">
        <v>21410</v>
      </c>
      <c r="AN1275" t="s">
        <v>21411</v>
      </c>
      <c r="AO1275" t="s">
        <v>21412</v>
      </c>
      <c r="AP1275" t="s">
        <v>21413</v>
      </c>
      <c r="AQ1275" t="s">
        <v>74</v>
      </c>
      <c r="AR1275" t="s">
        <v>21414</v>
      </c>
      <c r="AS1275" t="s">
        <v>21415</v>
      </c>
      <c r="AT1275" t="s">
        <v>21416</v>
      </c>
      <c r="AU1275">
        <v>2021</v>
      </c>
      <c r="AV1275">
        <v>23</v>
      </c>
      <c r="AW1275">
        <v>2</v>
      </c>
      <c r="AX1275" t="s">
        <v>74</v>
      </c>
      <c r="AY1275" t="s">
        <v>74</v>
      </c>
      <c r="AZ1275" t="s">
        <v>74</v>
      </c>
      <c r="BA1275" t="s">
        <v>74</v>
      </c>
      <c r="BB1275">
        <v>226</v>
      </c>
      <c r="BC1275">
        <v>251</v>
      </c>
      <c r="BD1275" t="s">
        <v>74</v>
      </c>
      <c r="BE1275" t="s">
        <v>21417</v>
      </c>
      <c r="BF1275" t="str">
        <f>HYPERLINK("http://dx.doi.org/10.7819/rbgn.v23i2.4099","http://dx.doi.org/10.7819/rbgn.v23i2.4099")</f>
        <v>http://dx.doi.org/10.7819/rbgn.v23i2.4099</v>
      </c>
      <c r="BG1275" t="s">
        <v>74</v>
      </c>
      <c r="BH1275" t="s">
        <v>74</v>
      </c>
      <c r="BI1275">
        <v>26</v>
      </c>
      <c r="BJ1275" t="s">
        <v>93</v>
      </c>
      <c r="BK1275" t="s">
        <v>94</v>
      </c>
      <c r="BL1275" t="s">
        <v>95</v>
      </c>
      <c r="BM1275" t="s">
        <v>21418</v>
      </c>
      <c r="BN1275" t="s">
        <v>74</v>
      </c>
      <c r="BO1275" t="s">
        <v>10146</v>
      </c>
      <c r="BP1275" t="s">
        <v>74</v>
      </c>
      <c r="BQ1275" t="s">
        <v>74</v>
      </c>
      <c r="BR1275" t="s">
        <v>97</v>
      </c>
      <c r="BS1275" t="s">
        <v>21419</v>
      </c>
      <c r="BT1275" t="str">
        <f>HYPERLINK("https%3A%2F%2Fwww.webofscience.com%2Fwos%2Fwoscc%2Ffull-record%2FWOS:000704721100002","View Full Record in Web of Science")</f>
        <v>View Full Record in Web of Science</v>
      </c>
    </row>
    <row r="1276" spans="1:72" x14ac:dyDescent="0.25">
      <c r="A1276" t="s">
        <v>72</v>
      </c>
      <c r="B1276" t="s">
        <v>21420</v>
      </c>
      <c r="C1276" t="s">
        <v>74</v>
      </c>
      <c r="D1276" t="s">
        <v>74</v>
      </c>
      <c r="E1276" t="s">
        <v>74</v>
      </c>
      <c r="F1276" t="s">
        <v>21421</v>
      </c>
      <c r="G1276" t="s">
        <v>74</v>
      </c>
      <c r="H1276" t="s">
        <v>74</v>
      </c>
      <c r="I1276" t="s">
        <v>21422</v>
      </c>
      <c r="J1276" t="s">
        <v>6058</v>
      </c>
      <c r="K1276" t="s">
        <v>74</v>
      </c>
      <c r="L1276" t="s">
        <v>74</v>
      </c>
      <c r="M1276" t="s">
        <v>77</v>
      </c>
      <c r="N1276" t="s">
        <v>78</v>
      </c>
      <c r="O1276" t="s">
        <v>74</v>
      </c>
      <c r="P1276" t="s">
        <v>74</v>
      </c>
      <c r="Q1276" t="s">
        <v>74</v>
      </c>
      <c r="R1276" t="s">
        <v>74</v>
      </c>
      <c r="S1276" t="s">
        <v>74</v>
      </c>
      <c r="T1276" t="s">
        <v>21423</v>
      </c>
      <c r="U1276" t="s">
        <v>21424</v>
      </c>
      <c r="V1276" t="s">
        <v>21425</v>
      </c>
      <c r="W1276" t="s">
        <v>21426</v>
      </c>
      <c r="X1276" t="s">
        <v>74</v>
      </c>
      <c r="Y1276" t="s">
        <v>21427</v>
      </c>
      <c r="Z1276" t="s">
        <v>21428</v>
      </c>
      <c r="AA1276" t="s">
        <v>74</v>
      </c>
      <c r="AB1276" t="s">
        <v>21429</v>
      </c>
      <c r="AC1276" t="s">
        <v>74</v>
      </c>
      <c r="AD1276" t="s">
        <v>74</v>
      </c>
      <c r="AE1276" t="s">
        <v>74</v>
      </c>
      <c r="AF1276" t="s">
        <v>74</v>
      </c>
      <c r="AG1276">
        <v>63</v>
      </c>
      <c r="AH1276">
        <v>0</v>
      </c>
      <c r="AI1276">
        <v>0</v>
      </c>
      <c r="AJ1276">
        <v>1</v>
      </c>
      <c r="AK1276">
        <v>6</v>
      </c>
      <c r="AL1276" t="s">
        <v>6068</v>
      </c>
      <c r="AM1276" t="s">
        <v>6069</v>
      </c>
      <c r="AN1276" t="s">
        <v>6070</v>
      </c>
      <c r="AO1276" t="s">
        <v>6071</v>
      </c>
      <c r="AP1276" t="s">
        <v>74</v>
      </c>
      <c r="AQ1276" t="s">
        <v>74</v>
      </c>
      <c r="AR1276" t="s">
        <v>6072</v>
      </c>
      <c r="AS1276" t="s">
        <v>6073</v>
      </c>
      <c r="AT1276" t="s">
        <v>74</v>
      </c>
      <c r="AU1276">
        <v>2021</v>
      </c>
      <c r="AV1276">
        <v>37</v>
      </c>
      <c r="AW1276">
        <v>4</v>
      </c>
      <c r="AX1276" t="s">
        <v>74</v>
      </c>
      <c r="AY1276" t="s">
        <v>74</v>
      </c>
      <c r="AZ1276" t="s">
        <v>74</v>
      </c>
      <c r="BA1276" t="s">
        <v>74</v>
      </c>
      <c r="BB1276">
        <v>1131</v>
      </c>
      <c r="BC1276">
        <v>1143</v>
      </c>
      <c r="BD1276" t="s">
        <v>74</v>
      </c>
      <c r="BE1276" t="s">
        <v>74</v>
      </c>
      <c r="BF1276" t="s">
        <v>74</v>
      </c>
      <c r="BG1276" t="s">
        <v>74</v>
      </c>
      <c r="BH1276" t="s">
        <v>74</v>
      </c>
      <c r="BI1276">
        <v>13</v>
      </c>
      <c r="BJ1276" t="s">
        <v>6074</v>
      </c>
      <c r="BK1276" t="s">
        <v>283</v>
      </c>
      <c r="BL1276" t="s">
        <v>6075</v>
      </c>
      <c r="BM1276" t="s">
        <v>21430</v>
      </c>
      <c r="BN1276" t="s">
        <v>74</v>
      </c>
      <c r="BO1276" t="s">
        <v>74</v>
      </c>
      <c r="BP1276" t="s">
        <v>74</v>
      </c>
      <c r="BQ1276" t="s">
        <v>74</v>
      </c>
      <c r="BR1276" t="s">
        <v>97</v>
      </c>
      <c r="BS1276" t="s">
        <v>21431</v>
      </c>
      <c r="BT1276" t="str">
        <f>HYPERLINK("https%3A%2F%2Fwww.webofscience.com%2Fwos%2Fwoscc%2Ffull-record%2FWOS:000663330400023","View Full Record in Web of Science")</f>
        <v>View Full Record in Web of Science</v>
      </c>
    </row>
    <row r="1277" spans="1:72" x14ac:dyDescent="0.25">
      <c r="A1277" t="s">
        <v>72</v>
      </c>
      <c r="B1277" t="s">
        <v>21432</v>
      </c>
      <c r="C1277" t="s">
        <v>74</v>
      </c>
      <c r="D1277" t="s">
        <v>74</v>
      </c>
      <c r="E1277" t="s">
        <v>74</v>
      </c>
      <c r="F1277" t="s">
        <v>21433</v>
      </c>
      <c r="G1277" t="s">
        <v>74</v>
      </c>
      <c r="H1277" t="s">
        <v>74</v>
      </c>
      <c r="I1277" t="s">
        <v>21434</v>
      </c>
      <c r="J1277" t="s">
        <v>21435</v>
      </c>
      <c r="K1277" t="s">
        <v>74</v>
      </c>
      <c r="L1277" t="s">
        <v>74</v>
      </c>
      <c r="M1277" t="s">
        <v>77</v>
      </c>
      <c r="N1277" t="s">
        <v>78</v>
      </c>
      <c r="O1277" t="s">
        <v>74</v>
      </c>
      <c r="P1277" t="s">
        <v>74</v>
      </c>
      <c r="Q1277" t="s">
        <v>74</v>
      </c>
      <c r="R1277" t="s">
        <v>74</v>
      </c>
      <c r="S1277" t="s">
        <v>74</v>
      </c>
      <c r="T1277" t="s">
        <v>74</v>
      </c>
      <c r="U1277" t="s">
        <v>21436</v>
      </c>
      <c r="V1277" t="s">
        <v>21437</v>
      </c>
      <c r="W1277" t="s">
        <v>21438</v>
      </c>
      <c r="X1277" t="s">
        <v>21439</v>
      </c>
      <c r="Y1277" t="s">
        <v>21440</v>
      </c>
      <c r="Z1277" t="s">
        <v>21441</v>
      </c>
      <c r="AA1277" t="s">
        <v>74</v>
      </c>
      <c r="AB1277" t="s">
        <v>74</v>
      </c>
      <c r="AC1277" t="s">
        <v>21442</v>
      </c>
      <c r="AD1277" t="s">
        <v>21443</v>
      </c>
      <c r="AE1277" t="s">
        <v>21444</v>
      </c>
      <c r="AF1277" t="s">
        <v>74</v>
      </c>
      <c r="AG1277">
        <v>44</v>
      </c>
      <c r="AH1277">
        <v>0</v>
      </c>
      <c r="AI1277">
        <v>0</v>
      </c>
      <c r="AJ1277">
        <v>0</v>
      </c>
      <c r="AK1277">
        <v>0</v>
      </c>
      <c r="AL1277" t="s">
        <v>21445</v>
      </c>
      <c r="AM1277" t="s">
        <v>21446</v>
      </c>
      <c r="AN1277" t="s">
        <v>21447</v>
      </c>
      <c r="AO1277" t="s">
        <v>21448</v>
      </c>
      <c r="AP1277" t="s">
        <v>21449</v>
      </c>
      <c r="AQ1277" t="s">
        <v>74</v>
      </c>
      <c r="AR1277" t="s">
        <v>21450</v>
      </c>
      <c r="AS1277" t="s">
        <v>21451</v>
      </c>
      <c r="AT1277" t="s">
        <v>892</v>
      </c>
      <c r="AU1277">
        <v>2021</v>
      </c>
      <c r="AV1277">
        <v>104</v>
      </c>
      <c r="AW1277">
        <v>1</v>
      </c>
      <c r="AX1277" t="s">
        <v>74</v>
      </c>
      <c r="AY1277" t="s">
        <v>74</v>
      </c>
      <c r="AZ1277" t="s">
        <v>74</v>
      </c>
      <c r="BA1277" t="s">
        <v>74</v>
      </c>
      <c r="BB1277">
        <v>382</v>
      </c>
      <c r="BC1277">
        <v>390</v>
      </c>
      <c r="BD1277" t="s">
        <v>74</v>
      </c>
      <c r="BE1277" t="s">
        <v>21452</v>
      </c>
      <c r="BF1277" t="str">
        <f>HYPERLINK("http://dx.doi.org/10.4269/ajtmh.20-0215","http://dx.doi.org/10.4269/ajtmh.20-0215")</f>
        <v>http://dx.doi.org/10.4269/ajtmh.20-0215</v>
      </c>
      <c r="BG1277" t="s">
        <v>74</v>
      </c>
      <c r="BH1277" t="s">
        <v>74</v>
      </c>
      <c r="BI1277">
        <v>9</v>
      </c>
      <c r="BJ1277" t="s">
        <v>21453</v>
      </c>
      <c r="BK1277" t="s">
        <v>147</v>
      </c>
      <c r="BL1277" t="s">
        <v>21453</v>
      </c>
      <c r="BM1277" t="s">
        <v>21454</v>
      </c>
      <c r="BN1277">
        <v>33146110</v>
      </c>
      <c r="BO1277" t="s">
        <v>18282</v>
      </c>
      <c r="BP1277" t="s">
        <v>74</v>
      </c>
      <c r="BQ1277" t="s">
        <v>74</v>
      </c>
      <c r="BR1277" t="s">
        <v>97</v>
      </c>
      <c r="BS1277" t="s">
        <v>21455</v>
      </c>
      <c r="BT1277" t="str">
        <f>HYPERLINK("https%3A%2F%2Fwww.webofscience.com%2Fwos%2Fwoscc%2Ffull-record%2FWOS:000615234800058","View Full Record in Web of Science")</f>
        <v>View Full Record in Web of Science</v>
      </c>
    </row>
    <row r="1278" spans="1:72" x14ac:dyDescent="0.25">
      <c r="A1278" t="s">
        <v>72</v>
      </c>
      <c r="B1278" t="s">
        <v>21456</v>
      </c>
      <c r="C1278" t="s">
        <v>74</v>
      </c>
      <c r="D1278" t="s">
        <v>74</v>
      </c>
      <c r="E1278" t="s">
        <v>74</v>
      </c>
      <c r="F1278" t="s">
        <v>21457</v>
      </c>
      <c r="G1278" t="s">
        <v>74</v>
      </c>
      <c r="H1278" t="s">
        <v>74</v>
      </c>
      <c r="I1278" t="s">
        <v>21458</v>
      </c>
      <c r="J1278" t="s">
        <v>21459</v>
      </c>
      <c r="K1278" t="s">
        <v>74</v>
      </c>
      <c r="L1278" t="s">
        <v>74</v>
      </c>
      <c r="M1278" t="s">
        <v>77</v>
      </c>
      <c r="N1278" t="s">
        <v>78</v>
      </c>
      <c r="O1278" t="s">
        <v>74</v>
      </c>
      <c r="P1278" t="s">
        <v>74</v>
      </c>
      <c r="Q1278" t="s">
        <v>74</v>
      </c>
      <c r="R1278" t="s">
        <v>74</v>
      </c>
      <c r="S1278" t="s">
        <v>74</v>
      </c>
      <c r="T1278" t="s">
        <v>21460</v>
      </c>
      <c r="U1278" t="s">
        <v>21461</v>
      </c>
      <c r="V1278" t="s">
        <v>21462</v>
      </c>
      <c r="W1278" t="s">
        <v>21463</v>
      </c>
      <c r="X1278" t="s">
        <v>21464</v>
      </c>
      <c r="Y1278" t="s">
        <v>21465</v>
      </c>
      <c r="Z1278" t="s">
        <v>21466</v>
      </c>
      <c r="AA1278" t="s">
        <v>21467</v>
      </c>
      <c r="AB1278" t="s">
        <v>21468</v>
      </c>
      <c r="AC1278" t="s">
        <v>74</v>
      </c>
      <c r="AD1278" t="s">
        <v>74</v>
      </c>
      <c r="AE1278" t="s">
        <v>74</v>
      </c>
      <c r="AF1278" t="s">
        <v>74</v>
      </c>
      <c r="AG1278">
        <v>91</v>
      </c>
      <c r="AH1278">
        <v>0</v>
      </c>
      <c r="AI1278">
        <v>0</v>
      </c>
      <c r="AJ1278">
        <v>9</v>
      </c>
      <c r="AK1278">
        <v>23</v>
      </c>
      <c r="AL1278" t="s">
        <v>21469</v>
      </c>
      <c r="AM1278" t="s">
        <v>21470</v>
      </c>
      <c r="AN1278" t="s">
        <v>21471</v>
      </c>
      <c r="AO1278" t="s">
        <v>11401</v>
      </c>
      <c r="AP1278" t="s">
        <v>21472</v>
      </c>
      <c r="AQ1278" t="s">
        <v>74</v>
      </c>
      <c r="AR1278" t="s">
        <v>11402</v>
      </c>
      <c r="AS1278" t="s">
        <v>11403</v>
      </c>
      <c r="AT1278" t="s">
        <v>74</v>
      </c>
      <c r="AU1278">
        <v>2021</v>
      </c>
      <c r="AV1278">
        <v>26</v>
      </c>
      <c r="AW1278">
        <v>4</v>
      </c>
      <c r="AX1278" t="s">
        <v>74</v>
      </c>
      <c r="AY1278" t="s">
        <v>74</v>
      </c>
      <c r="AZ1278" t="s">
        <v>74</v>
      </c>
      <c r="BA1278" t="s">
        <v>74</v>
      </c>
      <c r="BB1278">
        <v>738</v>
      </c>
      <c r="BC1278">
        <v>760</v>
      </c>
      <c r="BD1278" t="s">
        <v>74</v>
      </c>
      <c r="BE1278" t="s">
        <v>21473</v>
      </c>
      <c r="BF1278" t="str">
        <f>HYPERLINK("http://dx.doi.org/10.5771/0949-6181-2021-4-738","http://dx.doi.org/10.5771/0949-6181-2021-4-738")</f>
        <v>http://dx.doi.org/10.5771/0949-6181-2021-4-738</v>
      </c>
      <c r="BG1278" t="s">
        <v>74</v>
      </c>
      <c r="BH1278" t="s">
        <v>74</v>
      </c>
      <c r="BI1278">
        <v>23</v>
      </c>
      <c r="BJ1278" t="s">
        <v>442</v>
      </c>
      <c r="BK1278" t="s">
        <v>94</v>
      </c>
      <c r="BL1278" t="s">
        <v>95</v>
      </c>
      <c r="BM1278" t="s">
        <v>21474</v>
      </c>
      <c r="BN1278" t="s">
        <v>74</v>
      </c>
      <c r="BO1278" t="s">
        <v>74</v>
      </c>
      <c r="BP1278" t="s">
        <v>74</v>
      </c>
      <c r="BQ1278" t="s">
        <v>74</v>
      </c>
      <c r="BR1278" t="s">
        <v>97</v>
      </c>
      <c r="BS1278" t="s">
        <v>21475</v>
      </c>
      <c r="BT1278" t="str">
        <f>HYPERLINK("https%3A%2F%2Fwww.webofscience.com%2Fwos%2Fwoscc%2Ffull-record%2FWOS:000728560800008","View Full Record in Web of Science")</f>
        <v>View Full Record in Web of Science</v>
      </c>
    </row>
    <row r="1279" spans="1:72" x14ac:dyDescent="0.25">
      <c r="A1279" t="s">
        <v>72</v>
      </c>
      <c r="B1279" t="s">
        <v>21476</v>
      </c>
      <c r="C1279" t="s">
        <v>74</v>
      </c>
      <c r="D1279" t="s">
        <v>74</v>
      </c>
      <c r="E1279" t="s">
        <v>74</v>
      </c>
      <c r="F1279" t="s">
        <v>21477</v>
      </c>
      <c r="G1279" t="s">
        <v>74</v>
      </c>
      <c r="H1279" t="s">
        <v>74</v>
      </c>
      <c r="I1279" t="s">
        <v>21478</v>
      </c>
      <c r="J1279" t="s">
        <v>21479</v>
      </c>
      <c r="K1279" t="s">
        <v>74</v>
      </c>
      <c r="L1279" t="s">
        <v>74</v>
      </c>
      <c r="M1279" t="s">
        <v>77</v>
      </c>
      <c r="N1279" t="s">
        <v>78</v>
      </c>
      <c r="O1279" t="s">
        <v>74</v>
      </c>
      <c r="P1279" t="s">
        <v>74</v>
      </c>
      <c r="Q1279" t="s">
        <v>74</v>
      </c>
      <c r="R1279" t="s">
        <v>74</v>
      </c>
      <c r="S1279" t="s">
        <v>74</v>
      </c>
      <c r="T1279" t="s">
        <v>21480</v>
      </c>
      <c r="U1279" t="s">
        <v>21481</v>
      </c>
      <c r="V1279" t="s">
        <v>21482</v>
      </c>
      <c r="W1279" t="s">
        <v>21483</v>
      </c>
      <c r="X1279" t="s">
        <v>21484</v>
      </c>
      <c r="Y1279" t="s">
        <v>21485</v>
      </c>
      <c r="Z1279" t="s">
        <v>21486</v>
      </c>
      <c r="AA1279" t="s">
        <v>74</v>
      </c>
      <c r="AB1279" t="s">
        <v>74</v>
      </c>
      <c r="AC1279" t="s">
        <v>74</v>
      </c>
      <c r="AD1279" t="s">
        <v>74</v>
      </c>
      <c r="AE1279" t="s">
        <v>74</v>
      </c>
      <c r="AF1279" t="s">
        <v>74</v>
      </c>
      <c r="AG1279">
        <v>71</v>
      </c>
      <c r="AH1279">
        <v>0</v>
      </c>
      <c r="AI1279">
        <v>0</v>
      </c>
      <c r="AJ1279">
        <v>1</v>
      </c>
      <c r="AK1279">
        <v>13</v>
      </c>
      <c r="AL1279" t="s">
        <v>2351</v>
      </c>
      <c r="AM1279" t="s">
        <v>541</v>
      </c>
      <c r="AN1279" t="s">
        <v>2352</v>
      </c>
      <c r="AO1279" t="s">
        <v>21487</v>
      </c>
      <c r="AP1279" t="s">
        <v>21488</v>
      </c>
      <c r="AQ1279" t="s">
        <v>74</v>
      </c>
      <c r="AR1279" t="s">
        <v>21489</v>
      </c>
      <c r="AS1279" t="s">
        <v>21490</v>
      </c>
      <c r="AT1279" t="s">
        <v>122</v>
      </c>
      <c r="AU1279">
        <v>2023</v>
      </c>
      <c r="AV1279">
        <v>38</v>
      </c>
      <c r="AW1279">
        <v>2</v>
      </c>
      <c r="AX1279" t="s">
        <v>74</v>
      </c>
      <c r="AY1279" t="s">
        <v>74</v>
      </c>
      <c r="AZ1279" t="s">
        <v>74</v>
      </c>
      <c r="BA1279" t="s">
        <v>74</v>
      </c>
      <c r="BB1279">
        <v>159</v>
      </c>
      <c r="BC1279">
        <v>187</v>
      </c>
      <c r="BD1279">
        <v>952076720977598</v>
      </c>
      <c r="BE1279" t="s">
        <v>21491</v>
      </c>
      <c r="BF1279" t="str">
        <f>HYPERLINK("http://dx.doi.org/10.1177/0952076720977598","http://dx.doi.org/10.1177/0952076720977598")</f>
        <v>http://dx.doi.org/10.1177/0952076720977598</v>
      </c>
      <c r="BG1279" t="s">
        <v>74</v>
      </c>
      <c r="BH1279" t="s">
        <v>8229</v>
      </c>
      <c r="BI1279">
        <v>29</v>
      </c>
      <c r="BJ1279" t="s">
        <v>1564</v>
      </c>
      <c r="BK1279" t="s">
        <v>94</v>
      </c>
      <c r="BL1279" t="s">
        <v>1564</v>
      </c>
      <c r="BM1279" t="s">
        <v>21492</v>
      </c>
      <c r="BN1279" t="s">
        <v>74</v>
      </c>
      <c r="BO1279" t="s">
        <v>74</v>
      </c>
      <c r="BP1279" t="s">
        <v>74</v>
      </c>
      <c r="BQ1279" t="s">
        <v>74</v>
      </c>
      <c r="BR1279" t="s">
        <v>97</v>
      </c>
      <c r="BS1279" t="s">
        <v>21493</v>
      </c>
      <c r="BT1279" t="str">
        <f>HYPERLINK("https%3A%2F%2Fwww.webofscience.com%2Fwos%2Fwoscc%2Ffull-record%2FWOS:000608769600001","View Full Record in Web of Science")</f>
        <v>View Full Record in Web of Science</v>
      </c>
    </row>
    <row r="1280" spans="1:72" x14ac:dyDescent="0.25">
      <c r="A1280" t="s">
        <v>72</v>
      </c>
      <c r="B1280" t="s">
        <v>21494</v>
      </c>
      <c r="C1280" t="s">
        <v>74</v>
      </c>
      <c r="D1280" t="s">
        <v>74</v>
      </c>
      <c r="E1280" t="s">
        <v>74</v>
      </c>
      <c r="F1280" t="s">
        <v>21495</v>
      </c>
      <c r="G1280" t="s">
        <v>74</v>
      </c>
      <c r="H1280" t="s">
        <v>74</v>
      </c>
      <c r="I1280" t="s">
        <v>21496</v>
      </c>
      <c r="J1280" t="s">
        <v>12907</v>
      </c>
      <c r="K1280" t="s">
        <v>74</v>
      </c>
      <c r="L1280" t="s">
        <v>74</v>
      </c>
      <c r="M1280" t="s">
        <v>77</v>
      </c>
      <c r="N1280" t="s">
        <v>78</v>
      </c>
      <c r="O1280" t="s">
        <v>74</v>
      </c>
      <c r="P1280" t="s">
        <v>74</v>
      </c>
      <c r="Q1280" t="s">
        <v>74</v>
      </c>
      <c r="R1280" t="s">
        <v>74</v>
      </c>
      <c r="S1280" t="s">
        <v>74</v>
      </c>
      <c r="T1280" t="s">
        <v>21497</v>
      </c>
      <c r="U1280" t="s">
        <v>21498</v>
      </c>
      <c r="V1280" t="s">
        <v>21499</v>
      </c>
      <c r="W1280" t="s">
        <v>21500</v>
      </c>
      <c r="X1280" t="s">
        <v>21501</v>
      </c>
      <c r="Y1280" t="s">
        <v>21502</v>
      </c>
      <c r="Z1280" t="s">
        <v>21503</v>
      </c>
      <c r="AA1280" t="s">
        <v>74</v>
      </c>
      <c r="AB1280" t="s">
        <v>74</v>
      </c>
      <c r="AC1280" t="s">
        <v>74</v>
      </c>
      <c r="AD1280" t="s">
        <v>74</v>
      </c>
      <c r="AE1280" t="s">
        <v>74</v>
      </c>
      <c r="AF1280" t="s">
        <v>74</v>
      </c>
      <c r="AG1280">
        <v>25</v>
      </c>
      <c r="AH1280">
        <v>0</v>
      </c>
      <c r="AI1280">
        <v>0</v>
      </c>
      <c r="AJ1280">
        <v>4</v>
      </c>
      <c r="AK1280">
        <v>9</v>
      </c>
      <c r="AL1280" t="s">
        <v>12917</v>
      </c>
      <c r="AM1280" t="s">
        <v>12918</v>
      </c>
      <c r="AN1280" t="s">
        <v>12919</v>
      </c>
      <c r="AO1280" t="s">
        <v>12920</v>
      </c>
      <c r="AP1280" t="s">
        <v>12921</v>
      </c>
      <c r="AQ1280" t="s">
        <v>74</v>
      </c>
      <c r="AR1280" t="s">
        <v>12922</v>
      </c>
      <c r="AS1280" t="s">
        <v>12923</v>
      </c>
      <c r="AT1280" t="s">
        <v>375</v>
      </c>
      <c r="AU1280">
        <v>2020</v>
      </c>
      <c r="AV1280">
        <v>71</v>
      </c>
      <c r="AW1280" t="s">
        <v>74</v>
      </c>
      <c r="AX1280" t="s">
        <v>74</v>
      </c>
      <c r="AY1280" t="s">
        <v>74</v>
      </c>
      <c r="AZ1280" t="s">
        <v>74</v>
      </c>
      <c r="BA1280" t="s">
        <v>74</v>
      </c>
      <c r="BB1280">
        <v>199</v>
      </c>
      <c r="BC1280">
        <v>211</v>
      </c>
      <c r="BD1280" t="s">
        <v>74</v>
      </c>
      <c r="BE1280" t="s">
        <v>21504</v>
      </c>
      <c r="BF1280" t="str">
        <f>HYPERLINK("http://dx.doi.org/10.33788/rcis.71.14","http://dx.doi.org/10.33788/rcis.71.14")</f>
        <v>http://dx.doi.org/10.33788/rcis.71.14</v>
      </c>
      <c r="BG1280" t="s">
        <v>74</v>
      </c>
      <c r="BH1280" t="s">
        <v>74</v>
      </c>
      <c r="BI1280">
        <v>13</v>
      </c>
      <c r="BJ1280" t="s">
        <v>8867</v>
      </c>
      <c r="BK1280" t="s">
        <v>94</v>
      </c>
      <c r="BL1280" t="s">
        <v>631</v>
      </c>
      <c r="BM1280" t="s">
        <v>21505</v>
      </c>
      <c r="BN1280" t="s">
        <v>74</v>
      </c>
      <c r="BO1280" t="s">
        <v>2482</v>
      </c>
      <c r="BP1280" t="s">
        <v>74</v>
      </c>
      <c r="BQ1280" t="s">
        <v>74</v>
      </c>
      <c r="BR1280" t="s">
        <v>97</v>
      </c>
      <c r="BS1280" t="s">
        <v>21506</v>
      </c>
      <c r="BT1280" t="str">
        <f>HYPERLINK("https%3A%2F%2Fwww.webofscience.com%2Fwos%2Fwoscc%2Ffull-record%2FWOS:000596808700013","View Full Record in Web of Science")</f>
        <v>View Full Record in Web of Science</v>
      </c>
    </row>
    <row r="1281" spans="1:72" x14ac:dyDescent="0.25">
      <c r="A1281" t="s">
        <v>72</v>
      </c>
      <c r="B1281" t="s">
        <v>21507</v>
      </c>
      <c r="C1281" t="s">
        <v>74</v>
      </c>
      <c r="D1281" t="s">
        <v>74</v>
      </c>
      <c r="E1281" t="s">
        <v>74</v>
      </c>
      <c r="F1281" t="s">
        <v>21508</v>
      </c>
      <c r="G1281" t="s">
        <v>74</v>
      </c>
      <c r="H1281" t="s">
        <v>74</v>
      </c>
      <c r="I1281" t="s">
        <v>21509</v>
      </c>
      <c r="J1281" t="s">
        <v>2463</v>
      </c>
      <c r="K1281" t="s">
        <v>74</v>
      </c>
      <c r="L1281" t="s">
        <v>74</v>
      </c>
      <c r="M1281" t="s">
        <v>77</v>
      </c>
      <c r="N1281" t="s">
        <v>78</v>
      </c>
      <c r="O1281" t="s">
        <v>74</v>
      </c>
      <c r="P1281" t="s">
        <v>74</v>
      </c>
      <c r="Q1281" t="s">
        <v>74</v>
      </c>
      <c r="R1281" t="s">
        <v>74</v>
      </c>
      <c r="S1281" t="s">
        <v>74</v>
      </c>
      <c r="T1281" t="s">
        <v>21510</v>
      </c>
      <c r="U1281" t="s">
        <v>74</v>
      </c>
      <c r="V1281" t="s">
        <v>21511</v>
      </c>
      <c r="W1281" t="s">
        <v>21512</v>
      </c>
      <c r="X1281" t="s">
        <v>20342</v>
      </c>
      <c r="Y1281" t="s">
        <v>21513</v>
      </c>
      <c r="Z1281" t="s">
        <v>21514</v>
      </c>
      <c r="AA1281" t="s">
        <v>21515</v>
      </c>
      <c r="AB1281" t="s">
        <v>74</v>
      </c>
      <c r="AC1281" t="s">
        <v>21516</v>
      </c>
      <c r="AD1281" t="s">
        <v>13377</v>
      </c>
      <c r="AE1281" t="s">
        <v>21517</v>
      </c>
      <c r="AF1281" t="s">
        <v>74</v>
      </c>
      <c r="AG1281">
        <v>43</v>
      </c>
      <c r="AH1281">
        <v>0</v>
      </c>
      <c r="AI1281">
        <v>0</v>
      </c>
      <c r="AJ1281">
        <v>2</v>
      </c>
      <c r="AK1281">
        <v>20</v>
      </c>
      <c r="AL1281" t="s">
        <v>2473</v>
      </c>
      <c r="AM1281" t="s">
        <v>2102</v>
      </c>
      <c r="AN1281" t="s">
        <v>2474</v>
      </c>
      <c r="AO1281" t="s">
        <v>74</v>
      </c>
      <c r="AP1281" t="s">
        <v>2475</v>
      </c>
      <c r="AQ1281" t="s">
        <v>74</v>
      </c>
      <c r="AR1281" t="s">
        <v>2476</v>
      </c>
      <c r="AS1281" t="s">
        <v>2477</v>
      </c>
      <c r="AT1281" t="s">
        <v>375</v>
      </c>
      <c r="AU1281">
        <v>2020</v>
      </c>
      <c r="AV1281">
        <v>12</v>
      </c>
      <c r="AW1281">
        <v>23</v>
      </c>
      <c r="AX1281" t="s">
        <v>74</v>
      </c>
      <c r="AY1281" t="s">
        <v>74</v>
      </c>
      <c r="AZ1281" t="s">
        <v>74</v>
      </c>
      <c r="BA1281" t="s">
        <v>74</v>
      </c>
      <c r="BB1281" t="s">
        <v>74</v>
      </c>
      <c r="BC1281" t="s">
        <v>74</v>
      </c>
      <c r="BD1281">
        <v>9886</v>
      </c>
      <c r="BE1281" t="s">
        <v>21518</v>
      </c>
      <c r="BF1281" t="str">
        <f>HYPERLINK("http://dx.doi.org/10.3390/su12239886","http://dx.doi.org/10.3390/su12239886")</f>
        <v>http://dx.doi.org/10.3390/su12239886</v>
      </c>
      <c r="BG1281" t="s">
        <v>74</v>
      </c>
      <c r="BH1281" t="s">
        <v>74</v>
      </c>
      <c r="BI1281">
        <v>13</v>
      </c>
      <c r="BJ1281" t="s">
        <v>2479</v>
      </c>
      <c r="BK1281" t="s">
        <v>147</v>
      </c>
      <c r="BL1281" t="s">
        <v>2480</v>
      </c>
      <c r="BM1281" t="s">
        <v>21519</v>
      </c>
      <c r="BN1281" t="s">
        <v>74</v>
      </c>
      <c r="BO1281" t="s">
        <v>3205</v>
      </c>
      <c r="BP1281" t="s">
        <v>74</v>
      </c>
      <c r="BQ1281" t="s">
        <v>74</v>
      </c>
      <c r="BR1281" t="s">
        <v>97</v>
      </c>
      <c r="BS1281" t="s">
        <v>21520</v>
      </c>
      <c r="BT1281" t="str">
        <f>HYPERLINK("https%3A%2F%2Fwww.webofscience.com%2Fwos%2Fwoscc%2Ffull-record%2FWOS:000597995000001","View Full Record in Web of Science")</f>
        <v>View Full Record in Web of Science</v>
      </c>
    </row>
    <row r="1282" spans="1:72" x14ac:dyDescent="0.25">
      <c r="A1282" t="s">
        <v>72</v>
      </c>
      <c r="B1282" t="s">
        <v>21521</v>
      </c>
      <c r="C1282" t="s">
        <v>74</v>
      </c>
      <c r="D1282" t="s">
        <v>74</v>
      </c>
      <c r="E1282" t="s">
        <v>74</v>
      </c>
      <c r="F1282" t="s">
        <v>21522</v>
      </c>
      <c r="G1282" t="s">
        <v>74</v>
      </c>
      <c r="H1282" t="s">
        <v>74</v>
      </c>
      <c r="I1282" t="s">
        <v>21523</v>
      </c>
      <c r="J1282" t="s">
        <v>21524</v>
      </c>
      <c r="K1282" t="s">
        <v>74</v>
      </c>
      <c r="L1282" t="s">
        <v>74</v>
      </c>
      <c r="M1282" t="s">
        <v>77</v>
      </c>
      <c r="N1282" t="s">
        <v>78</v>
      </c>
      <c r="O1282" t="s">
        <v>74</v>
      </c>
      <c r="P1282" t="s">
        <v>74</v>
      </c>
      <c r="Q1282" t="s">
        <v>74</v>
      </c>
      <c r="R1282" t="s">
        <v>74</v>
      </c>
      <c r="S1282" t="s">
        <v>74</v>
      </c>
      <c r="T1282" t="s">
        <v>21525</v>
      </c>
      <c r="U1282" t="s">
        <v>21526</v>
      </c>
      <c r="V1282" t="s">
        <v>21527</v>
      </c>
      <c r="W1282" t="s">
        <v>21528</v>
      </c>
      <c r="X1282" t="s">
        <v>21529</v>
      </c>
      <c r="Y1282" t="s">
        <v>21530</v>
      </c>
      <c r="Z1282" t="s">
        <v>21531</v>
      </c>
      <c r="AA1282" t="s">
        <v>21532</v>
      </c>
      <c r="AB1282" t="s">
        <v>21533</v>
      </c>
      <c r="AC1282" t="s">
        <v>74</v>
      </c>
      <c r="AD1282" t="s">
        <v>74</v>
      </c>
      <c r="AE1282" t="s">
        <v>74</v>
      </c>
      <c r="AF1282" t="s">
        <v>74</v>
      </c>
      <c r="AG1282">
        <v>77</v>
      </c>
      <c r="AH1282">
        <v>0</v>
      </c>
      <c r="AI1282">
        <v>0</v>
      </c>
      <c r="AJ1282">
        <v>4</v>
      </c>
      <c r="AK1282">
        <v>14</v>
      </c>
      <c r="AL1282" t="s">
        <v>21534</v>
      </c>
      <c r="AM1282" t="s">
        <v>21535</v>
      </c>
      <c r="AN1282" t="s">
        <v>21536</v>
      </c>
      <c r="AO1282" t="s">
        <v>21537</v>
      </c>
      <c r="AP1282" t="s">
        <v>74</v>
      </c>
      <c r="AQ1282" t="s">
        <v>74</v>
      </c>
      <c r="AR1282" t="s">
        <v>21538</v>
      </c>
      <c r="AS1282" t="s">
        <v>21539</v>
      </c>
      <c r="AT1282" t="s">
        <v>20739</v>
      </c>
      <c r="AU1282">
        <v>2020</v>
      </c>
      <c r="AV1282">
        <v>23</v>
      </c>
      <c r="AW1282">
        <v>1</v>
      </c>
      <c r="AX1282" t="s">
        <v>74</v>
      </c>
      <c r="AY1282" t="s">
        <v>74</v>
      </c>
      <c r="AZ1282" t="s">
        <v>74</v>
      </c>
      <c r="BA1282" t="s">
        <v>74</v>
      </c>
      <c r="BB1282" t="s">
        <v>74</v>
      </c>
      <c r="BC1282" t="s">
        <v>74</v>
      </c>
      <c r="BD1282" t="s">
        <v>21540</v>
      </c>
      <c r="BE1282" t="s">
        <v>21541</v>
      </c>
      <c r="BF1282" t="str">
        <f>HYPERLINK("http://dx.doi.org/10.4102/sajems.v23i1.3272","http://dx.doi.org/10.4102/sajems.v23i1.3272")</f>
        <v>http://dx.doi.org/10.4102/sajems.v23i1.3272</v>
      </c>
      <c r="BG1282" t="s">
        <v>74</v>
      </c>
      <c r="BH1282" t="s">
        <v>74</v>
      </c>
      <c r="BI1282">
        <v>11</v>
      </c>
      <c r="BJ1282" t="s">
        <v>7947</v>
      </c>
      <c r="BK1282" t="s">
        <v>94</v>
      </c>
      <c r="BL1282" t="s">
        <v>95</v>
      </c>
      <c r="BM1282" t="s">
        <v>21542</v>
      </c>
      <c r="BN1282" t="s">
        <v>74</v>
      </c>
      <c r="BO1282" t="s">
        <v>2482</v>
      </c>
      <c r="BP1282" t="s">
        <v>74</v>
      </c>
      <c r="BQ1282" t="s">
        <v>74</v>
      </c>
      <c r="BR1282" t="s">
        <v>97</v>
      </c>
      <c r="BS1282" t="s">
        <v>21543</v>
      </c>
      <c r="BT1282" t="str">
        <f>HYPERLINK("https%3A%2F%2Fwww.webofscience.com%2Fwos%2Fwoscc%2Ffull-record%2FWOS:000558644100001","View Full Record in Web of Science")</f>
        <v>View Full Record in Web of Science</v>
      </c>
    </row>
    <row r="1283" spans="1:72" x14ac:dyDescent="0.25">
      <c r="A1283" t="s">
        <v>72</v>
      </c>
      <c r="B1283" t="s">
        <v>21544</v>
      </c>
      <c r="C1283" t="s">
        <v>74</v>
      </c>
      <c r="D1283" t="s">
        <v>74</v>
      </c>
      <c r="E1283" t="s">
        <v>74</v>
      </c>
      <c r="F1283" t="s">
        <v>21545</v>
      </c>
      <c r="G1283" t="s">
        <v>74</v>
      </c>
      <c r="H1283" t="s">
        <v>74</v>
      </c>
      <c r="I1283" t="s">
        <v>21546</v>
      </c>
      <c r="J1283" t="s">
        <v>9873</v>
      </c>
      <c r="K1283" t="s">
        <v>74</v>
      </c>
      <c r="L1283" t="s">
        <v>74</v>
      </c>
      <c r="M1283" t="s">
        <v>77</v>
      </c>
      <c r="N1283" t="s">
        <v>78</v>
      </c>
      <c r="O1283" t="s">
        <v>74</v>
      </c>
      <c r="P1283" t="s">
        <v>74</v>
      </c>
      <c r="Q1283" t="s">
        <v>74</v>
      </c>
      <c r="R1283" t="s">
        <v>74</v>
      </c>
      <c r="S1283" t="s">
        <v>74</v>
      </c>
      <c r="T1283" t="s">
        <v>21547</v>
      </c>
      <c r="U1283" t="s">
        <v>21548</v>
      </c>
      <c r="V1283" t="s">
        <v>21549</v>
      </c>
      <c r="W1283" t="s">
        <v>21550</v>
      </c>
      <c r="X1283" t="s">
        <v>9301</v>
      </c>
      <c r="Y1283" t="s">
        <v>21551</v>
      </c>
      <c r="Z1283" t="s">
        <v>21552</v>
      </c>
      <c r="AA1283" t="s">
        <v>74</v>
      </c>
      <c r="AB1283" t="s">
        <v>74</v>
      </c>
      <c r="AC1283" t="s">
        <v>21553</v>
      </c>
      <c r="AD1283" t="s">
        <v>575</v>
      </c>
      <c r="AE1283" t="s">
        <v>21554</v>
      </c>
      <c r="AF1283" t="s">
        <v>74</v>
      </c>
      <c r="AG1283">
        <v>33</v>
      </c>
      <c r="AH1283">
        <v>0</v>
      </c>
      <c r="AI1283">
        <v>0</v>
      </c>
      <c r="AJ1283">
        <v>1</v>
      </c>
      <c r="AK1283">
        <v>11</v>
      </c>
      <c r="AL1283" t="s">
        <v>9884</v>
      </c>
      <c r="AM1283" t="s">
        <v>9885</v>
      </c>
      <c r="AN1283" t="s">
        <v>9886</v>
      </c>
      <c r="AO1283" t="s">
        <v>9887</v>
      </c>
      <c r="AP1283" t="s">
        <v>74</v>
      </c>
      <c r="AQ1283" t="s">
        <v>74</v>
      </c>
      <c r="AR1283" t="s">
        <v>9888</v>
      </c>
      <c r="AS1283" t="s">
        <v>9889</v>
      </c>
      <c r="AT1283" t="s">
        <v>74</v>
      </c>
      <c r="AU1283">
        <v>2019</v>
      </c>
      <c r="AV1283">
        <v>20</v>
      </c>
      <c r="AW1283" t="s">
        <v>74</v>
      </c>
      <c r="AX1283" t="s">
        <v>74</v>
      </c>
      <c r="AY1283" t="s">
        <v>74</v>
      </c>
      <c r="AZ1283" t="s">
        <v>10804</v>
      </c>
      <c r="BA1283" t="s">
        <v>74</v>
      </c>
      <c r="BB1283">
        <v>134</v>
      </c>
      <c r="BC1283">
        <v>144</v>
      </c>
      <c r="BD1283" t="s">
        <v>74</v>
      </c>
      <c r="BE1283" t="s">
        <v>74</v>
      </c>
      <c r="BF1283" t="s">
        <v>74</v>
      </c>
      <c r="BG1283" t="s">
        <v>74</v>
      </c>
      <c r="BH1283" t="s">
        <v>74</v>
      </c>
      <c r="BI1283">
        <v>11</v>
      </c>
      <c r="BJ1283" t="s">
        <v>5336</v>
      </c>
      <c r="BK1283" t="s">
        <v>283</v>
      </c>
      <c r="BL1283" t="s">
        <v>5337</v>
      </c>
      <c r="BM1283" t="s">
        <v>21555</v>
      </c>
      <c r="BN1283" t="s">
        <v>74</v>
      </c>
      <c r="BO1283" t="s">
        <v>74</v>
      </c>
      <c r="BP1283" t="s">
        <v>74</v>
      </c>
      <c r="BQ1283" t="s">
        <v>74</v>
      </c>
      <c r="BR1283" t="s">
        <v>97</v>
      </c>
      <c r="BS1283" t="s">
        <v>21556</v>
      </c>
      <c r="BT1283" t="str">
        <f>HYPERLINK("https%3A%2F%2Fwww.webofscience.com%2Fwos%2Fwoscc%2Ffull-record%2FWOS:000531884000017","View Full Record in Web of Science")</f>
        <v>View Full Record in Web of Science</v>
      </c>
    </row>
    <row r="1284" spans="1:72" x14ac:dyDescent="0.25">
      <c r="A1284" t="s">
        <v>72</v>
      </c>
      <c r="B1284" t="s">
        <v>15532</v>
      </c>
      <c r="C1284" t="s">
        <v>74</v>
      </c>
      <c r="D1284" t="s">
        <v>74</v>
      </c>
      <c r="E1284" t="s">
        <v>74</v>
      </c>
      <c r="F1284" t="s">
        <v>15533</v>
      </c>
      <c r="G1284" t="s">
        <v>74</v>
      </c>
      <c r="H1284" t="s">
        <v>74</v>
      </c>
      <c r="I1284" t="s">
        <v>21557</v>
      </c>
      <c r="J1284" t="s">
        <v>15689</v>
      </c>
      <c r="K1284" t="s">
        <v>74</v>
      </c>
      <c r="L1284" t="s">
        <v>74</v>
      </c>
      <c r="M1284" t="s">
        <v>77</v>
      </c>
      <c r="N1284" t="s">
        <v>78</v>
      </c>
      <c r="O1284" t="s">
        <v>74</v>
      </c>
      <c r="P1284" t="s">
        <v>74</v>
      </c>
      <c r="Q1284" t="s">
        <v>74</v>
      </c>
      <c r="R1284" t="s">
        <v>74</v>
      </c>
      <c r="S1284" t="s">
        <v>74</v>
      </c>
      <c r="T1284" t="s">
        <v>21558</v>
      </c>
      <c r="U1284" t="s">
        <v>74</v>
      </c>
      <c r="V1284" t="s">
        <v>21559</v>
      </c>
      <c r="W1284" t="s">
        <v>21560</v>
      </c>
      <c r="X1284" t="s">
        <v>15539</v>
      </c>
      <c r="Y1284" t="s">
        <v>21561</v>
      </c>
      <c r="Z1284" t="s">
        <v>74</v>
      </c>
      <c r="AA1284" t="s">
        <v>74</v>
      </c>
      <c r="AB1284" t="s">
        <v>74</v>
      </c>
      <c r="AC1284" t="s">
        <v>21562</v>
      </c>
      <c r="AD1284" t="s">
        <v>15543</v>
      </c>
      <c r="AE1284" t="s">
        <v>21563</v>
      </c>
      <c r="AF1284" t="s">
        <v>74</v>
      </c>
      <c r="AG1284">
        <v>31</v>
      </c>
      <c r="AH1284">
        <v>0</v>
      </c>
      <c r="AI1284">
        <v>0</v>
      </c>
      <c r="AJ1284">
        <v>3</v>
      </c>
      <c r="AK1284">
        <v>13</v>
      </c>
      <c r="AL1284" t="s">
        <v>15697</v>
      </c>
      <c r="AM1284" t="s">
        <v>15698</v>
      </c>
      <c r="AN1284" t="s">
        <v>15699</v>
      </c>
      <c r="AO1284" t="s">
        <v>15700</v>
      </c>
      <c r="AP1284" t="s">
        <v>74</v>
      </c>
      <c r="AQ1284" t="s">
        <v>74</v>
      </c>
      <c r="AR1284" t="s">
        <v>15689</v>
      </c>
      <c r="AS1284" t="s">
        <v>15701</v>
      </c>
      <c r="AT1284" t="s">
        <v>74</v>
      </c>
      <c r="AU1284">
        <v>2019</v>
      </c>
      <c r="AV1284">
        <v>28</v>
      </c>
      <c r="AW1284">
        <v>107</v>
      </c>
      <c r="AX1284" t="s">
        <v>74</v>
      </c>
      <c r="AY1284" t="s">
        <v>74</v>
      </c>
      <c r="AZ1284" t="s">
        <v>74</v>
      </c>
      <c r="BA1284" t="s">
        <v>74</v>
      </c>
      <c r="BB1284">
        <v>4231</v>
      </c>
      <c r="BC1284">
        <v>4237</v>
      </c>
      <c r="BD1284" t="s">
        <v>21564</v>
      </c>
      <c r="BE1284" t="s">
        <v>74</v>
      </c>
      <c r="BF1284" t="s">
        <v>74</v>
      </c>
      <c r="BG1284" t="s">
        <v>74</v>
      </c>
      <c r="BH1284" t="s">
        <v>74</v>
      </c>
      <c r="BI1284">
        <v>7</v>
      </c>
      <c r="BJ1284" t="s">
        <v>9151</v>
      </c>
      <c r="BK1284" t="s">
        <v>283</v>
      </c>
      <c r="BL1284" t="s">
        <v>5337</v>
      </c>
      <c r="BM1284" t="s">
        <v>21565</v>
      </c>
      <c r="BN1284" t="s">
        <v>74</v>
      </c>
      <c r="BO1284" t="s">
        <v>74</v>
      </c>
      <c r="BP1284" t="s">
        <v>74</v>
      </c>
      <c r="BQ1284" t="s">
        <v>74</v>
      </c>
      <c r="BR1284" t="s">
        <v>97</v>
      </c>
      <c r="BS1284" t="s">
        <v>21566</v>
      </c>
      <c r="BT1284" t="str">
        <f>HYPERLINK("https%3A%2F%2Fwww.webofscience.com%2Fwos%2Fwoscc%2Ffull-record%2FWOS:000461678300471","View Full Record in Web of Science")</f>
        <v>View Full Record in Web of Science</v>
      </c>
    </row>
    <row r="1285" spans="1:72" x14ac:dyDescent="0.25">
      <c r="A1285" t="s">
        <v>72</v>
      </c>
      <c r="B1285" t="s">
        <v>21567</v>
      </c>
      <c r="C1285" t="s">
        <v>74</v>
      </c>
      <c r="D1285" t="s">
        <v>74</v>
      </c>
      <c r="E1285" t="s">
        <v>74</v>
      </c>
      <c r="F1285" t="s">
        <v>21568</v>
      </c>
      <c r="G1285" t="s">
        <v>74</v>
      </c>
      <c r="H1285" t="s">
        <v>74</v>
      </c>
      <c r="I1285" t="s">
        <v>21569</v>
      </c>
      <c r="J1285" t="s">
        <v>21570</v>
      </c>
      <c r="K1285" t="s">
        <v>74</v>
      </c>
      <c r="L1285" t="s">
        <v>74</v>
      </c>
      <c r="M1285" t="s">
        <v>77</v>
      </c>
      <c r="N1285" t="s">
        <v>78</v>
      </c>
      <c r="O1285" t="s">
        <v>74</v>
      </c>
      <c r="P1285" t="s">
        <v>74</v>
      </c>
      <c r="Q1285" t="s">
        <v>74</v>
      </c>
      <c r="R1285" t="s">
        <v>74</v>
      </c>
      <c r="S1285" t="s">
        <v>74</v>
      </c>
      <c r="T1285" t="s">
        <v>21571</v>
      </c>
      <c r="U1285" t="s">
        <v>21572</v>
      </c>
      <c r="V1285" t="s">
        <v>21573</v>
      </c>
      <c r="W1285" t="s">
        <v>21574</v>
      </c>
      <c r="X1285" t="s">
        <v>21575</v>
      </c>
      <c r="Y1285" t="s">
        <v>21576</v>
      </c>
      <c r="Z1285" t="s">
        <v>21577</v>
      </c>
      <c r="AA1285" t="s">
        <v>21578</v>
      </c>
      <c r="AB1285" t="s">
        <v>21579</v>
      </c>
      <c r="AC1285" t="s">
        <v>74</v>
      </c>
      <c r="AD1285" t="s">
        <v>74</v>
      </c>
      <c r="AE1285" t="s">
        <v>74</v>
      </c>
      <c r="AF1285" t="s">
        <v>74</v>
      </c>
      <c r="AG1285">
        <v>34</v>
      </c>
      <c r="AH1285">
        <v>0</v>
      </c>
      <c r="AI1285">
        <v>0</v>
      </c>
      <c r="AJ1285">
        <v>4</v>
      </c>
      <c r="AK1285">
        <v>18</v>
      </c>
      <c r="AL1285" t="s">
        <v>1099</v>
      </c>
      <c r="AM1285" t="s">
        <v>305</v>
      </c>
      <c r="AN1285" t="s">
        <v>1100</v>
      </c>
      <c r="AO1285" t="s">
        <v>21580</v>
      </c>
      <c r="AP1285" t="s">
        <v>21581</v>
      </c>
      <c r="AQ1285" t="s">
        <v>74</v>
      </c>
      <c r="AR1285" t="s">
        <v>21582</v>
      </c>
      <c r="AS1285" t="s">
        <v>21583</v>
      </c>
      <c r="AT1285" t="s">
        <v>74</v>
      </c>
      <c r="AU1285">
        <v>2018</v>
      </c>
      <c r="AV1285">
        <v>33</v>
      </c>
      <c r="AW1285">
        <v>3</v>
      </c>
      <c r="AX1285" t="s">
        <v>74</v>
      </c>
      <c r="AY1285" t="s">
        <v>74</v>
      </c>
      <c r="AZ1285" t="s">
        <v>74</v>
      </c>
      <c r="BA1285" t="s">
        <v>74</v>
      </c>
      <c r="BB1285">
        <v>555</v>
      </c>
      <c r="BC1285">
        <v>577</v>
      </c>
      <c r="BD1285" t="s">
        <v>74</v>
      </c>
      <c r="BE1285" t="s">
        <v>21584</v>
      </c>
      <c r="BF1285" t="str">
        <f>HYPERLINK("http://dx.doi.org/10.1080/02134748.2018.1482054","http://dx.doi.org/10.1080/02134748.2018.1482054")</f>
        <v>http://dx.doi.org/10.1080/02134748.2018.1482054</v>
      </c>
      <c r="BG1285" t="s">
        <v>74</v>
      </c>
      <c r="BH1285" t="s">
        <v>74</v>
      </c>
      <c r="BI1285">
        <v>23</v>
      </c>
      <c r="BJ1285" t="s">
        <v>459</v>
      </c>
      <c r="BK1285" t="s">
        <v>94</v>
      </c>
      <c r="BL1285" t="s">
        <v>460</v>
      </c>
      <c r="BM1285" t="s">
        <v>21585</v>
      </c>
      <c r="BN1285" t="s">
        <v>74</v>
      </c>
      <c r="BO1285" t="s">
        <v>74</v>
      </c>
      <c r="BP1285" t="s">
        <v>74</v>
      </c>
      <c r="BQ1285" t="s">
        <v>74</v>
      </c>
      <c r="BR1285" t="s">
        <v>97</v>
      </c>
      <c r="BS1285" t="s">
        <v>21586</v>
      </c>
      <c r="BT1285" t="str">
        <f>HYPERLINK("https%3A%2F%2Fwww.webofscience.com%2Fwos%2Fwoscc%2Ffull-record%2FWOS:000441736200004","View Full Record in Web of Science")</f>
        <v>View Full Record in Web of Science</v>
      </c>
    </row>
    <row r="1286" spans="1:72" x14ac:dyDescent="0.25">
      <c r="A1286" t="s">
        <v>72</v>
      </c>
      <c r="B1286" t="s">
        <v>21587</v>
      </c>
      <c r="C1286" t="s">
        <v>74</v>
      </c>
      <c r="D1286" t="s">
        <v>74</v>
      </c>
      <c r="E1286" t="s">
        <v>74</v>
      </c>
      <c r="F1286" t="s">
        <v>21588</v>
      </c>
      <c r="G1286" t="s">
        <v>74</v>
      </c>
      <c r="H1286" t="s">
        <v>74</v>
      </c>
      <c r="I1286" t="s">
        <v>21589</v>
      </c>
      <c r="J1286" t="s">
        <v>5879</v>
      </c>
      <c r="K1286" t="s">
        <v>74</v>
      </c>
      <c r="L1286" t="s">
        <v>74</v>
      </c>
      <c r="M1286" t="s">
        <v>77</v>
      </c>
      <c r="N1286" t="s">
        <v>78</v>
      </c>
      <c r="O1286" t="s">
        <v>74</v>
      </c>
      <c r="P1286" t="s">
        <v>74</v>
      </c>
      <c r="Q1286" t="s">
        <v>74</v>
      </c>
      <c r="R1286" t="s">
        <v>74</v>
      </c>
      <c r="S1286" t="s">
        <v>74</v>
      </c>
      <c r="T1286" t="s">
        <v>21590</v>
      </c>
      <c r="U1286" t="s">
        <v>74</v>
      </c>
      <c r="V1286" t="s">
        <v>21591</v>
      </c>
      <c r="W1286" t="s">
        <v>21592</v>
      </c>
      <c r="X1286" t="s">
        <v>21593</v>
      </c>
      <c r="Y1286" t="s">
        <v>21594</v>
      </c>
      <c r="Z1286" t="s">
        <v>21595</v>
      </c>
      <c r="AA1286" t="s">
        <v>21596</v>
      </c>
      <c r="AB1286" t="s">
        <v>74</v>
      </c>
      <c r="AC1286" t="s">
        <v>74</v>
      </c>
      <c r="AD1286" t="s">
        <v>74</v>
      </c>
      <c r="AE1286" t="s">
        <v>74</v>
      </c>
      <c r="AF1286" t="s">
        <v>74</v>
      </c>
      <c r="AG1286">
        <v>9</v>
      </c>
      <c r="AH1286">
        <v>0</v>
      </c>
      <c r="AI1286">
        <v>0</v>
      </c>
      <c r="AJ1286">
        <v>2</v>
      </c>
      <c r="AK1286">
        <v>20</v>
      </c>
      <c r="AL1286" t="s">
        <v>511</v>
      </c>
      <c r="AM1286" t="s">
        <v>435</v>
      </c>
      <c r="AN1286" t="s">
        <v>512</v>
      </c>
      <c r="AO1286" t="s">
        <v>5887</v>
      </c>
      <c r="AP1286" t="s">
        <v>5888</v>
      </c>
      <c r="AQ1286" t="s">
        <v>74</v>
      </c>
      <c r="AR1286" t="s">
        <v>5889</v>
      </c>
      <c r="AS1286" t="s">
        <v>5890</v>
      </c>
      <c r="AT1286" t="s">
        <v>4815</v>
      </c>
      <c r="AU1286">
        <v>2017</v>
      </c>
      <c r="AV1286">
        <v>60</v>
      </c>
      <c r="AW1286">
        <v>5</v>
      </c>
      <c r="AX1286" t="s">
        <v>74</v>
      </c>
      <c r="AY1286" t="s">
        <v>74</v>
      </c>
      <c r="AZ1286" t="s">
        <v>74</v>
      </c>
      <c r="BA1286" t="s">
        <v>74</v>
      </c>
      <c r="BB1286">
        <v>597</v>
      </c>
      <c r="BC1286">
        <v>601</v>
      </c>
      <c r="BD1286" t="s">
        <v>74</v>
      </c>
      <c r="BE1286" t="s">
        <v>21597</v>
      </c>
      <c r="BF1286" t="str">
        <f>HYPERLINK("http://dx.doi.org/10.1016/j.bushor.2017.05.003","http://dx.doi.org/10.1016/j.bushor.2017.05.003")</f>
        <v>http://dx.doi.org/10.1016/j.bushor.2017.05.003</v>
      </c>
      <c r="BG1286" t="s">
        <v>74</v>
      </c>
      <c r="BH1286" t="s">
        <v>74</v>
      </c>
      <c r="BI1286">
        <v>5</v>
      </c>
      <c r="BJ1286" t="s">
        <v>337</v>
      </c>
      <c r="BK1286" t="s">
        <v>94</v>
      </c>
      <c r="BL1286" t="s">
        <v>95</v>
      </c>
      <c r="BM1286" t="s">
        <v>21598</v>
      </c>
      <c r="BN1286" t="s">
        <v>74</v>
      </c>
      <c r="BO1286" t="s">
        <v>378</v>
      </c>
      <c r="BP1286" t="s">
        <v>74</v>
      </c>
      <c r="BQ1286" t="s">
        <v>74</v>
      </c>
      <c r="BR1286" t="s">
        <v>97</v>
      </c>
      <c r="BS1286" t="s">
        <v>21599</v>
      </c>
      <c r="BT1286" t="str">
        <f>HYPERLINK("https%3A%2F%2Fwww.webofscience.com%2Fwos%2Fwoscc%2Ffull-record%2FWOS:000411302800004","View Full Record in Web of Science")</f>
        <v>View Full Record in Web of Science</v>
      </c>
    </row>
    <row r="1287" spans="1:72" x14ac:dyDescent="0.25">
      <c r="A1287" t="s">
        <v>72</v>
      </c>
      <c r="B1287" t="s">
        <v>21600</v>
      </c>
      <c r="C1287" t="s">
        <v>74</v>
      </c>
      <c r="D1287" t="s">
        <v>74</v>
      </c>
      <c r="E1287" t="s">
        <v>74</v>
      </c>
      <c r="F1287" t="s">
        <v>21601</v>
      </c>
      <c r="G1287" t="s">
        <v>74</v>
      </c>
      <c r="H1287" t="s">
        <v>74</v>
      </c>
      <c r="I1287" t="s">
        <v>21602</v>
      </c>
      <c r="J1287" t="s">
        <v>21603</v>
      </c>
      <c r="K1287" t="s">
        <v>74</v>
      </c>
      <c r="L1287" t="s">
        <v>74</v>
      </c>
      <c r="M1287" t="s">
        <v>12449</v>
      </c>
      <c r="N1287" t="s">
        <v>78</v>
      </c>
      <c r="O1287" t="s">
        <v>74</v>
      </c>
      <c r="P1287" t="s">
        <v>74</v>
      </c>
      <c r="Q1287" t="s">
        <v>74</v>
      </c>
      <c r="R1287" t="s">
        <v>74</v>
      </c>
      <c r="S1287" t="s">
        <v>74</v>
      </c>
      <c r="T1287" t="s">
        <v>21604</v>
      </c>
      <c r="U1287" t="s">
        <v>21605</v>
      </c>
      <c r="V1287" t="s">
        <v>21606</v>
      </c>
      <c r="W1287" t="s">
        <v>21607</v>
      </c>
      <c r="X1287" t="s">
        <v>11708</v>
      </c>
      <c r="Y1287" t="s">
        <v>21608</v>
      </c>
      <c r="Z1287" t="s">
        <v>21609</v>
      </c>
      <c r="AA1287" t="s">
        <v>21610</v>
      </c>
      <c r="AB1287" t="s">
        <v>21611</v>
      </c>
      <c r="AC1287" t="s">
        <v>74</v>
      </c>
      <c r="AD1287" t="s">
        <v>74</v>
      </c>
      <c r="AE1287" t="s">
        <v>74</v>
      </c>
      <c r="AF1287" t="s">
        <v>74</v>
      </c>
      <c r="AG1287">
        <v>60</v>
      </c>
      <c r="AH1287">
        <v>0</v>
      </c>
      <c r="AI1287">
        <v>0</v>
      </c>
      <c r="AJ1287">
        <v>0</v>
      </c>
      <c r="AK1287">
        <v>6</v>
      </c>
      <c r="AL1287" t="s">
        <v>21612</v>
      </c>
      <c r="AM1287" t="s">
        <v>21613</v>
      </c>
      <c r="AN1287" t="s">
        <v>21614</v>
      </c>
      <c r="AO1287" t="s">
        <v>21615</v>
      </c>
      <c r="AP1287" t="s">
        <v>21616</v>
      </c>
      <c r="AQ1287" t="s">
        <v>74</v>
      </c>
      <c r="AR1287" t="s">
        <v>21617</v>
      </c>
      <c r="AS1287" t="s">
        <v>21618</v>
      </c>
      <c r="AT1287" t="s">
        <v>74</v>
      </c>
      <c r="AU1287">
        <v>2015</v>
      </c>
      <c r="AV1287" t="s">
        <v>74</v>
      </c>
      <c r="AW1287">
        <v>39</v>
      </c>
      <c r="AX1287" t="s">
        <v>74</v>
      </c>
      <c r="AY1287" t="s">
        <v>74</v>
      </c>
      <c r="AZ1287" t="s">
        <v>74</v>
      </c>
      <c r="BA1287" t="s">
        <v>74</v>
      </c>
      <c r="BB1287">
        <v>109</v>
      </c>
      <c r="BC1287">
        <v>141</v>
      </c>
      <c r="BD1287" t="s">
        <v>74</v>
      </c>
      <c r="BE1287" t="s">
        <v>74</v>
      </c>
      <c r="BF1287" t="s">
        <v>74</v>
      </c>
      <c r="BG1287" t="s">
        <v>74</v>
      </c>
      <c r="BH1287" t="s">
        <v>74</v>
      </c>
      <c r="BI1287">
        <v>33</v>
      </c>
      <c r="BJ1287" t="s">
        <v>2599</v>
      </c>
      <c r="BK1287" t="s">
        <v>94</v>
      </c>
      <c r="BL1287" t="s">
        <v>95</v>
      </c>
      <c r="BM1287" t="s">
        <v>21619</v>
      </c>
      <c r="BN1287" t="s">
        <v>74</v>
      </c>
      <c r="BO1287" t="s">
        <v>74</v>
      </c>
      <c r="BP1287" t="s">
        <v>74</v>
      </c>
      <c r="BQ1287" t="s">
        <v>74</v>
      </c>
      <c r="BR1287" t="s">
        <v>97</v>
      </c>
      <c r="BS1287" t="s">
        <v>21620</v>
      </c>
      <c r="BT1287" t="str">
        <f>HYPERLINK("https%3A%2F%2Fwww.webofscience.com%2Fwos%2Fwoscc%2Ffull-record%2FWOS:000356559100005","View Full Record in Web of Science")</f>
        <v>View Full Record in Web of Science</v>
      </c>
    </row>
    <row r="1288" spans="1:72" x14ac:dyDescent="0.25">
      <c r="A1288" t="s">
        <v>72</v>
      </c>
      <c r="B1288" t="s">
        <v>21621</v>
      </c>
      <c r="C1288" t="s">
        <v>74</v>
      </c>
      <c r="D1288" t="s">
        <v>74</v>
      </c>
      <c r="E1288" t="s">
        <v>74</v>
      </c>
      <c r="F1288" t="s">
        <v>21622</v>
      </c>
      <c r="G1288" t="s">
        <v>74</v>
      </c>
      <c r="H1288" t="s">
        <v>74</v>
      </c>
      <c r="I1288" t="s">
        <v>21623</v>
      </c>
      <c r="J1288" t="s">
        <v>16633</v>
      </c>
      <c r="K1288" t="s">
        <v>74</v>
      </c>
      <c r="L1288" t="s">
        <v>74</v>
      </c>
      <c r="M1288" t="s">
        <v>16634</v>
      </c>
      <c r="N1288" t="s">
        <v>78</v>
      </c>
      <c r="O1288" t="s">
        <v>74</v>
      </c>
      <c r="P1288" t="s">
        <v>74</v>
      </c>
      <c r="Q1288" t="s">
        <v>74</v>
      </c>
      <c r="R1288" t="s">
        <v>74</v>
      </c>
      <c r="S1288" t="s">
        <v>74</v>
      </c>
      <c r="T1288" t="s">
        <v>21624</v>
      </c>
      <c r="U1288" t="s">
        <v>21625</v>
      </c>
      <c r="V1288" t="s">
        <v>21626</v>
      </c>
      <c r="W1288" t="s">
        <v>21627</v>
      </c>
      <c r="X1288" t="s">
        <v>1891</v>
      </c>
      <c r="Y1288" t="s">
        <v>21628</v>
      </c>
      <c r="Z1288" t="s">
        <v>21629</v>
      </c>
      <c r="AA1288" t="s">
        <v>74</v>
      </c>
      <c r="AB1288" t="s">
        <v>74</v>
      </c>
      <c r="AC1288" t="s">
        <v>74</v>
      </c>
      <c r="AD1288" t="s">
        <v>74</v>
      </c>
      <c r="AE1288" t="s">
        <v>74</v>
      </c>
      <c r="AF1288" t="s">
        <v>74</v>
      </c>
      <c r="AG1288">
        <v>67</v>
      </c>
      <c r="AH1288">
        <v>0</v>
      </c>
      <c r="AI1288">
        <v>0</v>
      </c>
      <c r="AJ1288">
        <v>9</v>
      </c>
      <c r="AK1288">
        <v>29</v>
      </c>
      <c r="AL1288" t="s">
        <v>16642</v>
      </c>
      <c r="AM1288" t="s">
        <v>16643</v>
      </c>
      <c r="AN1288" t="s">
        <v>16644</v>
      </c>
      <c r="AO1288" t="s">
        <v>16645</v>
      </c>
      <c r="AP1288" t="s">
        <v>16646</v>
      </c>
      <c r="AQ1288" t="s">
        <v>74</v>
      </c>
      <c r="AR1288" t="s">
        <v>16647</v>
      </c>
      <c r="AS1288" t="s">
        <v>16648</v>
      </c>
      <c r="AT1288" t="s">
        <v>496</v>
      </c>
      <c r="AU1288">
        <v>2014</v>
      </c>
      <c r="AV1288">
        <v>27</v>
      </c>
      <c r="AW1288">
        <v>3</v>
      </c>
      <c r="AX1288" t="s">
        <v>74</v>
      </c>
      <c r="AY1288" t="s">
        <v>74</v>
      </c>
      <c r="AZ1288" t="s">
        <v>74</v>
      </c>
      <c r="BA1288" t="s">
        <v>74</v>
      </c>
      <c r="BB1288">
        <v>269</v>
      </c>
      <c r="BC1288">
        <v>289</v>
      </c>
      <c r="BD1288" t="s">
        <v>74</v>
      </c>
      <c r="BE1288" t="s">
        <v>74</v>
      </c>
      <c r="BF1288" t="s">
        <v>74</v>
      </c>
      <c r="BG1288" t="s">
        <v>74</v>
      </c>
      <c r="BH1288" t="s">
        <v>74</v>
      </c>
      <c r="BI1288">
        <v>21</v>
      </c>
      <c r="BJ1288" t="s">
        <v>16650</v>
      </c>
      <c r="BK1288" t="s">
        <v>94</v>
      </c>
      <c r="BL1288" t="s">
        <v>460</v>
      </c>
      <c r="BM1288" t="s">
        <v>21630</v>
      </c>
      <c r="BN1288" t="s">
        <v>74</v>
      </c>
      <c r="BO1288" t="s">
        <v>74</v>
      </c>
      <c r="BP1288" t="s">
        <v>74</v>
      </c>
      <c r="BQ1288" t="s">
        <v>74</v>
      </c>
      <c r="BR1288" t="s">
        <v>97</v>
      </c>
      <c r="BS1288" t="s">
        <v>21631</v>
      </c>
      <c r="BT1288" t="str">
        <f>HYPERLINK("https%3A%2F%2Fwww.webofscience.com%2Fwos%2Fwoscc%2Ffull-record%2FWOS:000343782200002","View Full Record in Web of Science")</f>
        <v>View Full Record in Web of Science</v>
      </c>
    </row>
    <row r="1289" spans="1:72" x14ac:dyDescent="0.25">
      <c r="A1289" t="s">
        <v>72</v>
      </c>
      <c r="B1289" t="s">
        <v>21632</v>
      </c>
      <c r="C1289" t="s">
        <v>74</v>
      </c>
      <c r="D1289" t="s">
        <v>74</v>
      </c>
      <c r="E1289" t="s">
        <v>74</v>
      </c>
      <c r="F1289" t="s">
        <v>21633</v>
      </c>
      <c r="G1289" t="s">
        <v>74</v>
      </c>
      <c r="H1289" t="s">
        <v>74</v>
      </c>
      <c r="I1289" t="s">
        <v>21634</v>
      </c>
      <c r="J1289" t="s">
        <v>21635</v>
      </c>
      <c r="K1289" t="s">
        <v>74</v>
      </c>
      <c r="L1289" t="s">
        <v>74</v>
      </c>
      <c r="M1289" t="s">
        <v>11465</v>
      </c>
      <c r="N1289" t="s">
        <v>78</v>
      </c>
      <c r="O1289" t="s">
        <v>74</v>
      </c>
      <c r="P1289" t="s">
        <v>74</v>
      </c>
      <c r="Q1289" t="s">
        <v>74</v>
      </c>
      <c r="R1289" t="s">
        <v>74</v>
      </c>
      <c r="S1289" t="s">
        <v>74</v>
      </c>
      <c r="T1289" t="s">
        <v>21636</v>
      </c>
      <c r="U1289" t="s">
        <v>74</v>
      </c>
      <c r="V1289" t="s">
        <v>21637</v>
      </c>
      <c r="W1289" t="s">
        <v>21638</v>
      </c>
      <c r="X1289" t="s">
        <v>74</v>
      </c>
      <c r="Y1289" t="s">
        <v>21639</v>
      </c>
      <c r="Z1289" t="s">
        <v>21640</v>
      </c>
      <c r="AA1289" t="s">
        <v>74</v>
      </c>
      <c r="AB1289" t="s">
        <v>74</v>
      </c>
      <c r="AC1289" t="s">
        <v>74</v>
      </c>
      <c r="AD1289" t="s">
        <v>74</v>
      </c>
      <c r="AE1289" t="s">
        <v>74</v>
      </c>
      <c r="AF1289" t="s">
        <v>74</v>
      </c>
      <c r="AG1289">
        <v>6</v>
      </c>
      <c r="AH1289">
        <v>0</v>
      </c>
      <c r="AI1289">
        <v>0</v>
      </c>
      <c r="AJ1289">
        <v>1</v>
      </c>
      <c r="AK1289">
        <v>5</v>
      </c>
      <c r="AL1289" t="s">
        <v>21641</v>
      </c>
      <c r="AM1289" t="s">
        <v>21642</v>
      </c>
      <c r="AN1289" t="s">
        <v>21643</v>
      </c>
      <c r="AO1289" t="s">
        <v>21644</v>
      </c>
      <c r="AP1289" t="s">
        <v>21645</v>
      </c>
      <c r="AQ1289" t="s">
        <v>74</v>
      </c>
      <c r="AR1289" t="s">
        <v>21646</v>
      </c>
      <c r="AS1289" t="s">
        <v>21647</v>
      </c>
      <c r="AT1289" t="s">
        <v>91</v>
      </c>
      <c r="AU1289">
        <v>2014</v>
      </c>
      <c r="AV1289">
        <v>5</v>
      </c>
      <c r="AW1289">
        <v>6</v>
      </c>
      <c r="AX1289" t="s">
        <v>74</v>
      </c>
      <c r="AY1289" t="s">
        <v>74</v>
      </c>
      <c r="AZ1289" t="s">
        <v>74</v>
      </c>
      <c r="BA1289" t="s">
        <v>74</v>
      </c>
      <c r="BB1289">
        <v>240</v>
      </c>
      <c r="BC1289">
        <v>247</v>
      </c>
      <c r="BD1289" t="s">
        <v>74</v>
      </c>
      <c r="BE1289" t="s">
        <v>74</v>
      </c>
      <c r="BF1289" t="s">
        <v>74</v>
      </c>
      <c r="BG1289" t="s">
        <v>74</v>
      </c>
      <c r="BH1289" t="s">
        <v>74</v>
      </c>
      <c r="BI1289">
        <v>8</v>
      </c>
      <c r="BJ1289" t="s">
        <v>5435</v>
      </c>
      <c r="BK1289" t="s">
        <v>283</v>
      </c>
      <c r="BL1289" t="s">
        <v>5436</v>
      </c>
      <c r="BM1289" t="s">
        <v>21648</v>
      </c>
      <c r="BN1289" t="s">
        <v>74</v>
      </c>
      <c r="BO1289" t="s">
        <v>74</v>
      </c>
      <c r="BP1289" t="s">
        <v>74</v>
      </c>
      <c r="BQ1289" t="s">
        <v>74</v>
      </c>
      <c r="BR1289" t="s">
        <v>97</v>
      </c>
      <c r="BS1289" t="s">
        <v>21649</v>
      </c>
      <c r="BT1289" t="str">
        <f>HYPERLINK("https%3A%2F%2Fwww.webofscience.com%2Fwos%2Fwoscc%2Ffull-record%2FWOS:000345545800004","View Full Record in Web of Science")</f>
        <v>View Full Record in Web of Science</v>
      </c>
    </row>
    <row r="1290" spans="1:72" x14ac:dyDescent="0.25">
      <c r="A1290" t="s">
        <v>72</v>
      </c>
      <c r="B1290" t="s">
        <v>21650</v>
      </c>
      <c r="C1290" t="s">
        <v>74</v>
      </c>
      <c r="D1290" t="s">
        <v>74</v>
      </c>
      <c r="E1290" t="s">
        <v>74</v>
      </c>
      <c r="F1290" t="s">
        <v>21651</v>
      </c>
      <c r="G1290" t="s">
        <v>74</v>
      </c>
      <c r="H1290" t="s">
        <v>74</v>
      </c>
      <c r="I1290" t="s">
        <v>21652</v>
      </c>
      <c r="J1290" t="s">
        <v>21653</v>
      </c>
      <c r="K1290" t="s">
        <v>74</v>
      </c>
      <c r="L1290" t="s">
        <v>74</v>
      </c>
      <c r="M1290" t="s">
        <v>16634</v>
      </c>
      <c r="N1290" t="s">
        <v>78</v>
      </c>
      <c r="O1290" t="s">
        <v>74</v>
      </c>
      <c r="P1290" t="s">
        <v>74</v>
      </c>
      <c r="Q1290" t="s">
        <v>74</v>
      </c>
      <c r="R1290" t="s">
        <v>74</v>
      </c>
      <c r="S1290" t="s">
        <v>74</v>
      </c>
      <c r="T1290" t="s">
        <v>74</v>
      </c>
      <c r="U1290" t="s">
        <v>21654</v>
      </c>
      <c r="V1290" t="s">
        <v>21655</v>
      </c>
      <c r="W1290" t="s">
        <v>21656</v>
      </c>
      <c r="X1290" t="s">
        <v>3230</v>
      </c>
      <c r="Y1290" t="s">
        <v>21657</v>
      </c>
      <c r="Z1290" t="s">
        <v>11132</v>
      </c>
      <c r="AA1290" t="s">
        <v>74</v>
      </c>
      <c r="AB1290" t="s">
        <v>21658</v>
      </c>
      <c r="AC1290" t="s">
        <v>74</v>
      </c>
      <c r="AD1290" t="s">
        <v>74</v>
      </c>
      <c r="AE1290" t="s">
        <v>74</v>
      </c>
      <c r="AF1290" t="s">
        <v>74</v>
      </c>
      <c r="AG1290">
        <v>66</v>
      </c>
      <c r="AH1290">
        <v>0</v>
      </c>
      <c r="AI1290">
        <v>0</v>
      </c>
      <c r="AJ1290">
        <v>2</v>
      </c>
      <c r="AK1290">
        <v>13</v>
      </c>
      <c r="AL1290" t="s">
        <v>21659</v>
      </c>
      <c r="AM1290" t="s">
        <v>21660</v>
      </c>
      <c r="AN1290" t="s">
        <v>21661</v>
      </c>
      <c r="AO1290" t="s">
        <v>21662</v>
      </c>
      <c r="AP1290" t="s">
        <v>74</v>
      </c>
      <c r="AQ1290" t="s">
        <v>74</v>
      </c>
      <c r="AR1290" t="s">
        <v>21663</v>
      </c>
      <c r="AS1290" t="s">
        <v>21664</v>
      </c>
      <c r="AT1290" t="s">
        <v>74</v>
      </c>
      <c r="AU1290">
        <v>2014</v>
      </c>
      <c r="AV1290">
        <v>91</v>
      </c>
      <c r="AW1290">
        <v>4</v>
      </c>
      <c r="AX1290" t="s">
        <v>74</v>
      </c>
      <c r="AY1290" t="s">
        <v>74</v>
      </c>
      <c r="AZ1290" t="s">
        <v>74</v>
      </c>
      <c r="BA1290" t="s">
        <v>74</v>
      </c>
      <c r="BB1290">
        <v>218</v>
      </c>
      <c r="BC1290">
        <v>233</v>
      </c>
      <c r="BD1290" t="s">
        <v>74</v>
      </c>
      <c r="BE1290" t="s">
        <v>74</v>
      </c>
      <c r="BF1290" t="s">
        <v>74</v>
      </c>
      <c r="BG1290" t="s">
        <v>74</v>
      </c>
      <c r="BH1290" t="s">
        <v>74</v>
      </c>
      <c r="BI1290">
        <v>16</v>
      </c>
      <c r="BJ1290" t="s">
        <v>815</v>
      </c>
      <c r="BK1290" t="s">
        <v>94</v>
      </c>
      <c r="BL1290" t="s">
        <v>815</v>
      </c>
      <c r="BM1290" t="s">
        <v>21665</v>
      </c>
      <c r="BN1290" t="s">
        <v>74</v>
      </c>
      <c r="BO1290" t="s">
        <v>74</v>
      </c>
      <c r="BP1290" t="s">
        <v>74</v>
      </c>
      <c r="BQ1290" t="s">
        <v>74</v>
      </c>
      <c r="BR1290" t="s">
        <v>97</v>
      </c>
      <c r="BS1290" t="s">
        <v>21666</v>
      </c>
      <c r="BT1290" t="str">
        <f>HYPERLINK("https%3A%2F%2Fwww.webofscience.com%2Fwos%2Fwoscc%2Ffull-record%2FWOS:000340076600001","View Full Record in Web of Science")</f>
        <v>View Full Record in Web of Science</v>
      </c>
    </row>
    <row r="1291" spans="1:72" x14ac:dyDescent="0.25">
      <c r="A1291" t="s">
        <v>72</v>
      </c>
      <c r="B1291" t="s">
        <v>18726</v>
      </c>
      <c r="C1291" t="s">
        <v>74</v>
      </c>
      <c r="D1291" t="s">
        <v>74</v>
      </c>
      <c r="E1291" t="s">
        <v>74</v>
      </c>
      <c r="F1291" t="s">
        <v>18727</v>
      </c>
      <c r="G1291" t="s">
        <v>74</v>
      </c>
      <c r="H1291" t="s">
        <v>74</v>
      </c>
      <c r="I1291" t="s">
        <v>21667</v>
      </c>
      <c r="J1291" t="s">
        <v>18729</v>
      </c>
      <c r="K1291" t="s">
        <v>74</v>
      </c>
      <c r="L1291" t="s">
        <v>74</v>
      </c>
      <c r="M1291" t="s">
        <v>77</v>
      </c>
      <c r="N1291" t="s">
        <v>78</v>
      </c>
      <c r="O1291" t="s">
        <v>74</v>
      </c>
      <c r="P1291" t="s">
        <v>74</v>
      </c>
      <c r="Q1291" t="s">
        <v>74</v>
      </c>
      <c r="R1291" t="s">
        <v>74</v>
      </c>
      <c r="S1291" t="s">
        <v>74</v>
      </c>
      <c r="T1291" t="s">
        <v>21668</v>
      </c>
      <c r="U1291" t="s">
        <v>21669</v>
      </c>
      <c r="V1291" t="s">
        <v>21670</v>
      </c>
      <c r="W1291" t="s">
        <v>18733</v>
      </c>
      <c r="X1291" t="s">
        <v>1242</v>
      </c>
      <c r="Y1291" t="s">
        <v>18734</v>
      </c>
      <c r="Z1291" t="s">
        <v>18735</v>
      </c>
      <c r="AA1291" t="s">
        <v>21671</v>
      </c>
      <c r="AB1291" t="s">
        <v>21672</v>
      </c>
      <c r="AC1291" t="s">
        <v>21673</v>
      </c>
      <c r="AD1291" t="s">
        <v>21673</v>
      </c>
      <c r="AE1291" t="s">
        <v>21674</v>
      </c>
      <c r="AF1291" t="s">
        <v>74</v>
      </c>
      <c r="AG1291">
        <v>37</v>
      </c>
      <c r="AH1291">
        <v>0</v>
      </c>
      <c r="AI1291">
        <v>0</v>
      </c>
      <c r="AJ1291">
        <v>1</v>
      </c>
      <c r="AK1291">
        <v>6</v>
      </c>
      <c r="AL1291" t="s">
        <v>218</v>
      </c>
      <c r="AM1291" t="s">
        <v>219</v>
      </c>
      <c r="AN1291" t="s">
        <v>220</v>
      </c>
      <c r="AO1291" t="s">
        <v>18740</v>
      </c>
      <c r="AP1291" t="s">
        <v>21675</v>
      </c>
      <c r="AQ1291" t="s">
        <v>74</v>
      </c>
      <c r="AR1291" t="s">
        <v>18741</v>
      </c>
      <c r="AS1291" t="s">
        <v>18742</v>
      </c>
      <c r="AT1291" t="s">
        <v>405</v>
      </c>
      <c r="AU1291">
        <v>2012</v>
      </c>
      <c r="AV1291">
        <v>73</v>
      </c>
      <c r="AW1291">
        <v>1</v>
      </c>
      <c r="AX1291" t="s">
        <v>74</v>
      </c>
      <c r="AY1291" t="s">
        <v>74</v>
      </c>
      <c r="AZ1291" t="s">
        <v>74</v>
      </c>
      <c r="BA1291" t="s">
        <v>74</v>
      </c>
      <c r="BB1291">
        <v>51</v>
      </c>
      <c r="BC1291">
        <v>58</v>
      </c>
      <c r="BD1291" t="s">
        <v>74</v>
      </c>
      <c r="BE1291" t="s">
        <v>21676</v>
      </c>
      <c r="BF1291" t="str">
        <f>HYPERLINK("http://dx.doi.org/10.1002/ddr.20489","http://dx.doi.org/10.1002/ddr.20489")</f>
        <v>http://dx.doi.org/10.1002/ddr.20489</v>
      </c>
      <c r="BG1291" t="s">
        <v>74</v>
      </c>
      <c r="BH1291" t="s">
        <v>74</v>
      </c>
      <c r="BI1291">
        <v>8</v>
      </c>
      <c r="BJ1291" t="s">
        <v>18744</v>
      </c>
      <c r="BK1291" t="s">
        <v>147</v>
      </c>
      <c r="BL1291" t="s">
        <v>18745</v>
      </c>
      <c r="BM1291" t="s">
        <v>21677</v>
      </c>
      <c r="BN1291" t="s">
        <v>74</v>
      </c>
      <c r="BO1291" t="s">
        <v>74</v>
      </c>
      <c r="BP1291" t="s">
        <v>74</v>
      </c>
      <c r="BQ1291" t="s">
        <v>74</v>
      </c>
      <c r="BR1291" t="s">
        <v>97</v>
      </c>
      <c r="BS1291" t="s">
        <v>21678</v>
      </c>
      <c r="BT1291" t="str">
        <f>HYPERLINK("https%3A%2F%2Fwww.webofscience.com%2Fwos%2Fwoscc%2Ffull-record%2FWOS:000300873200007","View Full Record in Web of Science")</f>
        <v>View Full Record in Web of Science</v>
      </c>
    </row>
    <row r="1292" spans="1:72" x14ac:dyDescent="0.25">
      <c r="A1292" t="s">
        <v>72</v>
      </c>
      <c r="B1292" t="s">
        <v>21679</v>
      </c>
      <c r="C1292" t="s">
        <v>74</v>
      </c>
      <c r="D1292" t="s">
        <v>74</v>
      </c>
      <c r="E1292" t="s">
        <v>74</v>
      </c>
      <c r="F1292" t="s">
        <v>21680</v>
      </c>
      <c r="G1292" t="s">
        <v>74</v>
      </c>
      <c r="H1292" t="s">
        <v>74</v>
      </c>
      <c r="I1292" t="s">
        <v>21681</v>
      </c>
      <c r="J1292" t="s">
        <v>21682</v>
      </c>
      <c r="K1292" t="s">
        <v>74</v>
      </c>
      <c r="L1292" t="s">
        <v>74</v>
      </c>
      <c r="M1292" t="s">
        <v>21683</v>
      </c>
      <c r="N1292" t="s">
        <v>78</v>
      </c>
      <c r="O1292" t="s">
        <v>74</v>
      </c>
      <c r="P1292" t="s">
        <v>74</v>
      </c>
      <c r="Q1292" t="s">
        <v>74</v>
      </c>
      <c r="R1292" t="s">
        <v>74</v>
      </c>
      <c r="S1292" t="s">
        <v>74</v>
      </c>
      <c r="T1292" t="s">
        <v>21684</v>
      </c>
      <c r="U1292" t="s">
        <v>74</v>
      </c>
      <c r="V1292" t="s">
        <v>21685</v>
      </c>
      <c r="W1292" t="s">
        <v>21686</v>
      </c>
      <c r="X1292" t="s">
        <v>21687</v>
      </c>
      <c r="Y1292" t="s">
        <v>21688</v>
      </c>
      <c r="Z1292" t="s">
        <v>74</v>
      </c>
      <c r="AA1292" t="s">
        <v>21689</v>
      </c>
      <c r="AB1292" t="s">
        <v>21690</v>
      </c>
      <c r="AC1292" t="s">
        <v>74</v>
      </c>
      <c r="AD1292" t="s">
        <v>74</v>
      </c>
      <c r="AE1292" t="s">
        <v>74</v>
      </c>
      <c r="AF1292" t="s">
        <v>74</v>
      </c>
      <c r="AG1292">
        <v>13</v>
      </c>
      <c r="AH1292">
        <v>0</v>
      </c>
      <c r="AI1292">
        <v>0</v>
      </c>
      <c r="AJ1292">
        <v>0</v>
      </c>
      <c r="AK1292">
        <v>1</v>
      </c>
      <c r="AL1292" t="s">
        <v>21691</v>
      </c>
      <c r="AM1292" t="s">
        <v>21692</v>
      </c>
      <c r="AN1292" t="s">
        <v>21693</v>
      </c>
      <c r="AO1292" t="s">
        <v>21694</v>
      </c>
      <c r="AP1292" t="s">
        <v>74</v>
      </c>
      <c r="AQ1292" t="s">
        <v>74</v>
      </c>
      <c r="AR1292" t="s">
        <v>21695</v>
      </c>
      <c r="AS1292" t="s">
        <v>21696</v>
      </c>
      <c r="AT1292" t="s">
        <v>74</v>
      </c>
      <c r="AU1292">
        <v>2010</v>
      </c>
      <c r="AV1292" t="s">
        <v>74</v>
      </c>
      <c r="AW1292">
        <v>106</v>
      </c>
      <c r="AX1292" t="s">
        <v>74</v>
      </c>
      <c r="AY1292" t="s">
        <v>74</v>
      </c>
      <c r="AZ1292" t="s">
        <v>74</v>
      </c>
      <c r="BA1292" t="s">
        <v>74</v>
      </c>
      <c r="BB1292">
        <v>17</v>
      </c>
      <c r="BC1292">
        <v>25</v>
      </c>
      <c r="BD1292" t="s">
        <v>74</v>
      </c>
      <c r="BE1292" t="s">
        <v>74</v>
      </c>
      <c r="BF1292" t="s">
        <v>74</v>
      </c>
      <c r="BG1292" t="s">
        <v>74</v>
      </c>
      <c r="BH1292" t="s">
        <v>74</v>
      </c>
      <c r="BI1292">
        <v>9</v>
      </c>
      <c r="BJ1292" t="s">
        <v>2599</v>
      </c>
      <c r="BK1292" t="s">
        <v>94</v>
      </c>
      <c r="BL1292" t="s">
        <v>95</v>
      </c>
      <c r="BM1292" t="s">
        <v>21697</v>
      </c>
      <c r="BN1292" t="s">
        <v>74</v>
      </c>
      <c r="BO1292" t="s">
        <v>74</v>
      </c>
      <c r="BP1292" t="s">
        <v>74</v>
      </c>
      <c r="BQ1292" t="s">
        <v>74</v>
      </c>
      <c r="BR1292" t="s">
        <v>97</v>
      </c>
      <c r="BS1292" t="s">
        <v>21698</v>
      </c>
      <c r="BT1292" t="str">
        <f>HYPERLINK("https%3A%2F%2Fwww.webofscience.com%2Fwos%2Fwoscc%2Ffull-record%2FWOS:000277686600004","View Full Record in Web of Science")</f>
        <v>View Full Record in Web of Science</v>
      </c>
    </row>
    <row r="1293" spans="1:72" x14ac:dyDescent="0.25">
      <c r="A1293" t="s">
        <v>72</v>
      </c>
      <c r="B1293" t="s">
        <v>21699</v>
      </c>
      <c r="C1293" t="s">
        <v>74</v>
      </c>
      <c r="D1293" t="s">
        <v>74</v>
      </c>
      <c r="E1293" t="s">
        <v>74</v>
      </c>
      <c r="F1293" t="s">
        <v>21700</v>
      </c>
      <c r="G1293" t="s">
        <v>74</v>
      </c>
      <c r="H1293" t="s">
        <v>74</v>
      </c>
      <c r="I1293" t="s">
        <v>21701</v>
      </c>
      <c r="J1293" t="s">
        <v>21641</v>
      </c>
      <c r="K1293" t="s">
        <v>74</v>
      </c>
      <c r="L1293" t="s">
        <v>74</v>
      </c>
      <c r="M1293" t="s">
        <v>11465</v>
      </c>
      <c r="N1293" t="s">
        <v>78</v>
      </c>
      <c r="O1293" t="s">
        <v>74</v>
      </c>
      <c r="P1293" t="s">
        <v>74</v>
      </c>
      <c r="Q1293" t="s">
        <v>74</v>
      </c>
      <c r="R1293" t="s">
        <v>74</v>
      </c>
      <c r="S1293" t="s">
        <v>74</v>
      </c>
      <c r="T1293" t="s">
        <v>21702</v>
      </c>
      <c r="U1293" t="s">
        <v>21703</v>
      </c>
      <c r="V1293" t="s">
        <v>21704</v>
      </c>
      <c r="W1293" t="s">
        <v>21705</v>
      </c>
      <c r="X1293" t="s">
        <v>74</v>
      </c>
      <c r="Y1293" t="s">
        <v>21706</v>
      </c>
      <c r="Z1293" t="s">
        <v>21707</v>
      </c>
      <c r="AA1293" t="s">
        <v>74</v>
      </c>
      <c r="AB1293" t="s">
        <v>74</v>
      </c>
      <c r="AC1293" t="s">
        <v>74</v>
      </c>
      <c r="AD1293" t="s">
        <v>74</v>
      </c>
      <c r="AE1293" t="s">
        <v>74</v>
      </c>
      <c r="AF1293" t="s">
        <v>74</v>
      </c>
      <c r="AG1293">
        <v>23</v>
      </c>
      <c r="AH1293">
        <v>0</v>
      </c>
      <c r="AI1293">
        <v>0</v>
      </c>
      <c r="AJ1293">
        <v>0</v>
      </c>
      <c r="AK1293">
        <v>29</v>
      </c>
      <c r="AL1293" t="s">
        <v>21641</v>
      </c>
      <c r="AM1293" t="s">
        <v>21642</v>
      </c>
      <c r="AN1293" t="s">
        <v>21643</v>
      </c>
      <c r="AO1293" t="s">
        <v>21708</v>
      </c>
      <c r="AP1293" t="s">
        <v>74</v>
      </c>
      <c r="AQ1293" t="s">
        <v>74</v>
      </c>
      <c r="AR1293" t="s">
        <v>21641</v>
      </c>
      <c r="AS1293" t="s">
        <v>21709</v>
      </c>
      <c r="AT1293" t="s">
        <v>91</v>
      </c>
      <c r="AU1293">
        <v>2009</v>
      </c>
      <c r="AV1293">
        <v>16</v>
      </c>
      <c r="AW1293">
        <v>6</v>
      </c>
      <c r="AX1293" t="s">
        <v>74</v>
      </c>
      <c r="AY1293" t="s">
        <v>74</v>
      </c>
      <c r="AZ1293" t="s">
        <v>74</v>
      </c>
      <c r="BA1293" t="s">
        <v>74</v>
      </c>
      <c r="BB1293">
        <v>186</v>
      </c>
      <c r="BC1293">
        <v>191</v>
      </c>
      <c r="BD1293" t="s">
        <v>74</v>
      </c>
      <c r="BE1293" t="s">
        <v>74</v>
      </c>
      <c r="BF1293" t="s">
        <v>74</v>
      </c>
      <c r="BG1293" t="s">
        <v>74</v>
      </c>
      <c r="BH1293" t="s">
        <v>74</v>
      </c>
      <c r="BI1293">
        <v>6</v>
      </c>
      <c r="BJ1293" t="s">
        <v>5435</v>
      </c>
      <c r="BK1293" t="s">
        <v>283</v>
      </c>
      <c r="BL1293" t="s">
        <v>5436</v>
      </c>
      <c r="BM1293" t="s">
        <v>21710</v>
      </c>
      <c r="BN1293" t="s">
        <v>74</v>
      </c>
      <c r="BO1293" t="s">
        <v>74</v>
      </c>
      <c r="BP1293" t="s">
        <v>74</v>
      </c>
      <c r="BQ1293" t="s">
        <v>74</v>
      </c>
      <c r="BR1293" t="s">
        <v>97</v>
      </c>
      <c r="BS1293" t="s">
        <v>21711</v>
      </c>
      <c r="BT1293" t="str">
        <f>HYPERLINK("https%3A%2F%2Fwww.webofscience.com%2Fwos%2Fwoscc%2Ffull-record%2FWOS:000267091800003","View Full Record in Web of Science")</f>
        <v>View Full Record in Web of Science</v>
      </c>
    </row>
    <row r="1294" spans="1:72" x14ac:dyDescent="0.25">
      <c r="A1294" t="s">
        <v>72</v>
      </c>
      <c r="B1294" t="s">
        <v>21712</v>
      </c>
      <c r="C1294" t="s">
        <v>74</v>
      </c>
      <c r="D1294" t="s">
        <v>74</v>
      </c>
      <c r="E1294" t="s">
        <v>74</v>
      </c>
      <c r="F1294" t="s">
        <v>21713</v>
      </c>
      <c r="G1294" t="s">
        <v>74</v>
      </c>
      <c r="H1294" t="s">
        <v>74</v>
      </c>
      <c r="I1294" t="s">
        <v>21714</v>
      </c>
      <c r="J1294" t="s">
        <v>21715</v>
      </c>
      <c r="K1294" t="s">
        <v>74</v>
      </c>
      <c r="L1294" t="s">
        <v>74</v>
      </c>
      <c r="M1294" t="s">
        <v>77</v>
      </c>
      <c r="N1294" t="s">
        <v>78</v>
      </c>
      <c r="O1294" t="s">
        <v>74</v>
      </c>
      <c r="P1294" t="s">
        <v>74</v>
      </c>
      <c r="Q1294" t="s">
        <v>74</v>
      </c>
      <c r="R1294" t="s">
        <v>74</v>
      </c>
      <c r="S1294" t="s">
        <v>74</v>
      </c>
      <c r="T1294" t="s">
        <v>21716</v>
      </c>
      <c r="U1294" t="s">
        <v>74</v>
      </c>
      <c r="V1294" t="s">
        <v>21717</v>
      </c>
      <c r="W1294" t="s">
        <v>21718</v>
      </c>
      <c r="X1294" t="s">
        <v>7909</v>
      </c>
      <c r="Y1294" t="s">
        <v>21719</v>
      </c>
      <c r="Z1294" t="s">
        <v>21720</v>
      </c>
      <c r="AA1294" t="s">
        <v>74</v>
      </c>
      <c r="AB1294" t="s">
        <v>74</v>
      </c>
      <c r="AC1294" t="s">
        <v>74</v>
      </c>
      <c r="AD1294" t="s">
        <v>74</v>
      </c>
      <c r="AE1294" t="s">
        <v>74</v>
      </c>
      <c r="AF1294" t="s">
        <v>74</v>
      </c>
      <c r="AG1294">
        <v>16</v>
      </c>
      <c r="AH1294">
        <v>0</v>
      </c>
      <c r="AI1294">
        <v>0</v>
      </c>
      <c r="AJ1294">
        <v>0</v>
      </c>
      <c r="AK1294">
        <v>1</v>
      </c>
      <c r="AL1294" t="s">
        <v>21721</v>
      </c>
      <c r="AM1294" t="s">
        <v>21722</v>
      </c>
      <c r="AN1294" t="s">
        <v>21723</v>
      </c>
      <c r="AO1294" t="s">
        <v>21724</v>
      </c>
      <c r="AP1294" t="s">
        <v>74</v>
      </c>
      <c r="AQ1294" t="s">
        <v>74</v>
      </c>
      <c r="AR1294" t="s">
        <v>21725</v>
      </c>
      <c r="AS1294" t="s">
        <v>21726</v>
      </c>
      <c r="AT1294" t="s">
        <v>74</v>
      </c>
      <c r="AU1294">
        <v>2009</v>
      </c>
      <c r="AV1294" t="s">
        <v>74</v>
      </c>
      <c r="AW1294" t="s">
        <v>74</v>
      </c>
      <c r="AX1294" t="s">
        <v>74</v>
      </c>
      <c r="AY1294">
        <v>91</v>
      </c>
      <c r="AZ1294" t="s">
        <v>74</v>
      </c>
      <c r="BA1294" t="s">
        <v>74</v>
      </c>
      <c r="BB1294">
        <v>65</v>
      </c>
      <c r="BC1294">
        <v>71</v>
      </c>
      <c r="BD1294" t="s">
        <v>74</v>
      </c>
      <c r="BE1294" t="s">
        <v>74</v>
      </c>
      <c r="BF1294" t="s">
        <v>74</v>
      </c>
      <c r="BG1294" t="s">
        <v>74</v>
      </c>
      <c r="BH1294" t="s">
        <v>74</v>
      </c>
      <c r="BI1294">
        <v>7</v>
      </c>
      <c r="BJ1294" t="s">
        <v>5435</v>
      </c>
      <c r="BK1294" t="s">
        <v>283</v>
      </c>
      <c r="BL1294" t="s">
        <v>5436</v>
      </c>
      <c r="BM1294" t="s">
        <v>21727</v>
      </c>
      <c r="BN1294" t="s">
        <v>74</v>
      </c>
      <c r="BO1294" t="s">
        <v>74</v>
      </c>
      <c r="BP1294" t="s">
        <v>74</v>
      </c>
      <c r="BQ1294" t="s">
        <v>74</v>
      </c>
      <c r="BR1294" t="s">
        <v>97</v>
      </c>
      <c r="BS1294" t="s">
        <v>21728</v>
      </c>
      <c r="BT1294" t="str">
        <f>HYPERLINK("https%3A%2F%2Fwww.webofscience.com%2Fwos%2Fwoscc%2Ffull-record%2FWOS:000279294700005","View Full Record in Web of Science")</f>
        <v>View Full Record in Web of Science</v>
      </c>
    </row>
    <row r="1295" spans="1:72" x14ac:dyDescent="0.25">
      <c r="A1295" t="s">
        <v>72</v>
      </c>
      <c r="B1295" t="s">
        <v>21729</v>
      </c>
      <c r="C1295" t="s">
        <v>74</v>
      </c>
      <c r="D1295" t="s">
        <v>74</v>
      </c>
      <c r="E1295" t="s">
        <v>74</v>
      </c>
      <c r="F1295" t="s">
        <v>21730</v>
      </c>
      <c r="G1295" t="s">
        <v>74</v>
      </c>
      <c r="H1295" t="s">
        <v>74</v>
      </c>
      <c r="I1295" t="s">
        <v>21731</v>
      </c>
      <c r="J1295" t="s">
        <v>21732</v>
      </c>
      <c r="K1295" t="s">
        <v>74</v>
      </c>
      <c r="L1295" t="s">
        <v>74</v>
      </c>
      <c r="M1295" t="s">
        <v>12449</v>
      </c>
      <c r="N1295" t="s">
        <v>78</v>
      </c>
      <c r="O1295" t="s">
        <v>74</v>
      </c>
      <c r="P1295" t="s">
        <v>74</v>
      </c>
      <c r="Q1295" t="s">
        <v>74</v>
      </c>
      <c r="R1295" t="s">
        <v>74</v>
      </c>
      <c r="S1295" t="s">
        <v>74</v>
      </c>
      <c r="T1295" t="s">
        <v>21733</v>
      </c>
      <c r="U1295" t="s">
        <v>74</v>
      </c>
      <c r="V1295" t="s">
        <v>21734</v>
      </c>
      <c r="W1295" t="s">
        <v>21735</v>
      </c>
      <c r="X1295" t="s">
        <v>21736</v>
      </c>
      <c r="Y1295" t="s">
        <v>21737</v>
      </c>
      <c r="Z1295" t="s">
        <v>21738</v>
      </c>
      <c r="AA1295" t="s">
        <v>74</v>
      </c>
      <c r="AB1295" t="s">
        <v>74</v>
      </c>
      <c r="AC1295" t="s">
        <v>74</v>
      </c>
      <c r="AD1295" t="s">
        <v>74</v>
      </c>
      <c r="AE1295" t="s">
        <v>74</v>
      </c>
      <c r="AF1295" t="s">
        <v>74</v>
      </c>
      <c r="AG1295">
        <v>31</v>
      </c>
      <c r="AH1295">
        <v>0</v>
      </c>
      <c r="AI1295">
        <v>1</v>
      </c>
      <c r="AJ1295">
        <v>0</v>
      </c>
      <c r="AK1295">
        <v>1</v>
      </c>
      <c r="AL1295" t="s">
        <v>21739</v>
      </c>
      <c r="AM1295" t="s">
        <v>21740</v>
      </c>
      <c r="AN1295" t="s">
        <v>21741</v>
      </c>
      <c r="AO1295" t="s">
        <v>21742</v>
      </c>
      <c r="AP1295" t="s">
        <v>74</v>
      </c>
      <c r="AQ1295" t="s">
        <v>74</v>
      </c>
      <c r="AR1295" t="s">
        <v>21743</v>
      </c>
      <c r="AS1295" t="s">
        <v>21744</v>
      </c>
      <c r="AT1295" t="s">
        <v>21416</v>
      </c>
      <c r="AU1295">
        <v>2008</v>
      </c>
      <c r="AV1295">
        <v>67</v>
      </c>
      <c r="AW1295">
        <v>264</v>
      </c>
      <c r="AX1295" t="s">
        <v>74</v>
      </c>
      <c r="AY1295" t="s">
        <v>74</v>
      </c>
      <c r="AZ1295" t="s">
        <v>74</v>
      </c>
      <c r="BA1295" t="s">
        <v>74</v>
      </c>
      <c r="BB1295">
        <v>131</v>
      </c>
      <c r="BC1295" t="s">
        <v>2838</v>
      </c>
      <c r="BD1295" t="s">
        <v>74</v>
      </c>
      <c r="BE1295" t="s">
        <v>74</v>
      </c>
      <c r="BF1295" t="s">
        <v>74</v>
      </c>
      <c r="BG1295" t="s">
        <v>74</v>
      </c>
      <c r="BH1295" t="s">
        <v>74</v>
      </c>
      <c r="BI1295">
        <v>36</v>
      </c>
      <c r="BJ1295" t="s">
        <v>2599</v>
      </c>
      <c r="BK1295" t="s">
        <v>94</v>
      </c>
      <c r="BL1295" t="s">
        <v>95</v>
      </c>
      <c r="BM1295" t="s">
        <v>21745</v>
      </c>
      <c r="BN1295" t="s">
        <v>74</v>
      </c>
      <c r="BO1295" t="s">
        <v>74</v>
      </c>
      <c r="BP1295" t="s">
        <v>74</v>
      </c>
      <c r="BQ1295" t="s">
        <v>74</v>
      </c>
      <c r="BR1295" t="s">
        <v>97</v>
      </c>
      <c r="BS1295" t="s">
        <v>21746</v>
      </c>
      <c r="BT1295" t="str">
        <f>HYPERLINK("https%3A%2F%2Fwww.webofscience.com%2Fwos%2Fwoscc%2Ffull-record%2FWOS:000256003200005","View Full Record in Web of Science")</f>
        <v>View Full Record in Web of Science</v>
      </c>
    </row>
    <row r="1296" spans="1:72" x14ac:dyDescent="0.25">
      <c r="A1296" t="s">
        <v>72</v>
      </c>
      <c r="B1296" t="s">
        <v>21747</v>
      </c>
      <c r="C1296" t="s">
        <v>74</v>
      </c>
      <c r="D1296" t="s">
        <v>74</v>
      </c>
      <c r="E1296" t="s">
        <v>74</v>
      </c>
      <c r="F1296" t="s">
        <v>21748</v>
      </c>
      <c r="G1296" t="s">
        <v>74</v>
      </c>
      <c r="H1296" t="s">
        <v>74</v>
      </c>
      <c r="I1296" t="s">
        <v>21749</v>
      </c>
      <c r="J1296" t="s">
        <v>9190</v>
      </c>
      <c r="K1296" t="s">
        <v>74</v>
      </c>
      <c r="L1296" t="s">
        <v>74</v>
      </c>
      <c r="M1296" t="s">
        <v>77</v>
      </c>
      <c r="N1296" t="s">
        <v>78</v>
      </c>
      <c r="O1296" t="s">
        <v>74</v>
      </c>
      <c r="P1296" t="s">
        <v>74</v>
      </c>
      <c r="Q1296" t="s">
        <v>74</v>
      </c>
      <c r="R1296" t="s">
        <v>74</v>
      </c>
      <c r="S1296" t="s">
        <v>74</v>
      </c>
      <c r="T1296" t="s">
        <v>74</v>
      </c>
      <c r="U1296" t="s">
        <v>263</v>
      </c>
      <c r="V1296" t="s">
        <v>21750</v>
      </c>
      <c r="W1296" t="s">
        <v>21751</v>
      </c>
      <c r="X1296" t="s">
        <v>21752</v>
      </c>
      <c r="Y1296" t="s">
        <v>21753</v>
      </c>
      <c r="Z1296" t="s">
        <v>21754</v>
      </c>
      <c r="AA1296" t="s">
        <v>74</v>
      </c>
      <c r="AB1296" t="s">
        <v>74</v>
      </c>
      <c r="AC1296" t="s">
        <v>74</v>
      </c>
      <c r="AD1296" t="s">
        <v>74</v>
      </c>
      <c r="AE1296" t="s">
        <v>74</v>
      </c>
      <c r="AF1296" t="s">
        <v>74</v>
      </c>
      <c r="AG1296">
        <v>6</v>
      </c>
      <c r="AH1296">
        <v>0</v>
      </c>
      <c r="AI1296">
        <v>0</v>
      </c>
      <c r="AJ1296">
        <v>0</v>
      </c>
      <c r="AK1296">
        <v>13</v>
      </c>
      <c r="AL1296" t="s">
        <v>766</v>
      </c>
      <c r="AM1296" t="s">
        <v>1193</v>
      </c>
      <c r="AN1296" t="s">
        <v>1498</v>
      </c>
      <c r="AO1296" t="s">
        <v>9197</v>
      </c>
      <c r="AP1296" t="s">
        <v>74</v>
      </c>
      <c r="AQ1296" t="s">
        <v>74</v>
      </c>
      <c r="AR1296" t="s">
        <v>9190</v>
      </c>
      <c r="AS1296" t="s">
        <v>9198</v>
      </c>
      <c r="AT1296" t="s">
        <v>375</v>
      </c>
      <c r="AU1296">
        <v>2006</v>
      </c>
      <c r="AV1296">
        <v>69</v>
      </c>
      <c r="AW1296">
        <v>3</v>
      </c>
      <c r="AX1296" t="s">
        <v>74</v>
      </c>
      <c r="AY1296" t="s">
        <v>74</v>
      </c>
      <c r="AZ1296" t="s">
        <v>74</v>
      </c>
      <c r="BA1296" t="s">
        <v>74</v>
      </c>
      <c r="BB1296">
        <v>607</v>
      </c>
      <c r="BC1296">
        <v>614</v>
      </c>
      <c r="BD1296" t="s">
        <v>74</v>
      </c>
      <c r="BE1296" t="s">
        <v>21755</v>
      </c>
      <c r="BF1296" t="str">
        <f>HYPERLINK("http://dx.doi.org/10.1007/s11192-006-0172-3","http://dx.doi.org/10.1007/s11192-006-0172-3")</f>
        <v>http://dx.doi.org/10.1007/s11192-006-0172-3</v>
      </c>
      <c r="BG1296" t="s">
        <v>74</v>
      </c>
      <c r="BH1296" t="s">
        <v>74</v>
      </c>
      <c r="BI1296">
        <v>8</v>
      </c>
      <c r="BJ1296" t="s">
        <v>9200</v>
      </c>
      <c r="BK1296" t="s">
        <v>147</v>
      </c>
      <c r="BL1296" t="s">
        <v>9201</v>
      </c>
      <c r="BM1296" t="s">
        <v>21756</v>
      </c>
      <c r="BN1296" t="s">
        <v>74</v>
      </c>
      <c r="BO1296" t="s">
        <v>74</v>
      </c>
      <c r="BP1296" t="s">
        <v>74</v>
      </c>
      <c r="BQ1296" t="s">
        <v>74</v>
      </c>
      <c r="BR1296" t="s">
        <v>97</v>
      </c>
      <c r="BS1296" t="s">
        <v>21757</v>
      </c>
      <c r="BT1296" t="str">
        <f>HYPERLINK("https%3A%2F%2Fwww.webofscience.com%2Fwos%2Fwoscc%2Ffull-record%2FWOS:000242672200009","View Full Record in Web of Science")</f>
        <v>View Full Record in Web of Science</v>
      </c>
    </row>
    <row r="1297" spans="1:72" x14ac:dyDescent="0.25">
      <c r="A1297" t="s">
        <v>72</v>
      </c>
      <c r="B1297" t="s">
        <v>21758</v>
      </c>
      <c r="C1297" t="s">
        <v>74</v>
      </c>
      <c r="D1297" t="s">
        <v>74</v>
      </c>
      <c r="E1297" t="s">
        <v>74</v>
      </c>
      <c r="F1297" t="s">
        <v>21758</v>
      </c>
      <c r="G1297" t="s">
        <v>74</v>
      </c>
      <c r="H1297" t="s">
        <v>74</v>
      </c>
      <c r="I1297" t="s">
        <v>21759</v>
      </c>
      <c r="J1297" t="s">
        <v>21760</v>
      </c>
      <c r="K1297" t="s">
        <v>74</v>
      </c>
      <c r="L1297" t="s">
        <v>74</v>
      </c>
      <c r="M1297" t="s">
        <v>11465</v>
      </c>
      <c r="N1297" t="s">
        <v>78</v>
      </c>
      <c r="O1297" t="s">
        <v>74</v>
      </c>
      <c r="P1297" t="s">
        <v>74</v>
      </c>
      <c r="Q1297" t="s">
        <v>74</v>
      </c>
      <c r="R1297" t="s">
        <v>74</v>
      </c>
      <c r="S1297" t="s">
        <v>74</v>
      </c>
      <c r="T1297" t="s">
        <v>74</v>
      </c>
      <c r="U1297" t="s">
        <v>74</v>
      </c>
      <c r="V1297" t="s">
        <v>74</v>
      </c>
      <c r="W1297" t="s">
        <v>74</v>
      </c>
      <c r="X1297" t="s">
        <v>74</v>
      </c>
      <c r="Y1297" t="s">
        <v>21761</v>
      </c>
      <c r="Z1297" t="s">
        <v>74</v>
      </c>
      <c r="AA1297" t="s">
        <v>74</v>
      </c>
      <c r="AB1297" t="s">
        <v>74</v>
      </c>
      <c r="AC1297" t="s">
        <v>74</v>
      </c>
      <c r="AD1297" t="s">
        <v>74</v>
      </c>
      <c r="AE1297" t="s">
        <v>74</v>
      </c>
      <c r="AF1297" t="s">
        <v>74</v>
      </c>
      <c r="AG1297">
        <v>5</v>
      </c>
      <c r="AH1297">
        <v>0</v>
      </c>
      <c r="AI1297">
        <v>0</v>
      </c>
      <c r="AJ1297">
        <v>0</v>
      </c>
      <c r="AK1297">
        <v>2</v>
      </c>
      <c r="AL1297" t="s">
        <v>21762</v>
      </c>
      <c r="AM1297" t="s">
        <v>21763</v>
      </c>
      <c r="AN1297" t="s">
        <v>21764</v>
      </c>
      <c r="AO1297" t="s">
        <v>21765</v>
      </c>
      <c r="AP1297" t="s">
        <v>74</v>
      </c>
      <c r="AQ1297" t="s">
        <v>74</v>
      </c>
      <c r="AR1297" t="s">
        <v>21766</v>
      </c>
      <c r="AS1297" t="s">
        <v>74</v>
      </c>
      <c r="AT1297" t="s">
        <v>74</v>
      </c>
      <c r="AU1297">
        <v>1979</v>
      </c>
      <c r="AV1297">
        <v>49</v>
      </c>
      <c r="AW1297">
        <v>1</v>
      </c>
      <c r="AX1297" t="s">
        <v>74</v>
      </c>
      <c r="AY1297" t="s">
        <v>74</v>
      </c>
      <c r="AZ1297" t="s">
        <v>74</v>
      </c>
      <c r="BA1297" t="s">
        <v>74</v>
      </c>
      <c r="BB1297">
        <v>72</v>
      </c>
      <c r="BC1297">
        <v>78</v>
      </c>
      <c r="BD1297" t="s">
        <v>74</v>
      </c>
      <c r="BE1297" t="s">
        <v>74</v>
      </c>
      <c r="BF1297" t="s">
        <v>74</v>
      </c>
      <c r="BG1297" t="s">
        <v>74</v>
      </c>
      <c r="BH1297" t="s">
        <v>74</v>
      </c>
      <c r="BI1297">
        <v>7</v>
      </c>
      <c r="BJ1297" t="s">
        <v>1199</v>
      </c>
      <c r="BK1297" t="s">
        <v>94</v>
      </c>
      <c r="BL1297" t="s">
        <v>95</v>
      </c>
      <c r="BM1297" t="s">
        <v>21767</v>
      </c>
      <c r="BN1297" t="s">
        <v>74</v>
      </c>
      <c r="BO1297" t="s">
        <v>74</v>
      </c>
      <c r="BP1297" t="s">
        <v>74</v>
      </c>
      <c r="BQ1297" t="s">
        <v>74</v>
      </c>
      <c r="BR1297" t="s">
        <v>97</v>
      </c>
      <c r="BS1297" t="s">
        <v>21768</v>
      </c>
      <c r="BT1297" t="str">
        <f>HYPERLINK("https%3A%2F%2Fwww.webofscience.com%2Fwos%2Fwoscc%2Ffull-record%2FWOS:A1979GL32900007","View Full Record in Web of Science")</f>
        <v>View Full Record in Web of Science</v>
      </c>
    </row>
    <row r="1298" spans="1:72" x14ac:dyDescent="0.25">
      <c r="A1298" t="s">
        <v>72</v>
      </c>
      <c r="B1298" t="s">
        <v>21769</v>
      </c>
      <c r="C1298" t="s">
        <v>74</v>
      </c>
      <c r="D1298" t="s">
        <v>74</v>
      </c>
      <c r="E1298" t="s">
        <v>74</v>
      </c>
      <c r="F1298" t="s">
        <v>21769</v>
      </c>
      <c r="G1298" t="s">
        <v>74</v>
      </c>
      <c r="H1298" t="s">
        <v>74</v>
      </c>
      <c r="I1298" t="s">
        <v>21770</v>
      </c>
      <c r="J1298" t="s">
        <v>318</v>
      </c>
      <c r="K1298" t="s">
        <v>74</v>
      </c>
      <c r="L1298" t="s">
        <v>74</v>
      </c>
      <c r="M1298" t="s">
        <v>77</v>
      </c>
      <c r="N1298" t="s">
        <v>78</v>
      </c>
      <c r="O1298" t="s">
        <v>74</v>
      </c>
      <c r="P1298" t="s">
        <v>74</v>
      </c>
      <c r="Q1298" t="s">
        <v>74</v>
      </c>
      <c r="R1298" t="s">
        <v>74</v>
      </c>
      <c r="S1298" t="s">
        <v>74</v>
      </c>
      <c r="T1298" t="s">
        <v>74</v>
      </c>
      <c r="U1298" t="s">
        <v>74</v>
      </c>
      <c r="V1298" t="s">
        <v>74</v>
      </c>
      <c r="W1298" t="s">
        <v>21771</v>
      </c>
      <c r="X1298" t="s">
        <v>21772</v>
      </c>
      <c r="Y1298" t="s">
        <v>74</v>
      </c>
      <c r="Z1298" t="s">
        <v>74</v>
      </c>
      <c r="AA1298" t="s">
        <v>74</v>
      </c>
      <c r="AB1298" t="s">
        <v>74</v>
      </c>
      <c r="AC1298" t="s">
        <v>74</v>
      </c>
      <c r="AD1298" t="s">
        <v>74</v>
      </c>
      <c r="AE1298" t="s">
        <v>74</v>
      </c>
      <c r="AF1298" t="s">
        <v>74</v>
      </c>
      <c r="AG1298">
        <v>11</v>
      </c>
      <c r="AH1298">
        <v>0</v>
      </c>
      <c r="AI1298">
        <v>0</v>
      </c>
      <c r="AJ1298">
        <v>0</v>
      </c>
      <c r="AK1298">
        <v>1</v>
      </c>
      <c r="AL1298" t="s">
        <v>329</v>
      </c>
      <c r="AM1298" t="s">
        <v>330</v>
      </c>
      <c r="AN1298" t="s">
        <v>21773</v>
      </c>
      <c r="AO1298" t="s">
        <v>332</v>
      </c>
      <c r="AP1298" t="s">
        <v>74</v>
      </c>
      <c r="AQ1298" t="s">
        <v>74</v>
      </c>
      <c r="AR1298" t="s">
        <v>334</v>
      </c>
      <c r="AS1298" t="s">
        <v>335</v>
      </c>
      <c r="AT1298" t="s">
        <v>74</v>
      </c>
      <c r="AU1298">
        <v>1977</v>
      </c>
      <c r="AV1298">
        <v>5</v>
      </c>
      <c r="AW1298">
        <v>3</v>
      </c>
      <c r="AX1298" t="s">
        <v>74</v>
      </c>
      <c r="AY1298" t="s">
        <v>74</v>
      </c>
      <c r="AZ1298" t="s">
        <v>74</v>
      </c>
      <c r="BA1298" t="s">
        <v>74</v>
      </c>
      <c r="BB1298">
        <v>249</v>
      </c>
      <c r="BC1298">
        <v>259</v>
      </c>
      <c r="BD1298" t="s">
        <v>74</v>
      </c>
      <c r="BE1298" t="s">
        <v>21774</v>
      </c>
      <c r="BF1298" t="str">
        <f>HYPERLINK("http://dx.doi.org/10.1016/0148-2963(77)90014-5","http://dx.doi.org/10.1016/0148-2963(77)90014-5")</f>
        <v>http://dx.doi.org/10.1016/0148-2963(77)90014-5</v>
      </c>
      <c r="BG1298" t="s">
        <v>74</v>
      </c>
      <c r="BH1298" t="s">
        <v>74</v>
      </c>
      <c r="BI1298">
        <v>11</v>
      </c>
      <c r="BJ1298" t="s">
        <v>337</v>
      </c>
      <c r="BK1298" t="s">
        <v>94</v>
      </c>
      <c r="BL1298" t="s">
        <v>95</v>
      </c>
      <c r="BM1298" t="s">
        <v>21775</v>
      </c>
      <c r="BN1298" t="s">
        <v>74</v>
      </c>
      <c r="BO1298" t="s">
        <v>74</v>
      </c>
      <c r="BP1298" t="s">
        <v>74</v>
      </c>
      <c r="BQ1298" t="s">
        <v>74</v>
      </c>
      <c r="BR1298" t="s">
        <v>97</v>
      </c>
      <c r="BS1298" t="s">
        <v>21776</v>
      </c>
      <c r="BT1298" t="str">
        <f>HYPERLINK("https%3A%2F%2Fwww.webofscience.com%2Fwos%2Fwoscc%2Ffull-record%2FWOS:A1977EE75900004","View Full Record in Web of Science")</f>
        <v>View Full Record in Web of Science</v>
      </c>
    </row>
    <row r="1299" spans="1:72" x14ac:dyDescent="0.25">
      <c r="A1299" t="s">
        <v>72</v>
      </c>
      <c r="B1299" t="s">
        <v>21777</v>
      </c>
      <c r="C1299" t="s">
        <v>74</v>
      </c>
      <c r="D1299" t="s">
        <v>74</v>
      </c>
      <c r="E1299" t="s">
        <v>74</v>
      </c>
      <c r="F1299" t="s">
        <v>21777</v>
      </c>
      <c r="G1299" t="s">
        <v>74</v>
      </c>
      <c r="H1299" t="s">
        <v>74</v>
      </c>
      <c r="I1299" t="s">
        <v>21778</v>
      </c>
      <c r="J1299" t="s">
        <v>21779</v>
      </c>
      <c r="K1299" t="s">
        <v>74</v>
      </c>
      <c r="L1299" t="s">
        <v>74</v>
      </c>
      <c r="M1299" t="s">
        <v>21780</v>
      </c>
      <c r="N1299" t="s">
        <v>78</v>
      </c>
      <c r="O1299" t="s">
        <v>74</v>
      </c>
      <c r="P1299" t="s">
        <v>74</v>
      </c>
      <c r="Q1299" t="s">
        <v>74</v>
      </c>
      <c r="R1299" t="s">
        <v>74</v>
      </c>
      <c r="S1299" t="s">
        <v>74</v>
      </c>
      <c r="T1299" t="s">
        <v>74</v>
      </c>
      <c r="U1299" t="s">
        <v>74</v>
      </c>
      <c r="V1299" t="s">
        <v>74</v>
      </c>
      <c r="W1299" t="s">
        <v>74</v>
      </c>
      <c r="X1299" t="s">
        <v>74</v>
      </c>
      <c r="Y1299" t="s">
        <v>74</v>
      </c>
      <c r="Z1299" t="s">
        <v>74</v>
      </c>
      <c r="AA1299" t="s">
        <v>74</v>
      </c>
      <c r="AB1299" t="s">
        <v>74</v>
      </c>
      <c r="AC1299" t="s">
        <v>74</v>
      </c>
      <c r="AD1299" t="s">
        <v>74</v>
      </c>
      <c r="AE1299" t="s">
        <v>74</v>
      </c>
      <c r="AF1299" t="s">
        <v>74</v>
      </c>
      <c r="AG1299">
        <v>19</v>
      </c>
      <c r="AH1299">
        <v>0</v>
      </c>
      <c r="AI1299">
        <v>0</v>
      </c>
      <c r="AJ1299">
        <v>0</v>
      </c>
      <c r="AK1299">
        <v>3</v>
      </c>
      <c r="AL1299" t="s">
        <v>21781</v>
      </c>
      <c r="AM1299" t="s">
        <v>21782</v>
      </c>
      <c r="AN1299" t="s">
        <v>21783</v>
      </c>
      <c r="AO1299" t="s">
        <v>21784</v>
      </c>
      <c r="AP1299" t="s">
        <v>74</v>
      </c>
      <c r="AQ1299" t="s">
        <v>74</v>
      </c>
      <c r="AR1299" t="s">
        <v>21779</v>
      </c>
      <c r="AS1299" t="s">
        <v>74</v>
      </c>
      <c r="AT1299" t="s">
        <v>74</v>
      </c>
      <c r="AU1299">
        <v>1976</v>
      </c>
      <c r="AV1299">
        <v>22</v>
      </c>
      <c r="AW1299">
        <v>2</v>
      </c>
      <c r="AX1299" t="s">
        <v>74</v>
      </c>
      <c r="AY1299" t="s">
        <v>74</v>
      </c>
      <c r="AZ1299" t="s">
        <v>74</v>
      </c>
      <c r="BA1299" t="s">
        <v>74</v>
      </c>
      <c r="BB1299">
        <v>170</v>
      </c>
      <c r="BC1299">
        <v>181</v>
      </c>
      <c r="BD1299" t="s">
        <v>74</v>
      </c>
      <c r="BE1299" t="s">
        <v>74</v>
      </c>
      <c r="BF1299" t="s">
        <v>74</v>
      </c>
      <c r="BG1299" t="s">
        <v>74</v>
      </c>
      <c r="BH1299" t="s">
        <v>74</v>
      </c>
      <c r="BI1299">
        <v>12</v>
      </c>
      <c r="BJ1299" t="s">
        <v>21785</v>
      </c>
      <c r="BK1299" t="s">
        <v>94</v>
      </c>
      <c r="BL1299" t="s">
        <v>1792</v>
      </c>
      <c r="BM1299" t="s">
        <v>21786</v>
      </c>
      <c r="BN1299" t="s">
        <v>74</v>
      </c>
      <c r="BO1299" t="s">
        <v>74</v>
      </c>
      <c r="BP1299" t="s">
        <v>74</v>
      </c>
      <c r="BQ1299" t="s">
        <v>74</v>
      </c>
      <c r="BR1299" t="s">
        <v>97</v>
      </c>
      <c r="BS1299" t="s">
        <v>21787</v>
      </c>
      <c r="BT1299" t="str">
        <f>HYPERLINK("https%3A%2F%2Fwww.webofscience.com%2Fwos%2Fwoscc%2Ffull-record%2FWOS:A1976BT13400002","View Full Record in Web of Science")</f>
        <v>View Full Record in Web of Science</v>
      </c>
    </row>
    <row r="1300" spans="1:72" x14ac:dyDescent="0.25">
      <c r="A1300" t="s">
        <v>72</v>
      </c>
      <c r="B1300" t="s">
        <v>21788</v>
      </c>
      <c r="C1300" t="s">
        <v>74</v>
      </c>
      <c r="D1300" t="s">
        <v>74</v>
      </c>
      <c r="E1300" t="s">
        <v>74</v>
      </c>
      <c r="F1300" t="s">
        <v>21788</v>
      </c>
      <c r="G1300" t="s">
        <v>74</v>
      </c>
      <c r="H1300" t="s">
        <v>74</v>
      </c>
      <c r="I1300" t="s">
        <v>21789</v>
      </c>
      <c r="J1300" t="s">
        <v>21790</v>
      </c>
      <c r="K1300" t="s">
        <v>74</v>
      </c>
      <c r="L1300" t="s">
        <v>74</v>
      </c>
      <c r="M1300" t="s">
        <v>77</v>
      </c>
      <c r="N1300" t="s">
        <v>78</v>
      </c>
      <c r="O1300" t="s">
        <v>74</v>
      </c>
      <c r="P1300" t="s">
        <v>74</v>
      </c>
      <c r="Q1300" t="s">
        <v>74</v>
      </c>
      <c r="R1300" t="s">
        <v>74</v>
      </c>
      <c r="S1300" t="s">
        <v>74</v>
      </c>
      <c r="T1300" t="s">
        <v>74</v>
      </c>
      <c r="U1300" t="s">
        <v>74</v>
      </c>
      <c r="V1300" t="s">
        <v>74</v>
      </c>
      <c r="W1300" t="s">
        <v>21791</v>
      </c>
      <c r="X1300" t="s">
        <v>21772</v>
      </c>
      <c r="Y1300" t="s">
        <v>74</v>
      </c>
      <c r="Z1300" t="s">
        <v>74</v>
      </c>
      <c r="AA1300" t="s">
        <v>74</v>
      </c>
      <c r="AB1300" t="s">
        <v>74</v>
      </c>
      <c r="AC1300" t="s">
        <v>74</v>
      </c>
      <c r="AD1300" t="s">
        <v>74</v>
      </c>
      <c r="AE1300" t="s">
        <v>74</v>
      </c>
      <c r="AF1300" t="s">
        <v>74</v>
      </c>
      <c r="AG1300">
        <v>13</v>
      </c>
      <c r="AH1300">
        <v>0</v>
      </c>
      <c r="AI1300">
        <v>0</v>
      </c>
      <c r="AJ1300">
        <v>0</v>
      </c>
      <c r="AK1300">
        <v>1</v>
      </c>
      <c r="AL1300" t="s">
        <v>329</v>
      </c>
      <c r="AM1300" t="s">
        <v>330</v>
      </c>
      <c r="AN1300" t="s">
        <v>730</v>
      </c>
      <c r="AO1300" t="s">
        <v>21792</v>
      </c>
      <c r="AP1300" t="s">
        <v>74</v>
      </c>
      <c r="AQ1300" t="s">
        <v>74</v>
      </c>
      <c r="AR1300" t="s">
        <v>21793</v>
      </c>
      <c r="AS1300" t="s">
        <v>21794</v>
      </c>
      <c r="AT1300" t="s">
        <v>74</v>
      </c>
      <c r="AU1300">
        <v>1974</v>
      </c>
      <c r="AV1300">
        <v>26</v>
      </c>
      <c r="AW1300">
        <v>2</v>
      </c>
      <c r="AX1300" t="s">
        <v>74</v>
      </c>
      <c r="AY1300" t="s">
        <v>74</v>
      </c>
      <c r="AZ1300" t="s">
        <v>74</v>
      </c>
      <c r="BA1300" t="s">
        <v>74</v>
      </c>
      <c r="BB1300">
        <v>144</v>
      </c>
      <c r="BC1300">
        <v>150</v>
      </c>
      <c r="BD1300" t="s">
        <v>74</v>
      </c>
      <c r="BE1300" t="s">
        <v>74</v>
      </c>
      <c r="BF1300" t="s">
        <v>74</v>
      </c>
      <c r="BG1300" t="s">
        <v>74</v>
      </c>
      <c r="BH1300" t="s">
        <v>74</v>
      </c>
      <c r="BI1300">
        <v>7</v>
      </c>
      <c r="BJ1300" t="s">
        <v>21795</v>
      </c>
      <c r="BK1300" t="s">
        <v>94</v>
      </c>
      <c r="BL1300" t="s">
        <v>95</v>
      </c>
      <c r="BM1300" t="s">
        <v>21796</v>
      </c>
      <c r="BN1300" t="s">
        <v>74</v>
      </c>
      <c r="BO1300" t="s">
        <v>74</v>
      </c>
      <c r="BP1300" t="s">
        <v>74</v>
      </c>
      <c r="BQ1300" t="s">
        <v>74</v>
      </c>
      <c r="BR1300" t="s">
        <v>97</v>
      </c>
      <c r="BS1300" t="s">
        <v>21797</v>
      </c>
      <c r="BT1300" t="str">
        <f>HYPERLINK("https%3A%2F%2Fwww.webofscience.com%2Fwos%2Fwoscc%2Ffull-record%2FWOS:A1974T265200010","View Full Record in Web of Science")</f>
        <v>View Full Record in Web of Science</v>
      </c>
    </row>
    <row r="1301" spans="1:72" x14ac:dyDescent="0.25">
      <c r="A1301" t="s">
        <v>72</v>
      </c>
      <c r="B1301" t="s">
        <v>21798</v>
      </c>
      <c r="C1301" t="s">
        <v>74</v>
      </c>
      <c r="D1301" t="s">
        <v>74</v>
      </c>
      <c r="E1301" t="s">
        <v>74</v>
      </c>
      <c r="F1301" t="s">
        <v>21798</v>
      </c>
      <c r="G1301" t="s">
        <v>74</v>
      </c>
      <c r="H1301" t="s">
        <v>74</v>
      </c>
      <c r="I1301" t="s">
        <v>21799</v>
      </c>
      <c r="J1301" t="s">
        <v>21800</v>
      </c>
      <c r="K1301" t="s">
        <v>74</v>
      </c>
      <c r="L1301" t="s">
        <v>74</v>
      </c>
      <c r="M1301" t="s">
        <v>11465</v>
      </c>
      <c r="N1301" t="s">
        <v>78</v>
      </c>
      <c r="O1301" t="s">
        <v>74</v>
      </c>
      <c r="P1301" t="s">
        <v>74</v>
      </c>
      <c r="Q1301" t="s">
        <v>74</v>
      </c>
      <c r="R1301" t="s">
        <v>74</v>
      </c>
      <c r="S1301" t="s">
        <v>74</v>
      </c>
      <c r="T1301" t="s">
        <v>74</v>
      </c>
      <c r="U1301" t="s">
        <v>74</v>
      </c>
      <c r="V1301" t="s">
        <v>74</v>
      </c>
      <c r="W1301" t="s">
        <v>21801</v>
      </c>
      <c r="X1301" t="s">
        <v>6132</v>
      </c>
      <c r="Y1301" t="s">
        <v>74</v>
      </c>
      <c r="Z1301" t="s">
        <v>74</v>
      </c>
      <c r="AA1301" t="s">
        <v>74</v>
      </c>
      <c r="AB1301" t="s">
        <v>74</v>
      </c>
      <c r="AC1301" t="s">
        <v>74</v>
      </c>
      <c r="AD1301" t="s">
        <v>74</v>
      </c>
      <c r="AE1301" t="s">
        <v>74</v>
      </c>
      <c r="AF1301" t="s">
        <v>74</v>
      </c>
      <c r="AG1301">
        <v>37</v>
      </c>
      <c r="AH1301">
        <v>0</v>
      </c>
      <c r="AI1301">
        <v>0</v>
      </c>
      <c r="AJ1301">
        <v>0</v>
      </c>
      <c r="AK1301">
        <v>1</v>
      </c>
      <c r="AL1301" t="s">
        <v>74</v>
      </c>
      <c r="AM1301" t="s">
        <v>74</v>
      </c>
      <c r="AN1301" t="s">
        <v>74</v>
      </c>
      <c r="AO1301" t="s">
        <v>21802</v>
      </c>
      <c r="AP1301" t="s">
        <v>74</v>
      </c>
      <c r="AQ1301" t="s">
        <v>74</v>
      </c>
      <c r="AR1301" t="s">
        <v>21803</v>
      </c>
      <c r="AS1301" t="s">
        <v>74</v>
      </c>
      <c r="AT1301" t="s">
        <v>74</v>
      </c>
      <c r="AU1301">
        <v>1972</v>
      </c>
      <c r="AV1301">
        <v>25</v>
      </c>
      <c r="AW1301">
        <v>1</v>
      </c>
      <c r="AX1301" t="s">
        <v>74</v>
      </c>
      <c r="AY1301" t="s">
        <v>74</v>
      </c>
      <c r="AZ1301" t="s">
        <v>74</v>
      </c>
      <c r="BA1301" t="s">
        <v>74</v>
      </c>
      <c r="BB1301">
        <v>41</v>
      </c>
      <c r="BC1301">
        <v>55</v>
      </c>
      <c r="BD1301" t="s">
        <v>74</v>
      </c>
      <c r="BE1301" t="s">
        <v>21804</v>
      </c>
      <c r="BF1301" t="str">
        <f>HYPERLINK("http://dx.doi.org/10.7788/bue-1972-0105","http://dx.doi.org/10.7788/bue-1972-0105")</f>
        <v>http://dx.doi.org/10.7788/bue-1972-0105</v>
      </c>
      <c r="BG1301" t="s">
        <v>74</v>
      </c>
      <c r="BH1301" t="s">
        <v>74</v>
      </c>
      <c r="BI1301">
        <v>15</v>
      </c>
      <c r="BJ1301" t="s">
        <v>815</v>
      </c>
      <c r="BK1301" t="s">
        <v>94</v>
      </c>
      <c r="BL1301" t="s">
        <v>815</v>
      </c>
      <c r="BM1301" t="s">
        <v>21805</v>
      </c>
      <c r="BN1301" t="s">
        <v>74</v>
      </c>
      <c r="BO1301" t="s">
        <v>74</v>
      </c>
      <c r="BP1301" t="s">
        <v>74</v>
      </c>
      <c r="BQ1301" t="s">
        <v>74</v>
      </c>
      <c r="BR1301" t="s">
        <v>97</v>
      </c>
      <c r="BS1301" t="s">
        <v>21806</v>
      </c>
      <c r="BT1301" t="str">
        <f>HYPERLINK("https%3A%2F%2Fwww.webofscience.com%2Fwos%2Fwoscc%2Ffull-record%2FWOS:A1972L833000004","View Full Record in Web of Science")</f>
        <v>View Full Record in Web of Science</v>
      </c>
    </row>
  </sheetData>
  <autoFilter ref="A1:BT1301" xr:uid="{00000000-0001-0000-0000-000000000000}">
    <sortState xmlns:xlrd2="http://schemas.microsoft.com/office/spreadsheetml/2017/richdata2" ref="A221:BT1195">
      <sortCondition ref="U1:U1301"/>
    </sortState>
  </autoFilter>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savedrecs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2023-10-03T02:27:02Z</dcterms:created>
  <dcterms:modified xsi:type="dcterms:W3CDTF">2025-08-08T04:40:53Z</dcterms:modified>
</cp:coreProperties>
</file>