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https://d.docs.live.net/90af89ad47225a45/E01 DPhil/Articles/06 SRI papers/"/>
    </mc:Choice>
  </mc:AlternateContent>
  <xr:revisionPtr revIDLastSave="6" documentId="13_ncr:1_{48D0EE57-C939-A64E-A07E-C3CF2640DE51}" xr6:coauthVersionLast="47" xr6:coauthVersionMax="47" xr10:uidLastSave="{2EEB562C-BD90-D544-8A58-5B75B2FF14AF}"/>
  <bookViews>
    <workbookView xWindow="0" yWindow="760" windowWidth="30240" windowHeight="18880" activeTab="1" xr2:uid="{00000000-000D-0000-FFFF-FFFF00000000}"/>
  </bookViews>
  <sheets>
    <sheet name="Notes" sheetId="5" r:id="rId1"/>
    <sheet name="T1. SRI vs CRC" sheetId="6" r:id="rId2"/>
    <sheet name="T2. AWD vs CRC " sheetId="2" r:id="rId3"/>
    <sheet name="T3. SRI vs AWD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7" l="1"/>
  <c r="L8" i="7"/>
  <c r="M7" i="7"/>
  <c r="L7" i="7"/>
  <c r="M6" i="7"/>
  <c r="L6" i="7"/>
  <c r="R4" i="7"/>
  <c r="K4" i="7"/>
  <c r="O4" i="7" s="1"/>
  <c r="J4" i="7"/>
  <c r="N4" i="7" s="1"/>
  <c r="R3" i="7"/>
  <c r="R8" i="7" s="1"/>
  <c r="K3" i="7"/>
  <c r="J3" i="7"/>
  <c r="A22" i="2"/>
  <c r="A23" i="2" s="1"/>
  <c r="B23" i="2"/>
  <c r="B22" i="2"/>
  <c r="J6" i="6"/>
  <c r="N6" i="6" s="1"/>
  <c r="Q6" i="6" s="1"/>
  <c r="K6" i="6"/>
  <c r="O6" i="6" s="1"/>
  <c r="R6" i="6"/>
  <c r="R23" i="2"/>
  <c r="Q23" i="2"/>
  <c r="P23" i="2"/>
  <c r="O23" i="2"/>
  <c r="N23" i="2"/>
  <c r="M23" i="2"/>
  <c r="L23" i="2"/>
  <c r="K23" i="2"/>
  <c r="R22" i="2"/>
  <c r="Q22" i="2"/>
  <c r="P22" i="2"/>
  <c r="O22" i="2"/>
  <c r="N22" i="2"/>
  <c r="M22" i="2"/>
  <c r="L22" i="2"/>
  <c r="K22" i="2"/>
  <c r="R21" i="2"/>
  <c r="Q21" i="2"/>
  <c r="P21" i="2"/>
  <c r="O21" i="2"/>
  <c r="N21" i="2"/>
  <c r="M21" i="2"/>
  <c r="L21" i="2"/>
  <c r="K21" i="2"/>
  <c r="R20" i="2"/>
  <c r="Q20" i="2"/>
  <c r="P20" i="2"/>
  <c r="O20" i="2"/>
  <c r="N20" i="2"/>
  <c r="M20" i="2"/>
  <c r="L20" i="2"/>
  <c r="K20" i="2"/>
  <c r="J23" i="2"/>
  <c r="J22" i="2"/>
  <c r="J21" i="2"/>
  <c r="J20" i="2"/>
  <c r="M15" i="6"/>
  <c r="L15" i="6"/>
  <c r="M14" i="6"/>
  <c r="L14" i="6"/>
  <c r="M13" i="6"/>
  <c r="L13" i="6"/>
  <c r="M12" i="6"/>
  <c r="L12" i="6"/>
  <c r="J8" i="6"/>
  <c r="K8" i="6"/>
  <c r="O8" i="6" s="1"/>
  <c r="N8" i="6"/>
  <c r="R8" i="6"/>
  <c r="J4" i="6"/>
  <c r="N4" i="6" s="1"/>
  <c r="K4" i="6"/>
  <c r="O4" i="6" s="1"/>
  <c r="R4" i="6"/>
  <c r="O5" i="6"/>
  <c r="N5" i="6"/>
  <c r="Q5" i="6" s="1"/>
  <c r="R5" i="6"/>
  <c r="K5" i="6"/>
  <c r="J5" i="6"/>
  <c r="R9" i="6"/>
  <c r="K9" i="6"/>
  <c r="O9" i="6" s="1"/>
  <c r="J9" i="6"/>
  <c r="R10" i="6"/>
  <c r="K10" i="6"/>
  <c r="O10" i="6" s="1"/>
  <c r="J10" i="6"/>
  <c r="N10" i="6" s="1"/>
  <c r="R7" i="6"/>
  <c r="K7" i="6"/>
  <c r="O7" i="6" s="1"/>
  <c r="J7" i="6"/>
  <c r="R3" i="6"/>
  <c r="K3" i="6"/>
  <c r="O3" i="6" s="1"/>
  <c r="J3" i="6"/>
  <c r="N3" i="6" s="1"/>
  <c r="Q7" i="2"/>
  <c r="R7" i="2"/>
  <c r="R16" i="2"/>
  <c r="R15" i="2"/>
  <c r="R14" i="2"/>
  <c r="R13" i="2"/>
  <c r="R12" i="2"/>
  <c r="R11" i="2"/>
  <c r="R10" i="2"/>
  <c r="R4" i="2"/>
  <c r="R17" i="2"/>
  <c r="R9" i="2"/>
  <c r="R5" i="2"/>
  <c r="R6" i="2"/>
  <c r="R8" i="2"/>
  <c r="R3" i="2"/>
  <c r="R18" i="2"/>
  <c r="K16" i="2"/>
  <c r="O16" i="2" s="1"/>
  <c r="J16" i="2"/>
  <c r="K15" i="2"/>
  <c r="O15" i="2" s="1"/>
  <c r="J15" i="2"/>
  <c r="N15" i="2" s="1"/>
  <c r="K14" i="2"/>
  <c r="J14" i="2"/>
  <c r="N14" i="2" s="1"/>
  <c r="K13" i="2"/>
  <c r="O13" i="2" s="1"/>
  <c r="J13" i="2"/>
  <c r="N13" i="2" s="1"/>
  <c r="Q13" i="2" s="1"/>
  <c r="K12" i="2"/>
  <c r="O12" i="2" s="1"/>
  <c r="J12" i="2"/>
  <c r="N12" i="2" s="1"/>
  <c r="K11" i="2"/>
  <c r="O11" i="2" s="1"/>
  <c r="J11" i="2"/>
  <c r="N11" i="2" s="1"/>
  <c r="K10" i="2"/>
  <c r="J10" i="2"/>
  <c r="N10" i="2" s="1"/>
  <c r="K4" i="2"/>
  <c r="J4" i="2"/>
  <c r="N4" i="2" s="1"/>
  <c r="K17" i="2"/>
  <c r="J17" i="2"/>
  <c r="K9" i="2"/>
  <c r="O9" i="2" s="1"/>
  <c r="J9" i="2"/>
  <c r="N9" i="2" s="1"/>
  <c r="K5" i="2"/>
  <c r="J5" i="2"/>
  <c r="N5" i="2" s="1"/>
  <c r="K6" i="2"/>
  <c r="O6" i="2" s="1"/>
  <c r="J6" i="2"/>
  <c r="N6" i="2" s="1"/>
  <c r="Q6" i="2" s="1"/>
  <c r="K8" i="2"/>
  <c r="O8" i="2" s="1"/>
  <c r="J8" i="2"/>
  <c r="K3" i="2"/>
  <c r="O3" i="2" s="1"/>
  <c r="J3" i="2"/>
  <c r="K18" i="2"/>
  <c r="J18" i="2"/>
  <c r="N18" i="2" s="1"/>
  <c r="K7" i="2"/>
  <c r="J7" i="2"/>
  <c r="N3" i="2"/>
  <c r="Q3" i="2" s="1"/>
  <c r="P6" i="6" l="1"/>
  <c r="P3" i="7"/>
  <c r="K7" i="7"/>
  <c r="Q4" i="7"/>
  <c r="P4" i="7"/>
  <c r="P8" i="7" s="1"/>
  <c r="J8" i="7"/>
  <c r="J6" i="7"/>
  <c r="O3" i="7"/>
  <c r="K8" i="7"/>
  <c r="R6" i="7"/>
  <c r="K6" i="7"/>
  <c r="J7" i="7"/>
  <c r="R7" i="7"/>
  <c r="N3" i="7"/>
  <c r="P8" i="6"/>
  <c r="O15" i="6"/>
  <c r="R13" i="6"/>
  <c r="R12" i="6"/>
  <c r="J12" i="6"/>
  <c r="O12" i="6"/>
  <c r="O13" i="6"/>
  <c r="O14" i="6"/>
  <c r="J13" i="6"/>
  <c r="R15" i="6"/>
  <c r="J14" i="6"/>
  <c r="K15" i="6"/>
  <c r="J15" i="6"/>
  <c r="R14" i="6"/>
  <c r="K14" i="6"/>
  <c r="K12" i="6"/>
  <c r="K13" i="6"/>
  <c r="P4" i="2"/>
  <c r="P8" i="2"/>
  <c r="P17" i="2"/>
  <c r="Q12" i="2"/>
  <c r="P16" i="2"/>
  <c r="Q15" i="2"/>
  <c r="P5" i="2"/>
  <c r="Q11" i="2"/>
  <c r="P14" i="2"/>
  <c r="Q9" i="2"/>
  <c r="Q8" i="6"/>
  <c r="Q4" i="6"/>
  <c r="P4" i="6"/>
  <c r="Q3" i="6"/>
  <c r="P9" i="6"/>
  <c r="P5" i="6"/>
  <c r="N8" i="2"/>
  <c r="Q8" i="2" s="1"/>
  <c r="P9" i="2"/>
  <c r="P15" i="2"/>
  <c r="P3" i="6"/>
  <c r="P18" i="2"/>
  <c r="P10" i="2"/>
  <c r="N17" i="2"/>
  <c r="P7" i="2"/>
  <c r="P6" i="2"/>
  <c r="P13" i="2"/>
  <c r="P3" i="2"/>
  <c r="P11" i="2"/>
  <c r="P12" i="2"/>
  <c r="P7" i="6"/>
  <c r="N9" i="6"/>
  <c r="Q9" i="6" s="1"/>
  <c r="Q10" i="6"/>
  <c r="N7" i="6"/>
  <c r="Q7" i="6" s="1"/>
  <c r="P10" i="6"/>
  <c r="O18" i="2"/>
  <c r="Q18" i="2" s="1"/>
  <c r="O10" i="2"/>
  <c r="Q10" i="2" s="1"/>
  <c r="N16" i="2"/>
  <c r="Q16" i="2" s="1"/>
  <c r="O4" i="2"/>
  <c r="Q4" i="2" s="1"/>
  <c r="O17" i="2"/>
  <c r="O5" i="2"/>
  <c r="Q5" i="2" s="1"/>
  <c r="O14" i="2"/>
  <c r="Q14" i="2" s="1"/>
  <c r="O6" i="7" l="1"/>
  <c r="O8" i="7"/>
  <c r="O7" i="7"/>
  <c r="N6" i="7"/>
  <c r="Q3" i="7"/>
  <c r="N8" i="7"/>
  <c r="N7" i="7"/>
  <c r="P7" i="7"/>
  <c r="P6" i="7"/>
  <c r="N12" i="6"/>
  <c r="P13" i="6"/>
  <c r="P12" i="6"/>
  <c r="P14" i="6"/>
  <c r="P15" i="6"/>
  <c r="N14" i="6"/>
  <c r="Q13" i="6"/>
  <c r="Q12" i="6"/>
  <c r="Q15" i="6"/>
  <c r="Q14" i="6"/>
  <c r="N13" i="6"/>
  <c r="N15" i="6"/>
  <c r="Q17" i="2"/>
  <c r="Q7" i="7" l="1"/>
  <c r="Q6" i="7"/>
  <c r="Q8" i="7"/>
</calcChain>
</file>

<file path=xl/sharedStrings.xml><?xml version="1.0" encoding="utf-8"?>
<sst xmlns="http://schemas.openxmlformats.org/spreadsheetml/2006/main" count="460" uniqueCount="312">
  <si>
    <t xml:space="preserve">Source Title </t>
  </si>
  <si>
    <t>Source (DOI/Link)</t>
  </si>
  <si>
    <t>Cultivation Methods Investigated</t>
  </si>
  <si>
    <t>Yield Changes</t>
  </si>
  <si>
    <t>Pattern of methane emission and water productivity under different methods of rice crop establishment</t>
  </si>
  <si>
    <t>https://doi.org/10.1007/s10333-012-0323-5</t>
  </si>
  <si>
    <t>CH4</t>
  </si>
  <si>
    <t>Mitigation of greenhouse gas emission with system of rice intensification in the Indo-Gangetic Plains</t>
  </si>
  <si>
    <t>https://doi.org/10.1007/s10333-013-0390-2</t>
  </si>
  <si>
    <t>System of Rice Intensification: An analysis of adoption and potential environmental benefits</t>
  </si>
  <si>
    <t>https://nmbu.brage.unit.no/nmbu-xmlui/handle/11250/187733</t>
  </si>
  <si>
    <t>Evaluation of rice cultivation systems for greenhouse gases emission and productivity</t>
  </si>
  <si>
    <t>https://www.researchgate.net/publication/342347798_Evaluation_of_rice_cultivation_systems_for_greenhouse_gases_emission_and_productivity</t>
  </si>
  <si>
    <t>Sobering Rice Production from Conventional to Climate Smart</t>
  </si>
  <si>
    <t>https://doi.org/10.20546/ijcmas.2017.609.345</t>
  </si>
  <si>
    <t>9.9% increase in yield</t>
  </si>
  <si>
    <t>A new methodological approach to the establishment of sustainable agricultural ecology in drought vulnerable areas of eastern India</t>
  </si>
  <si>
    <t>https://doi.org/10.1016/j.ecoinf.2023.102013</t>
  </si>
  <si>
    <t>Carbon sequestration and greenhouse gas emissions for different rice cultivation practices</t>
  </si>
  <si>
    <t>https://doi.org/10.1016/j.spc.2022.09.001</t>
  </si>
  <si>
    <t>CH4, N2O</t>
  </si>
  <si>
    <t>Methane emission patterns and their associated soil microflora with SRI and conventional systems of rice cultivation in Tamil Nadu, India.</t>
  </si>
  <si>
    <t>Mitigation of yield-scaled greenhouse gas emissions in subtropical paddy rice under alternative irrigation systems</t>
  </si>
  <si>
    <t>https://doi.org/10.1007/s10705-016-9775-0</t>
  </si>
  <si>
    <t>Conventional and AWD (Intermittent Irrigation)</t>
  </si>
  <si>
    <t xml:space="preserve">Not statistically significant </t>
  </si>
  <si>
    <t>Reducing greenhouse gas emissions and grain arsenic and lead levels without compromising yield in organically produced rice</t>
  </si>
  <si>
    <t>https://doi.org/10.1016/j.agee.2020.106922</t>
  </si>
  <si>
    <t>Conventional and AWD</t>
  </si>
  <si>
    <t>Methane and nitrous oxide emissions from paddy field as affected by water-saving irrigation</t>
  </si>
  <si>
    <t>https://doi.org/10.1016/j.pce.2011.08.020</t>
  </si>
  <si>
    <t>Conventional and Controlled Irrigation (AWD)</t>
  </si>
  <si>
    <t xml:space="preserve">No significant change in yield </t>
  </si>
  <si>
    <t>Alternate wetting and drying in high yielding direct-seeded rice systems accomplishes multiple environmental and agronomic objectives</t>
  </si>
  <si>
    <t>https://doi.org/10.1016/j.agee.2016.05.020</t>
  </si>
  <si>
    <t>Average increase of 5.1%</t>
  </si>
  <si>
    <t>Effects of water-saving irrigation practices and drought resistant rice variety on greenhouse gas emissions from a no-till paddy in the central lowlands of China</t>
  </si>
  <si>
    <t>https://doi.org/10.1016/j.scitotenv.2014.10.073</t>
  </si>
  <si>
    <t>9.1% reduction in yield</t>
  </si>
  <si>
    <t>Reducing greenhouse gas emissions, water use, and grain arsenic levels in rice systems</t>
  </si>
  <si>
    <t>https://doi.org/10.1111/gcb.12701</t>
  </si>
  <si>
    <t>https://doi.org/10.1016/j.agwat.2015.10.015</t>
  </si>
  <si>
    <t>No statistically significant change in yield</t>
  </si>
  <si>
    <t>Methane and nitrous oxide emissions from conventional and modified rice cultivation systems in South India</t>
  </si>
  <si>
    <t>https://doi.org/10.1016/j.agee.2017.10.014</t>
  </si>
  <si>
    <t xml:space="preserve">Conventional and AWD </t>
  </si>
  <si>
    <t>7.1% increase with AWD</t>
  </si>
  <si>
    <t>Effect of intermittent drainage on methane and nitrous oxide emissions under different fertilization in a temperate paddy soil during rice cultivation</t>
  </si>
  <si>
    <t>https://doi.org/10.1007/s13765-013-4298-8</t>
  </si>
  <si>
    <t xml:space="preserve">1.5% increase with AWD </t>
  </si>
  <si>
    <t>Reference</t>
  </si>
  <si>
    <t>Emissions Change (per hectare)</t>
  </si>
  <si>
    <t>Emissions change (per kilogram of rice produced)</t>
  </si>
  <si>
    <t>Data Location</t>
  </si>
  <si>
    <t>Notes</t>
  </si>
  <si>
    <t>Extra Calculations</t>
  </si>
  <si>
    <t>74% reduction in Carbon Dioxide equivalent seasonal emissions</t>
  </si>
  <si>
    <t>No change in yield, so reduction in emissions per kg of rice produced is 74%.</t>
  </si>
  <si>
    <t>Page 9 - table 4</t>
  </si>
  <si>
    <t>Data only used for GS1 as AWD types changed between season. Per season emissions.</t>
  </si>
  <si>
    <t>66% reduction in Carbon Dioxide equivalent seasonal emissions</t>
  </si>
  <si>
    <t>5.9% increase in yield with AWD</t>
  </si>
  <si>
    <t>67.2% reduction in Carbon Dioxide equivalent emissions per kg of rice produced with AWD.</t>
  </si>
  <si>
    <t>Table 3</t>
  </si>
  <si>
    <t>CF CH4: (256.1 + 122.5 + 217.6 + 115.6 + 66.4 + 86.7 + 31.7 + 74.3 + 37.6) / 9 = 112.06</t>
  </si>
  <si>
    <t>CF N2O: ((0.64 + 0.22 + 0.42 + 0.47 + 0.53 + 0.42 + 0.38 + 1.19 - 0.17) /9)  = 0.46</t>
  </si>
  <si>
    <t>AWD CH4: (75.2 + 29.2 + 33.6 + 27.5 + 18.8 + 25.5 + 15.6 + 32.5 + 16.7) / 9 = 30.51</t>
  </si>
  <si>
    <t>AWD NO2: (0.79 + 0.9 +0.58 + 1.84 + 1.02 + 0.91 +1.05 + 1.61 + 0.45) / 9 = 1.02</t>
  </si>
  <si>
    <t>CF yield: (5.5 + 5.9 + 6.3 + 3.3 + 5.7 + 7.1 + 6.1+ 6.9 + 6.9) / 9 = 5.97</t>
  </si>
  <si>
    <t>AWD yield: (5.8 + 6.5 + 6.6 + 2.8 + 6.4 + 7.5 + 7.1 + 7.5 + 6.7) / 9 = 6.32</t>
  </si>
  <si>
    <t xml:space="preserve">61.4% reduction in Carbon Dioxide equivalent seasonal emissions </t>
  </si>
  <si>
    <t>No change in yield, so reduction in emissions per kg of rice produced of 61.4% with AWD.</t>
  </si>
  <si>
    <t>Table 4 and 5</t>
  </si>
  <si>
    <t>57–74% in annual Carbon Dioxide equivalent emissions</t>
  </si>
  <si>
    <t>59–88% reduction in growing season Carbon Dioxide Equivalent emissions per kg of rice produced.</t>
  </si>
  <si>
    <t>Table 2 and table 3</t>
  </si>
  <si>
    <t>AWD CH4: (74.5 + 38.2) / 2 = 56.35</t>
  </si>
  <si>
    <t>AWD N2O: (0.142 + 0.616) / 2 = 0.379</t>
  </si>
  <si>
    <t>Yield avg conventional: (10.7 + 8.12) / 2 = 9.41</t>
  </si>
  <si>
    <t>Yield avg AWD: (10.1 + 9.24 + 10.7 + 10.8) / 4 = 10.21</t>
  </si>
  <si>
    <t xml:space="preserve">24% reduction in Carbon Dioxide equivalent seasonal emissions </t>
  </si>
  <si>
    <t>Reduction of 15.4% in growing season Carbon Dioxide equivalent emissions per kg of rice produced.</t>
  </si>
  <si>
    <t>AWD CH4: (365 + 379 + 176 + 147) / 4 = 266.75</t>
  </si>
  <si>
    <t>AWD N2O: (9.2 + 10.2 + 10.3 + 10) / 4 = 9.93</t>
  </si>
  <si>
    <t>Conventional CH4: (955 + 919)/2 = 937</t>
  </si>
  <si>
    <t>Conventional N2O: (8.2 + 6.2) / 2 = 7.2</t>
  </si>
  <si>
    <t>Conventional yield: (7.38 + 7.54) / 2 = 7.46</t>
  </si>
  <si>
    <t>AWD yield: (7.31 + 6.57 + 6.62 + 6.33) / 4 = 6.71</t>
  </si>
  <si>
    <t>84.3% decrease in seasonal Carbon Dioxide equivalent emissions</t>
  </si>
  <si>
    <t>8.5% reduction in yields.</t>
  </si>
  <si>
    <t xml:space="preserve">82.8% reduction in Carbon Dioxide equivalent emissions per kg of rice produced. </t>
  </si>
  <si>
    <t>Table 1 and 2</t>
  </si>
  <si>
    <t>Conventional CH4: (71 + 100 + 144) / 3 = 105</t>
  </si>
  <si>
    <t>Conventional N2O: (0.031 + 0.07 + -0.008) / 3 = 0.031</t>
  </si>
  <si>
    <t>AWD CH4: (2.8 + 1.7 + 6.04 + 7.8 + 11.8 + 13.7) / 6 = 7.31</t>
  </si>
  <si>
    <t>AWD N2O: ( 0.229 +  0.137 + 0.40 + 1.05 +  0.198 + 0.329) / 6 = 0.3905</t>
  </si>
  <si>
    <t>Yield AWD: (9.73 + 8.97) / 2 = 9.35</t>
  </si>
  <si>
    <t>Grain yield, water productivity and Methane emission of irrigated rice in response to water management in south China</t>
  </si>
  <si>
    <t>Methane</t>
  </si>
  <si>
    <t>58.8% reduction in Methane emissions. Nitrous Oxide emissions not measured.</t>
  </si>
  <si>
    <t xml:space="preserve">58.8% reduction in Methane emissions per kg of rice produced </t>
  </si>
  <si>
    <t xml:space="preserve">Table 2  </t>
  </si>
  <si>
    <t>AWD yield: (7265  + 6695) / 2 = 6980</t>
  </si>
  <si>
    <t>AWD CH4: (63 + 63.5) / 2 = 63.25</t>
  </si>
  <si>
    <t>26.7% reduction in Carbon Dioxide equivalent emissions.</t>
  </si>
  <si>
    <t>31.6% reduction in Carbon Dioxide equivalent emissions per kg of rice produced</t>
  </si>
  <si>
    <t>Table 2 and 3</t>
  </si>
  <si>
    <t>AWD CH4: (60 +51.7 +119.7 + 113.5) /4 = 86.23</t>
  </si>
  <si>
    <t>Conventional CH4: (99.4 + 88.9 + 154 + 164.5) / 4 = 126.7</t>
  </si>
  <si>
    <t>AWD N2O: (1.94 + 2.09 + 1.28 + 1.15) / 4 = 1.62</t>
  </si>
  <si>
    <t>Conventional N2O: (1.45 + 1.36 + 0.61 + 0.73) / 4 = 1.04</t>
  </si>
  <si>
    <t>Yield AWD: ( 7 + 7.2 + 6.4 + 6.8) /4 = 6.85</t>
  </si>
  <si>
    <t>Yield conventional: (6.7 + 6.9 + 6.4+ 5.3) / 4 = 6.33</t>
  </si>
  <si>
    <t xml:space="preserve">47.9% reduction in Carbon Dioxide equivalent emissions </t>
  </si>
  <si>
    <t xml:space="preserve">49.1% reduction in Carbon Dioxide equivalent emissions per kg of rice produced </t>
  </si>
  <si>
    <t>Table 1</t>
  </si>
  <si>
    <t>Conventional CH4: (192+321.7+622.2)/3= 378.63</t>
  </si>
  <si>
    <t>Conventional N2O: (0.31+0.64+0.77)/3 = 0.57</t>
  </si>
  <si>
    <t>AWD CH4: (90.7 + 181.7 + 300.9) / 3 = 191.1</t>
  </si>
  <si>
    <t>AWD N2O: (0.36 + 0.82 + 1.1) / 3 = 0.76</t>
  </si>
  <si>
    <t>Yield AWD: (4646 + 5694 + 6312) / 3 = 5550.67kg</t>
  </si>
  <si>
    <t>Yield conventional: (4605 + 5525 + 6276) / 3 = 5468.67kg</t>
  </si>
  <si>
    <t>38.5% reduction in Carbon Dioxide equivalent emissions per season</t>
  </si>
  <si>
    <t>44.1% reduction in Carbon Dioxide equivalent emissions per kg of rice produced</t>
  </si>
  <si>
    <t>Intercontinental comparison of greenhouse gas emissions from irrigated rice fields under feasible water management practices: Brazil and Japan</t>
  </si>
  <si>
    <t>https://doi.org/10.1080/00380768.2017.1415660</t>
  </si>
  <si>
    <t>Conventional CH4: (623 + 738 + 720) / 3 = 693.67</t>
  </si>
  <si>
    <t>Conventional N2O: (0.32 + -0.24 + -0.17) / 3 = -0.03</t>
  </si>
  <si>
    <t>AWD CH4: (466 + 237 + 262 + 159) / 4 = 281</t>
  </si>
  <si>
    <t>AWD N2O: (0.56 + 1.16 + -0.23 + -0.09) / 4 = 0.35</t>
  </si>
  <si>
    <t>Conventional yield: (9.39 + 8.06 + 7.41) / 3 = 8.29</t>
  </si>
  <si>
    <t>AWD yield: (10059+10231+7328+8390) / 4 = 9.00</t>
  </si>
  <si>
    <t>Effects of alternate wetting and drying technique
on greenhouse gas emissions from irrigated rice
paddy in Central Luzon, Philippines</t>
  </si>
  <si>
    <t>https://doi.org/10.1080/00380768.2017.1401906</t>
  </si>
  <si>
    <t>Table 2</t>
  </si>
  <si>
    <t>AWD CH4: (42.2 + 52.8 + 350.1 + 374) / 4 = 204.78</t>
  </si>
  <si>
    <t>Conventional CH4: (69.9 + 328.9) / 2 = 199.4</t>
  </si>
  <si>
    <t>AWD N2O: (3.5 + 0.633 + 2.63 + 0.528) / 4 = 1.82</t>
  </si>
  <si>
    <t>Conventional N2O: (1.6 + 0.509) / 2 = 1.05</t>
  </si>
  <si>
    <t>Conventional yield: (6.9 + 5.41) / 2 = 6.16</t>
  </si>
  <si>
    <t>AWD yield: (6.88 + 5.83 + 6.9 + 5.42) / 4 = 6.26</t>
  </si>
  <si>
    <t>Impacts of alternate wetting and drying on
greenhouse gas emission from paddy field in
Central Vietnam</t>
  </si>
  <si>
    <t>https://doi.org/10.1080/00380768.2017.1409601</t>
  </si>
  <si>
    <t>AWD CH4: (351+491+353+490) / 4 = 421.25</t>
  </si>
  <si>
    <t>AWD N2O: (0.208 + 0.574 + 0.206 + 0.455) / 4 = 0.36</t>
  </si>
  <si>
    <t>Conventional CH4: (500 + 644) / 2 = 572</t>
  </si>
  <si>
    <t>Conventional N2O : (0.281 + 0.698) / 2 = 0.49</t>
  </si>
  <si>
    <t>Conventional yield: (4.41 + 4.44) / 2 = 4.43</t>
  </si>
  <si>
    <t>AWD yield: (4.89 + 4.67 + 4.84 + 4.6) / 4 = 4.75</t>
  </si>
  <si>
    <t>Site-specific feasibility of alternate wetting and
drying as a greenhouse gas mitigation option in
irrigated rice fields in Southeast Asia: a synthesis</t>
  </si>
  <si>
    <t>https://doi.org/10.1080/00380768.2017.1409602</t>
  </si>
  <si>
    <t>AWD CH4: (370.61 + 490.96 + 243.82 + 325.73 + 9.22 + 47.5 + 375.33) / 7 = 266.31</t>
  </si>
  <si>
    <t>AWD N2O : (0.21 + 0.52 + 0.7 + 1.27 + 1.16 + 3.06 + 0.53) / 7 = 1.06</t>
  </si>
  <si>
    <t>AWD yield: (4.86 + 4.64 + 5.08 + 6.77 + 4.05 + 6.89 + 5.51) / 7 = 5.41</t>
  </si>
  <si>
    <t>Conventional CH4: (499.5 + 644.2 + 385.3 + 515.4 + 13.4 + 23 + 69.9 + 328.9) / 8 = 309.95</t>
  </si>
  <si>
    <t>Conventional N2O: (0.28 + 0.7 + 0.81 + 1.13 + 0.97 + 0.22 + 1.6 + 0.51) / 8 = 0.78</t>
  </si>
  <si>
    <t>Conventional yield: (4.41 + 4.44 + 5.12 + 6.87 + 4.64 + 4.28+6.9 + 5.41) / 8 = 5.26</t>
  </si>
  <si>
    <t>Alternate wetting and drying reduces methane
emission from a rice paddy in Central Java,
Indonesia without yield loss</t>
  </si>
  <si>
    <t>https://doi.org/10.1080/00380768.2017.1409600</t>
  </si>
  <si>
    <t>Conventional CH4:  (385 + 515) / 2 = 450</t>
  </si>
  <si>
    <t>Conventional N2O:  (0.810 + 1.13) / 2 = 0.97</t>
  </si>
  <si>
    <t>Conventional yield (5.12 + 6.87) / 2 = 6.00</t>
  </si>
  <si>
    <t>AWD CH4: (243 + 341 + 244 + 311) / 4 = 284.75</t>
  </si>
  <si>
    <t>AWD N2O: (0.711 + 1.32 + 0.690 + 1.22) / 4 = 0.99</t>
  </si>
  <si>
    <t>AWD yield: (5.2 + 6.87 + 4.96 + 6.67) / 4 = 5.92</t>
  </si>
  <si>
    <t>Evaluating the effects of alternate wetting and
drying (AWD) on methane and nitrous oxide
emissions from a paddy field in Thailand</t>
  </si>
  <si>
    <t>https://doi.org/10.1080/00380768.2017.1399044</t>
  </si>
  <si>
    <t xml:space="preserve">AWD and AWDS averaged. </t>
  </si>
  <si>
    <t>AWD CH4: (8.8 + 21) /2 = 14.9</t>
  </si>
  <si>
    <t>AWD N2O: (0.979 + 0.851) / 2 = 0.915</t>
  </si>
  <si>
    <t>AWD yield: (4.19 + 4.44) / 2 = 4.32</t>
  </si>
  <si>
    <t>TPR used for conventional, averages calculated for SRI for SRI and MSRI.</t>
  </si>
  <si>
    <t>SRI CH4: (8.81 + 8.16) / 2 = 8.49</t>
  </si>
  <si>
    <t>SRI N2O: (0.91 + 0.89) / 2 = 0.9</t>
  </si>
  <si>
    <t>SRI yield: ( 5.62 + 5.75) / 2 = 5.69</t>
  </si>
  <si>
    <t>Conventional N2O: (94 / 289) *10 = 3.25</t>
  </si>
  <si>
    <t>Conventional CH4: (34 /72) * 10 = 4.72</t>
  </si>
  <si>
    <t>SRI N2O: (24 / 289) * 10 = 0.83</t>
  </si>
  <si>
    <t>SRI CH4: (9 / 72) * 10 = 1.25</t>
  </si>
  <si>
    <t>Conventional CH4: (5.23+4.21+8.2+3.1)/4 = 5.19</t>
  </si>
  <si>
    <t>Conventional N2O: (2.04+1.64+1.45+1.03)/4 = 1.54</t>
  </si>
  <si>
    <t>SRI CH4: (4.08 + 3.22 + 6.05 + 2) / 4 = 3.84</t>
  </si>
  <si>
    <t>SRI N2O: (2.42 + 1.71 + 1.69 + 0.78) / 4 = 1.65</t>
  </si>
  <si>
    <t xml:space="preserve">Averaged across season, year and variety. </t>
  </si>
  <si>
    <t>Conventional CH4: ((83.33+81.79+79.10+96.96+96.58+89.38+95.04+94.18+88.30+114.72+105.98+105.98)+(116.45+111.84+111.84+108.38+102.91+97.44+90.82+86.78+82.75+149.47+138.24+127.01))/24 =  102.30</t>
  </si>
  <si>
    <t>Conventional N2O: ((1.45+1.49+1.41+1.58+ 1.51+1.38+1.44+1.56+1.32+1.44+1.61+1.26) + (1.16+1.2+1.11+1.73+1.85+1.59+1.7+1.76+1.33+1.44+1.62+1.64)) /24 = 1.48</t>
  </si>
  <si>
    <t>SRI CH4: ((78.62+75.36+71.90+73.06+70.18+66.14+68.16+64.70+61.25+65.57+63.17+59.88)+(84+74.59+77.18+61.34+60.10+57.60+54.24+52.99+51.55+56.83+55.39+54.82))/24 = 64.94</t>
  </si>
  <si>
    <t>SRI N2O: ((2.03+2.21+1.86+1.99+2.16+1.81+2.02+2.07+1.96+2.3+2.45+2.16)+(1.93+1.88+1.73+1.99+2.19+2.15+1.94+1.96+1.80+2.09+1.98+1.87))/24 = 2.02</t>
  </si>
  <si>
    <t>Yield conventional (3.15+2.78+3.13+4.46+3.52+3.23+3.43+5.2+3.82+3.69+3.76+6.09+4.52+4.62+4.67+3.65+4.97+5.36+5.25+4.27+5.46+6.02+5.78+4.73)/24 = 4.40</t>
  </si>
  <si>
    <t>Yield SRI: (7.87+8.77+13.44+13.49+8.31+9.09+15.33+14.46+8.88+9.3+17.23+15.47+11.94+6.59+10.84+8.7+12.4+7.23+11.57+9.54+13.08+7.96+12.22+10.3)/24 = 11.00</t>
  </si>
  <si>
    <t>Conventional CH4: (70.40 + 80.56 + 62.04 + 90.56 + 76.90 + 70.29 + 78.12 + 89.60 + 70.42 + 109.69 + 94.93 + 88.87 + 145.24 + 66.48 + 65.00 + 125.83 + 66.41 + 55.29 + 82.31 + 80.35 + 43.70 + 163.76 + 99.30 + 88.06) / 24 = 85.33</t>
  </si>
  <si>
    <t>Conventional N2O: (0.33 + 2.08 + 1.07 + 1.45 + 1.62 + 1.40 + 1.50 + 1.72 + 1.47 + 1.42 + 1.95 + 1.55 + 1.26 + 1.71 + 1.36 + 1.71 + 1.56 + 1.50 + 1.64 + 1.60 + 1.40 + 1.26 + 1.62 + 1.31) / 24 = 1.51</t>
  </si>
  <si>
    <t>SRI CH4: (72.88 + 69.51 + 57.76 + 69.16 + 59.20 + 51.44 + 64.82 + 53.47 + 45.70 + 64.17 + 52.33 + 58.26 + 95.78 + 54.08 + 46.29 + 64.14 + 46.61 + 32.78 + 47.57 + 50.77 + 37.04 + 54.54 + 49.52 + 33.71) / 24 = 55.94</t>
  </si>
  <si>
    <t>SRI N2O: (1.53 + 2.02 + 1.64 + 1.70 + 2.00 + 1.72 + 1.57 + 2.02 + 1.66 + 1.58 + 2.21 + 1.76 + 1.76 + 2.35 + 1.93 + 2.27 + 2.00 + 2.00 + 1.91 + 1.90 + 1.77 + 2.47 + 1.99 + 2.10) / 24 = 1.92</t>
  </si>
  <si>
    <t>Yield conventional:  (3.01 + 3.98 + 4.36 + 3.25 + 6.73 + 7.89 + 3.09 + 3.34 + 6.99 + 6.24 + 4.43 + 5.31 + 3.45 + 3.42 + 7.90 + 5.30 + 5.16 + 12.43 + 5.65 + 4.82 + 8.95 + 5.42 + 3.00 + 6.57) / 24 = 5.40</t>
  </si>
  <si>
    <t>Yield SRI:  (12.14 + 4.57 + 14.69 + 11.10 + 13.88 + 6.68 + 12.44 + 5.66 + 12.47 + 6.75 + 7.74 + 11.81 + 14.11 + 16.56 + 17.69 + 10.28 + 12.76 + 19.06 + 18.52 + 10.44 + 16.41 + 7.20 + 11.83 + 7.69) / 24 = 12.25</t>
  </si>
  <si>
    <t>Conventional methane: (44.6+55.5)/2 = 50.05</t>
  </si>
  <si>
    <t>SRi methane: (31.8 + 37.7)/2 = 34.75</t>
  </si>
  <si>
    <t>CH4, N2O, CO2</t>
  </si>
  <si>
    <t>Global Warming Potentials</t>
  </si>
  <si>
    <t>Nitrous oxide (N2O)</t>
  </si>
  <si>
    <t>Methane (CH4)</t>
  </si>
  <si>
    <t>Source:</t>
  </si>
  <si>
    <t>Forster, P. et al. The Earth’s Energy Budget, Climate Feedbacks and Climate Sensitivity. in Climate Change 2021 – The Physical Science Basis: Working Group I Contribution to the Sixth Assessment Report of the Intergovernmental Panel on Climate Change (ed. Intergovernmental Panel on Climate Change (IPCC)) 923–1054 (Cambridge University Press, 2021). doi:10.1017/9781009157896.009. Table 7.15, p. 1017</t>
  </si>
  <si>
    <t>Abbreviations and assumptions</t>
  </si>
  <si>
    <t>CRC</t>
  </si>
  <si>
    <t>Conventional rice cultivation with flooded fields)</t>
  </si>
  <si>
    <t>AWD</t>
  </si>
  <si>
    <t>Alternate wetting and drying</t>
  </si>
  <si>
    <t>SRI</t>
  </si>
  <si>
    <t>System of Rice Intensification</t>
  </si>
  <si>
    <t>N2O</t>
  </si>
  <si>
    <t>CO2</t>
  </si>
  <si>
    <t>Carbon dioxide</t>
  </si>
  <si>
    <t>Nitrous oxide</t>
  </si>
  <si>
    <t>GHG</t>
  </si>
  <si>
    <t>Greenhouse gas</t>
  </si>
  <si>
    <t xml:space="preserve">Gases reported </t>
  </si>
  <si>
    <t>Methane (kg/ha)</t>
  </si>
  <si>
    <t>Nitrous oxide (kg/ha)</t>
  </si>
  <si>
    <t>Net GHG (CO2e kg/ha)</t>
  </si>
  <si>
    <t>Yield (t/ha)</t>
  </si>
  <si>
    <t>GHG intensity (t CO2e/t rice)</t>
  </si>
  <si>
    <t>GHG/t rice</t>
  </si>
  <si>
    <t>Yield</t>
  </si>
  <si>
    <t>𝚫 from CRC to AWD (%)</t>
  </si>
  <si>
    <t>Median</t>
  </si>
  <si>
    <t>Mean</t>
  </si>
  <si>
    <t>Max</t>
  </si>
  <si>
    <t>Min</t>
  </si>
  <si>
    <t>CO2e/ha</t>
  </si>
  <si>
    <t>N/A - https://www.researchgate.net/publication/285964759_Methane_emission_patterns_and_their_associated_soil_microflora_with_SRI_and_conventional_systems_of_rice_cultivation_in_Tamil_Nadu_India</t>
  </si>
  <si>
    <t>𝚫 from CRC to SRI (%)</t>
  </si>
  <si>
    <t>CO2e</t>
  </si>
  <si>
    <t>Carbon dioxide equivalent GHG emissions</t>
  </si>
  <si>
    <t>pp. 73, 15</t>
  </si>
  <si>
    <t>Daily values averaged for CRC and SRI.</t>
  </si>
  <si>
    <t>Tables 3, 4, Supp</t>
  </si>
  <si>
    <t>Tables 1, 2</t>
  </si>
  <si>
    <t>Supp tables</t>
  </si>
  <si>
    <t>GHG data in seasonal GWP. Calculations &gt; emissions &gt; GWP.</t>
  </si>
  <si>
    <t>Used average of fertiliser treatments.</t>
  </si>
  <si>
    <t>AWD not named but inferred from experiment design. Data from 2007. N2O not in 2006 data. Conversion from G/m2 &gt; kg/ha = x10.</t>
  </si>
  <si>
    <t>Averaged 2 types of AWD. Yields from 2013, 2014 as these years used for GHG measurement.</t>
  </si>
  <si>
    <t>Calculated average of 2 irrigation regimes. Similar % changes to other studies but different absolute numbers.</t>
  </si>
  <si>
    <t>AWD/40 - Flood was exlcuded from AWD calculations as too similar to continuous flooding practices.</t>
  </si>
  <si>
    <t>Averages calculated for AWD15 and AWD30.</t>
  </si>
  <si>
    <t>Only YW-AWD used for AWD calculations as IB-AWD is betweeen CRC and AWD. Values averaged across season and variety.</t>
  </si>
  <si>
    <t>Averaged across fertilisation methods.</t>
  </si>
  <si>
    <t>For Brazil, averaged MI and SI for AWD. For Japan, averaged MD values and CF values. Also averaged between countries.</t>
  </si>
  <si>
    <t>AWD and AWDS averaged. Dry season and wet season also averaged.</t>
  </si>
  <si>
    <t>Absolute values for AWD calculated from % change values in the table.</t>
  </si>
  <si>
    <t>AWD and AWDS averaged. Dry season and wet season also averaged</t>
  </si>
  <si>
    <t>Chidthaisong</t>
  </si>
  <si>
    <t>Lead author</t>
  </si>
  <si>
    <t>Zschornac</t>
  </si>
  <si>
    <t>Faiz-ul Islam</t>
  </si>
  <si>
    <t>Yang</t>
  </si>
  <si>
    <t>Xu</t>
  </si>
  <si>
    <t>Linquist</t>
  </si>
  <si>
    <t>Liang</t>
  </si>
  <si>
    <t>Oo</t>
  </si>
  <si>
    <t>Kim</t>
  </si>
  <si>
    <t>Rajesh Krishnan</t>
  </si>
  <si>
    <t>Carmargo</t>
  </si>
  <si>
    <t>Sibayan</t>
  </si>
  <si>
    <t>Tran</t>
  </si>
  <si>
    <t>Tirol-Padre</t>
  </si>
  <si>
    <t>Setyanto</t>
  </si>
  <si>
    <t>LaHue</t>
  </si>
  <si>
    <t>Suryavanshi</t>
  </si>
  <si>
    <t>Jain</t>
  </si>
  <si>
    <t>Ramesh</t>
  </si>
  <si>
    <t>Gangopadhyay</t>
  </si>
  <si>
    <t>Rajkishore</t>
  </si>
  <si>
    <t>Nepal (2011)</t>
  </si>
  <si>
    <t>India (2013)</t>
  </si>
  <si>
    <t>India (2017)</t>
  </si>
  <si>
    <t>India (2020)</t>
  </si>
  <si>
    <t>India (2023)</t>
  </si>
  <si>
    <t>India (2022)</t>
  </si>
  <si>
    <t>Brazil (2016)</t>
  </si>
  <si>
    <t>Philippines (2020)</t>
  </si>
  <si>
    <t>China (2012)</t>
  </si>
  <si>
    <t>USA (2016)</t>
  </si>
  <si>
    <t>China (2015)</t>
  </si>
  <si>
    <t>China (2016)</t>
  </si>
  <si>
    <t>India (2018)</t>
  </si>
  <si>
    <t>Korea (2014)</t>
  </si>
  <si>
    <t>Place/date</t>
  </si>
  <si>
    <t>Karki</t>
  </si>
  <si>
    <t>India (2014)</t>
  </si>
  <si>
    <t>USA (2015)</t>
  </si>
  <si>
    <t>Brazil, Japan (2018)</t>
  </si>
  <si>
    <t>Philippines (2018)</t>
  </si>
  <si>
    <t>Vietnam (2018)</t>
  </si>
  <si>
    <t>Indonesia  (2018)</t>
  </si>
  <si>
    <t>Thailand (2018)</t>
  </si>
  <si>
    <t>SE Asia (2018)</t>
  </si>
  <si>
    <t>Multi-criteria assessment to
screen climate smart rice
establishment techniques in
coastal rice production
system of India</t>
  </si>
  <si>
    <t>https://doi: 10.3389/fpls.2023.1130545</t>
  </si>
  <si>
    <t>Mohapatra</t>
  </si>
  <si>
    <t>𝚫 from AWD to SRI (%)</t>
  </si>
  <si>
    <t>AWD CH4: (63.2 + 65.6 + 66.9 + 68.2) / 4 = 65.98</t>
  </si>
  <si>
    <t>AWD N2O: (1.46 + 1.47 + 1.46 + 1.48) / 4 = 1.47</t>
  </si>
  <si>
    <t>AWD yield : ( 4.52 + 4.65 + 4.72 + 4.82) / 4 = 4.68</t>
  </si>
  <si>
    <t>SRI CH4: (62.6 + 63.6) / 2 = 63.1</t>
  </si>
  <si>
    <t>SRI N2O: (1.22 + 1.33) / 2 = 1.28</t>
  </si>
  <si>
    <t>SRI yield: (5.41 + 5.53) / 2 = 5.47</t>
  </si>
  <si>
    <t>Data averaged across Rabi seasons of 2020 and 2021. AWD values average of TPR-AWD and DSR-AWD.</t>
  </si>
  <si>
    <t>Tables 2, 3, 6</t>
  </si>
  <si>
    <t>Tables 3,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</si>
</sst>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color rgb="FF000000"/>
      <name val="Arial"/>
      <scheme val="minor"/>
    </font>
    <font>
      <u/>
      <sz val="10"/>
      <color theme="10"/>
      <name val="Arial"/>
      <family val="2"/>
      <scheme val="minor"/>
    </font>
    <font>
      <sz val="10"/>
      <color theme="1"/>
      <name val="Avenir Book"/>
      <family val="2"/>
    </font>
    <font>
      <sz val="10"/>
      <color rgb="FF000000"/>
      <name val="Avenir Book"/>
      <family val="2"/>
    </font>
    <font>
      <u/>
      <sz val="10"/>
      <color rgb="FF0000FF"/>
      <name val="Avenir Book"/>
      <family val="2"/>
    </font>
    <font>
      <sz val="10"/>
      <color rgb="FF1F1F1F"/>
      <name val="Avenir Book"/>
      <family val="2"/>
    </font>
    <font>
      <sz val="10"/>
      <color rgb="FF2E2E2E"/>
      <name val="Avenir Book"/>
      <family val="2"/>
    </font>
    <font>
      <sz val="11"/>
      <color rgb="FF1F1F1F"/>
      <name val="Avenir Book"/>
      <family val="2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9" fontId="2" fillId="0" borderId="0" xfId="2" applyFont="1" applyAlignment="1">
      <alignment vertical="center"/>
    </xf>
    <xf numFmtId="9" fontId="2" fillId="0" borderId="0" xfId="2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1" fillId="0" borderId="0" xfId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vertical="center"/>
    </xf>
    <xf numFmtId="9" fontId="3" fillId="0" borderId="0" xfId="2" applyFont="1" applyAlignment="1">
      <alignment vertical="center"/>
    </xf>
    <xf numFmtId="0" fontId="3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3">
    <cellStyle name="Hyperlink" xfId="1" builtinId="8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nmbu.brage.unit.no/nmbu-xmlui/handle/11250/187733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016/j.agee.2017.10.014" TargetMode="External"/><Relationship Id="rId13" Type="http://schemas.openxmlformats.org/officeDocument/2006/relationships/hyperlink" Target="https://doi.org/10.1080/00380768.2017.1409602" TargetMode="External"/><Relationship Id="rId3" Type="http://schemas.openxmlformats.org/officeDocument/2006/relationships/hyperlink" Target="https://doi.org/10.1016/j.pce.2011.08.020" TargetMode="External"/><Relationship Id="rId7" Type="http://schemas.openxmlformats.org/officeDocument/2006/relationships/hyperlink" Target="https://doi.org/10.1016/j.agwat.2015.10.015" TargetMode="External"/><Relationship Id="rId12" Type="http://schemas.openxmlformats.org/officeDocument/2006/relationships/hyperlink" Target="https://doi.org/10.1080/00380768.2017.1409601" TargetMode="External"/><Relationship Id="rId2" Type="http://schemas.openxmlformats.org/officeDocument/2006/relationships/hyperlink" Target="https://doi.org/10.1016/j.agee.2020.106922" TargetMode="External"/><Relationship Id="rId16" Type="http://schemas.openxmlformats.org/officeDocument/2006/relationships/hyperlink" Target="https://doi.org/10.20546/ijcmas.2017.609.345" TargetMode="External"/><Relationship Id="rId1" Type="http://schemas.openxmlformats.org/officeDocument/2006/relationships/hyperlink" Target="https://doi.org/10.1007/s10705-016-9775-0" TargetMode="External"/><Relationship Id="rId6" Type="http://schemas.openxmlformats.org/officeDocument/2006/relationships/hyperlink" Target="https://doi.org/10.1111/gcb.12701" TargetMode="External"/><Relationship Id="rId11" Type="http://schemas.openxmlformats.org/officeDocument/2006/relationships/hyperlink" Target="https://doi.org/10.1080/00380768.2017.1401906" TargetMode="External"/><Relationship Id="rId5" Type="http://schemas.openxmlformats.org/officeDocument/2006/relationships/hyperlink" Target="https://doi.org/10.1016/j.scitotenv.2014.10.073" TargetMode="External"/><Relationship Id="rId15" Type="http://schemas.openxmlformats.org/officeDocument/2006/relationships/hyperlink" Target="https://doi.org/10.1080/00380768.2017.1399044" TargetMode="External"/><Relationship Id="rId10" Type="http://schemas.openxmlformats.org/officeDocument/2006/relationships/hyperlink" Target="https://doi.org/10.1080/00380768.2017.1415660" TargetMode="External"/><Relationship Id="rId4" Type="http://schemas.openxmlformats.org/officeDocument/2006/relationships/hyperlink" Target="https://doi.org/10.1016/j.agee.2016.05.020" TargetMode="External"/><Relationship Id="rId9" Type="http://schemas.openxmlformats.org/officeDocument/2006/relationships/hyperlink" Target="https://doi.org/10.1007/s13765-013-4298-8" TargetMode="External"/><Relationship Id="rId14" Type="http://schemas.openxmlformats.org/officeDocument/2006/relationships/hyperlink" Target="https://doi.org/10.1080/00380768.2017.1409600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doi:%2010.3389/fpls.2023.1130545" TargetMode="External"/><Relationship Id="rId1" Type="http://schemas.openxmlformats.org/officeDocument/2006/relationships/hyperlink" Target="https://nmbu.brage.unit.no/nmbu-xmlui/handle/11250/187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A37FA-44F0-9F4C-89B3-7EADA41DBB39}">
  <dimension ref="A1:F23"/>
  <sheetViews>
    <sheetView zoomScale="130" zoomScaleNormal="130" workbookViewId="0">
      <selection activeCell="A3" sqref="A3:B10"/>
    </sheetView>
  </sheetViews>
  <sheetFormatPr baseColWidth="10" defaultRowHeight="15" x14ac:dyDescent="0.25"/>
  <cols>
    <col min="1" max="1" width="18" style="1" customWidth="1"/>
    <col min="2" max="16384" width="10.83203125" style="1"/>
  </cols>
  <sheetData>
    <row r="1" spans="1:2" x14ac:dyDescent="0.25">
      <c r="A1" s="1" t="s">
        <v>204</v>
      </c>
    </row>
    <row r="3" spans="1:2" x14ac:dyDescent="0.25">
      <c r="A3" s="1" t="s">
        <v>207</v>
      </c>
      <c r="B3" s="1" t="s">
        <v>208</v>
      </c>
    </row>
    <row r="4" spans="1:2" x14ac:dyDescent="0.25">
      <c r="A4" s="1" t="s">
        <v>6</v>
      </c>
      <c r="B4" s="1" t="s">
        <v>98</v>
      </c>
    </row>
    <row r="5" spans="1:2" x14ac:dyDescent="0.25">
      <c r="A5" s="1" t="s">
        <v>212</v>
      </c>
      <c r="B5" s="1" t="s">
        <v>213</v>
      </c>
    </row>
    <row r="6" spans="1:2" x14ac:dyDescent="0.25">
      <c r="A6" s="1" t="s">
        <v>233</v>
      </c>
      <c r="B6" s="1" t="s">
        <v>234</v>
      </c>
    </row>
    <row r="7" spans="1:2" x14ac:dyDescent="0.25">
      <c r="A7" s="1" t="s">
        <v>205</v>
      </c>
      <c r="B7" s="1" t="s">
        <v>206</v>
      </c>
    </row>
    <row r="8" spans="1:2" x14ac:dyDescent="0.25">
      <c r="A8" s="1" t="s">
        <v>215</v>
      </c>
      <c r="B8" s="1" t="s">
        <v>216</v>
      </c>
    </row>
    <row r="9" spans="1:2" x14ac:dyDescent="0.25">
      <c r="A9" s="1" t="s">
        <v>211</v>
      </c>
      <c r="B9" s="1" t="s">
        <v>214</v>
      </c>
    </row>
    <row r="10" spans="1:2" x14ac:dyDescent="0.25">
      <c r="A10" s="1" t="s">
        <v>209</v>
      </c>
      <c r="B10" s="1" t="s">
        <v>210</v>
      </c>
    </row>
    <row r="13" spans="1:2" x14ac:dyDescent="0.25">
      <c r="A13" s="1" t="s">
        <v>199</v>
      </c>
    </row>
    <row r="15" spans="1:2" x14ac:dyDescent="0.25">
      <c r="A15" s="1" t="s">
        <v>201</v>
      </c>
      <c r="B15" s="1">
        <v>27</v>
      </c>
    </row>
    <row r="16" spans="1:2" x14ac:dyDescent="0.25">
      <c r="A16" s="1" t="s">
        <v>200</v>
      </c>
      <c r="B16" s="1">
        <v>273</v>
      </c>
    </row>
    <row r="18" spans="1:6" x14ac:dyDescent="0.25">
      <c r="A18" s="1" t="s">
        <v>202</v>
      </c>
    </row>
    <row r="19" spans="1:6" ht="15" customHeight="1" x14ac:dyDescent="0.25">
      <c r="A19" s="26" t="s">
        <v>203</v>
      </c>
      <c r="B19" s="26"/>
      <c r="C19" s="26"/>
      <c r="D19" s="26"/>
      <c r="E19" s="26"/>
      <c r="F19" s="26"/>
    </row>
    <row r="20" spans="1:6" x14ac:dyDescent="0.25">
      <c r="A20" s="26"/>
      <c r="B20" s="26"/>
      <c r="C20" s="26"/>
      <c r="D20" s="26"/>
      <c r="E20" s="26"/>
      <c r="F20" s="26"/>
    </row>
    <row r="21" spans="1:6" x14ac:dyDescent="0.25">
      <c r="A21" s="26"/>
      <c r="B21" s="26"/>
      <c r="C21" s="26"/>
      <c r="D21" s="26"/>
      <c r="E21" s="26"/>
      <c r="F21" s="26"/>
    </row>
    <row r="22" spans="1:6" x14ac:dyDescent="0.25">
      <c r="A22" s="26"/>
      <c r="B22" s="26"/>
      <c r="C22" s="26"/>
      <c r="D22" s="26"/>
      <c r="E22" s="26"/>
      <c r="F22" s="26"/>
    </row>
    <row r="23" spans="1:6" x14ac:dyDescent="0.25">
      <c r="A23" s="26"/>
      <c r="B23" s="26"/>
      <c r="C23" s="26"/>
      <c r="D23" s="26"/>
      <c r="E23" s="26"/>
      <c r="F23" s="26"/>
    </row>
  </sheetData>
  <sortState xmlns:xlrd2="http://schemas.microsoft.com/office/spreadsheetml/2017/richdata2" ref="A3:B10">
    <sortCondition ref="A3:A10"/>
  </sortState>
  <mergeCells count="1">
    <mergeCell ref="A19:F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33775-4F68-0341-ABAC-5A262A82825E}">
  <sheetPr>
    <outlinePr summaryBelow="0" summaryRight="0"/>
  </sheetPr>
  <dimension ref="A1:AE16"/>
  <sheetViews>
    <sheetView tabSelected="1" topLeftCell="F1" zoomScale="130" zoomScaleNormal="130" workbookViewId="0">
      <pane ySplit="2" topLeftCell="A6" activePane="bottomLeft" state="frozen"/>
      <selection pane="bottomLeft" activeCell="A9" sqref="A9:XFD9"/>
    </sheetView>
  </sheetViews>
  <sheetFormatPr baseColWidth="10" defaultColWidth="12.6640625" defaultRowHeight="26" customHeight="1" x14ac:dyDescent="0.15"/>
  <cols>
    <col min="1" max="1" width="38" style="2" customWidth="1"/>
    <col min="2" max="2" width="13.1640625" style="2" customWidth="1"/>
    <col min="3" max="3" width="41" style="2" customWidth="1"/>
    <col min="4" max="4" width="22.33203125" style="2" customWidth="1"/>
    <col min="5" max="5" width="14" style="2" customWidth="1"/>
    <col min="6" max="8" width="11.6640625" style="2" customWidth="1"/>
    <col min="9" max="17" width="11.83203125" style="2" customWidth="1"/>
    <col min="18" max="18" width="11.6640625" style="2" customWidth="1"/>
    <col min="19" max="19" width="38" style="2" hidden="1" customWidth="1"/>
    <col min="20" max="20" width="50.6640625" style="2" hidden="1" customWidth="1"/>
    <col min="21" max="21" width="34" style="2" hidden="1" customWidth="1"/>
    <col min="22" max="22" width="0.1640625" style="2" hidden="1" customWidth="1"/>
    <col min="23" max="23" width="15.5" style="2" customWidth="1"/>
    <col min="24" max="24" width="56.6640625" style="2" customWidth="1"/>
    <col min="25" max="30" width="22.1640625" style="2" customWidth="1"/>
    <col min="31" max="16384" width="12.6640625" style="2"/>
  </cols>
  <sheetData>
    <row r="1" spans="1:31" ht="26" customHeight="1" x14ac:dyDescent="0.15">
      <c r="F1" s="25" t="s">
        <v>218</v>
      </c>
      <c r="G1" s="25"/>
      <c r="H1" s="25" t="s">
        <v>219</v>
      </c>
      <c r="I1" s="25"/>
      <c r="J1" s="25" t="s">
        <v>220</v>
      </c>
      <c r="K1" s="25"/>
      <c r="L1" s="25" t="s">
        <v>221</v>
      </c>
      <c r="M1" s="25"/>
      <c r="N1" s="25" t="s">
        <v>222</v>
      </c>
      <c r="O1" s="25"/>
      <c r="P1" s="25" t="s">
        <v>232</v>
      </c>
      <c r="Q1" s="25"/>
      <c r="R1" s="25"/>
    </row>
    <row r="2" spans="1:31" s="4" customFormat="1" ht="26" customHeight="1" x14ac:dyDescent="0.15">
      <c r="A2" s="3" t="s">
        <v>0</v>
      </c>
      <c r="B2" s="3" t="s">
        <v>289</v>
      </c>
      <c r="C2" s="3" t="s">
        <v>1</v>
      </c>
      <c r="D2" s="3" t="s">
        <v>50</v>
      </c>
      <c r="E2" s="3" t="s">
        <v>217</v>
      </c>
      <c r="F2" s="3" t="s">
        <v>205</v>
      </c>
      <c r="G2" s="3" t="s">
        <v>209</v>
      </c>
      <c r="H2" s="3" t="s">
        <v>205</v>
      </c>
      <c r="I2" s="3" t="s">
        <v>209</v>
      </c>
      <c r="J2" s="3" t="s">
        <v>205</v>
      </c>
      <c r="K2" s="3" t="s">
        <v>209</v>
      </c>
      <c r="L2" s="3" t="s">
        <v>205</v>
      </c>
      <c r="M2" s="3" t="s">
        <v>209</v>
      </c>
      <c r="N2" s="3" t="s">
        <v>205</v>
      </c>
      <c r="O2" s="3" t="s">
        <v>209</v>
      </c>
      <c r="P2" s="3" t="s">
        <v>230</v>
      </c>
      <c r="Q2" s="3" t="s">
        <v>223</v>
      </c>
      <c r="R2" s="3" t="s">
        <v>224</v>
      </c>
      <c r="S2" s="3" t="s">
        <v>2</v>
      </c>
      <c r="T2" s="3" t="s">
        <v>51</v>
      </c>
      <c r="U2" s="3" t="s">
        <v>3</v>
      </c>
      <c r="V2" s="3" t="s">
        <v>52</v>
      </c>
      <c r="W2" s="3" t="s">
        <v>53</v>
      </c>
      <c r="X2" s="13" t="s">
        <v>54</v>
      </c>
      <c r="Y2" s="13" t="s">
        <v>55</v>
      </c>
    </row>
    <row r="3" spans="1:31" ht="26" customHeight="1" x14ac:dyDescent="0.15">
      <c r="A3" s="5" t="s">
        <v>9</v>
      </c>
      <c r="B3" s="23" t="s">
        <v>275</v>
      </c>
      <c r="C3" s="24" t="s">
        <v>10</v>
      </c>
      <c r="D3" s="7" t="s">
        <v>290</v>
      </c>
      <c r="E3" s="5" t="s">
        <v>20</v>
      </c>
      <c r="F3" s="8">
        <v>4.72</v>
      </c>
      <c r="G3" s="8">
        <v>1.25</v>
      </c>
      <c r="H3" s="9">
        <v>3.25</v>
      </c>
      <c r="I3" s="9">
        <v>0.83</v>
      </c>
      <c r="J3" s="10">
        <f>(F3*Notes!$B$15)+(H3*Notes!$B$16)</f>
        <v>1014.69</v>
      </c>
      <c r="K3" s="10">
        <f>(G3*Notes!$B$15)+(I3*Notes!$B$16)</f>
        <v>260.33999999999997</v>
      </c>
      <c r="L3" s="9">
        <v>2.75</v>
      </c>
      <c r="M3" s="9">
        <v>6</v>
      </c>
      <c r="N3" s="22">
        <f>IF(L3=0,"n/a",J3/L3)</f>
        <v>368.97818181818184</v>
      </c>
      <c r="O3" s="22">
        <f>IF(M3=0,"n/a",K3/M3)</f>
        <v>43.389999999999993</v>
      </c>
      <c r="P3" s="12">
        <f>IF(J3=0,"n/a",((K3-J3)/J3))</f>
        <v>-0.74342902758477969</v>
      </c>
      <c r="Q3" s="12">
        <f>IF(N3=0,"n/a",IF(N3="n/a","n/a",((O3-N3)/N3)))</f>
        <v>-0.88240497097635739</v>
      </c>
      <c r="R3" s="12">
        <f>IF(M3=0,"n/a",((M3-L3)/L3))</f>
        <v>1.1818181818181819</v>
      </c>
      <c r="S3" s="5" t="s">
        <v>28</v>
      </c>
      <c r="T3" s="5" t="s">
        <v>88</v>
      </c>
      <c r="U3" s="5" t="s">
        <v>89</v>
      </c>
      <c r="V3" s="5" t="s">
        <v>90</v>
      </c>
      <c r="W3" s="5" t="s">
        <v>235</v>
      </c>
      <c r="X3" s="13" t="s">
        <v>240</v>
      </c>
      <c r="Y3" s="5" t="s">
        <v>175</v>
      </c>
      <c r="Z3" s="5" t="s">
        <v>176</v>
      </c>
      <c r="AA3" s="5" t="s">
        <v>177</v>
      </c>
      <c r="AB3" s="5" t="s">
        <v>178</v>
      </c>
      <c r="AC3" s="5"/>
    </row>
    <row r="4" spans="1:31" ht="26" customHeight="1" x14ac:dyDescent="0.15">
      <c r="A4" s="5" t="s">
        <v>4</v>
      </c>
      <c r="B4" s="23" t="s">
        <v>276</v>
      </c>
      <c r="C4" s="6" t="s">
        <v>5</v>
      </c>
      <c r="D4" s="7" t="s">
        <v>270</v>
      </c>
      <c r="E4" s="5" t="s">
        <v>20</v>
      </c>
      <c r="F4" s="8">
        <v>32.33</v>
      </c>
      <c r="G4" s="8">
        <v>19.93</v>
      </c>
      <c r="H4" s="9"/>
      <c r="I4" s="9"/>
      <c r="J4" s="10">
        <f>(F4*Notes!$B$15)+(H4*Notes!$B$16)</f>
        <v>872.91</v>
      </c>
      <c r="K4" s="10">
        <f>(G4*Notes!$B$15)+(I4*Notes!$B$16)</f>
        <v>538.11</v>
      </c>
      <c r="L4" s="15">
        <v>4.53</v>
      </c>
      <c r="M4" s="15">
        <v>5.03</v>
      </c>
      <c r="N4" s="22">
        <f t="shared" ref="N4:N10" si="0">IF(L4=0,"n/a",J4/L4)</f>
        <v>192.69536423841058</v>
      </c>
      <c r="O4" s="22">
        <f t="shared" ref="O4:O10" si="1">IF(M4=0,"n/a",K4/M4)</f>
        <v>106.98011928429423</v>
      </c>
      <c r="P4" s="12">
        <f t="shared" ref="P4:P10" si="2">IF(J4=0,"n/a",((K4-J4)/J4))</f>
        <v>-0.38354469532941537</v>
      </c>
      <c r="Q4" s="12">
        <f t="shared" ref="Q4:Q10" si="3">IF(N4=0,"n/a",IF(N4="n/a","n/a",((O4-N4)/N4)))</f>
        <v>-0.4448225586167498</v>
      </c>
      <c r="R4" s="12">
        <f t="shared" ref="R4:R10" si="4">IF(M4=0,"n/a",((M4-L4)/L4))</f>
        <v>0.11037527593818984</v>
      </c>
      <c r="S4" s="5" t="s">
        <v>28</v>
      </c>
      <c r="T4" s="5" t="s">
        <v>73</v>
      </c>
      <c r="U4" s="5" t="s">
        <v>35</v>
      </c>
      <c r="V4" s="5" t="s">
        <v>74</v>
      </c>
      <c r="W4" s="5"/>
      <c r="X4" s="13"/>
      <c r="Y4" s="5"/>
      <c r="Z4" s="5"/>
      <c r="AA4" s="5"/>
      <c r="AB4" s="5"/>
    </row>
    <row r="5" spans="1:31" ht="26" customHeight="1" x14ac:dyDescent="0.15">
      <c r="A5" s="5" t="s">
        <v>21</v>
      </c>
      <c r="B5" s="23" t="s">
        <v>276</v>
      </c>
      <c r="C5" s="6" t="s">
        <v>231</v>
      </c>
      <c r="D5" s="2" t="s">
        <v>274</v>
      </c>
      <c r="E5" s="5" t="s">
        <v>6</v>
      </c>
      <c r="F5" s="16">
        <v>50.05</v>
      </c>
      <c r="G5" s="16">
        <v>34.75</v>
      </c>
      <c r="H5" s="15"/>
      <c r="I5" s="15"/>
      <c r="J5" s="10">
        <f>(F5*Notes!$B$15)+(H5*Notes!$B$16)</f>
        <v>1351.35</v>
      </c>
      <c r="K5" s="10">
        <f>(G5*Notes!$B$15)+(I5*Notes!$B$16)</f>
        <v>938.25</v>
      </c>
      <c r="L5" s="15"/>
      <c r="M5" s="15"/>
      <c r="N5" s="22" t="str">
        <f>IF(L5=0,"n/a",J5/L5)</f>
        <v>n/a</v>
      </c>
      <c r="O5" s="22" t="str">
        <f>IF(M5=0,"n/a",K5/M5)</f>
        <v>n/a</v>
      </c>
      <c r="P5" s="12">
        <f>IF(J5=0,"n/a",((K5-J5)/J5))</f>
        <v>-0.30569430569430567</v>
      </c>
      <c r="Q5" s="12" t="str">
        <f>IF(N5=0,"n/a",IF(N5="n/a","n/a",((O5-N5)/N5)))</f>
        <v>n/a</v>
      </c>
      <c r="R5" s="12" t="str">
        <f>IF(M5=0,"n/a",((M5-L5)/L5))</f>
        <v>n/a</v>
      </c>
      <c r="W5" s="5"/>
      <c r="X5" s="13"/>
      <c r="Y5" s="5" t="s">
        <v>196</v>
      </c>
      <c r="Z5" s="5" t="s">
        <v>197</v>
      </c>
      <c r="AA5" s="5"/>
      <c r="AB5" s="5"/>
      <c r="AC5" s="5"/>
      <c r="AD5" s="5"/>
    </row>
    <row r="6" spans="1:31" ht="26" customHeight="1" x14ac:dyDescent="0.15">
      <c r="A6" s="5" t="s">
        <v>7</v>
      </c>
      <c r="B6" s="23" t="s">
        <v>291</v>
      </c>
      <c r="C6" s="6" t="s">
        <v>8</v>
      </c>
      <c r="D6" s="5" t="s">
        <v>271</v>
      </c>
      <c r="E6" s="5" t="s">
        <v>20</v>
      </c>
      <c r="F6" s="8">
        <v>22.59</v>
      </c>
      <c r="G6" s="8">
        <v>8.49</v>
      </c>
      <c r="H6" s="9">
        <v>0.61</v>
      </c>
      <c r="I6" s="9">
        <v>0.9</v>
      </c>
      <c r="J6" s="10">
        <f>(F6*Notes!$B$15)+(H6*Notes!$B$16)</f>
        <v>776.45999999999992</v>
      </c>
      <c r="K6" s="10">
        <f>(G6*Notes!$B$15)+(I6*Notes!$B$16)</f>
        <v>474.93000000000006</v>
      </c>
      <c r="L6" s="9">
        <v>5.88</v>
      </c>
      <c r="M6" s="9">
        <v>5.69</v>
      </c>
      <c r="N6" s="22">
        <f t="shared" si="0"/>
        <v>132.05102040816325</v>
      </c>
      <c r="O6" s="22">
        <f t="shared" si="1"/>
        <v>83.467486818980674</v>
      </c>
      <c r="P6" s="12">
        <f t="shared" si="2"/>
        <v>-0.38833938644617866</v>
      </c>
      <c r="Q6" s="12">
        <f t="shared" si="3"/>
        <v>-0.36791486683717589</v>
      </c>
      <c r="R6" s="12">
        <f t="shared" si="4"/>
        <v>-3.2312925170067945E-2</v>
      </c>
      <c r="S6" s="5" t="s">
        <v>28</v>
      </c>
      <c r="T6" s="5" t="s">
        <v>80</v>
      </c>
      <c r="U6" s="5" t="s">
        <v>38</v>
      </c>
      <c r="V6" s="5" t="s">
        <v>81</v>
      </c>
      <c r="W6" s="5" t="s">
        <v>238</v>
      </c>
      <c r="X6" s="13" t="s">
        <v>171</v>
      </c>
      <c r="Y6" s="5" t="s">
        <v>172</v>
      </c>
      <c r="Z6" s="5" t="s">
        <v>173</v>
      </c>
      <c r="AA6" s="5" t="s">
        <v>174</v>
      </c>
      <c r="AB6" s="5"/>
      <c r="AC6" s="5"/>
      <c r="AD6" s="5"/>
      <c r="AE6" s="5"/>
    </row>
    <row r="7" spans="1:31" ht="26" customHeight="1" x14ac:dyDescent="0.15">
      <c r="A7" s="5" t="s">
        <v>13</v>
      </c>
      <c r="B7" s="23" t="s">
        <v>277</v>
      </c>
      <c r="C7" s="17" t="s">
        <v>14</v>
      </c>
      <c r="D7" s="7" t="s">
        <v>263</v>
      </c>
      <c r="E7" s="5" t="s">
        <v>198</v>
      </c>
      <c r="F7" s="8">
        <v>61.69</v>
      </c>
      <c r="G7" s="8">
        <v>34.409999999999997</v>
      </c>
      <c r="H7" s="9">
        <v>0.33169999999999999</v>
      </c>
      <c r="I7" s="9">
        <v>0.34079999999999999</v>
      </c>
      <c r="J7" s="10">
        <f>(F7*Notes!$B$15)+(H7*Notes!$B$16)</f>
        <v>1756.1840999999999</v>
      </c>
      <c r="K7" s="10">
        <f>(G7*Notes!$B$15)+(I7*Notes!$B$16)</f>
        <v>1022.1084</v>
      </c>
      <c r="L7" s="9">
        <v>3.25</v>
      </c>
      <c r="M7" s="9">
        <v>4.92</v>
      </c>
      <c r="N7" s="22">
        <f>IF(L7=0,"n/a",J7/L7)</f>
        <v>540.36433846153841</v>
      </c>
      <c r="O7" s="22">
        <f>IF(M7=0,"n/a",K7/M7)</f>
        <v>207.74560975609756</v>
      </c>
      <c r="P7" s="12">
        <f>IF(J7=0,"n/a",((K7-J7)/J7))</f>
        <v>-0.41799473073466503</v>
      </c>
      <c r="Q7" s="12">
        <f>IF(N7=0,"n/a",IF(N7="n/a","n/a",((O7-N7)/N7)))</f>
        <v>-0.61554529977391481</v>
      </c>
      <c r="R7" s="12">
        <f>IF(M7=0,"n/a",((M7-L7)/L7))</f>
        <v>0.51384615384615384</v>
      </c>
      <c r="S7" s="5" t="s">
        <v>28</v>
      </c>
      <c r="T7" s="5" t="s">
        <v>122</v>
      </c>
      <c r="U7" s="5" t="s">
        <v>15</v>
      </c>
      <c r="V7" s="5" t="s">
        <v>123</v>
      </c>
      <c r="X7" s="18"/>
    </row>
    <row r="8" spans="1:31" ht="26" customHeight="1" x14ac:dyDescent="0.15">
      <c r="A8" s="5" t="s">
        <v>11</v>
      </c>
      <c r="B8" s="23" t="s">
        <v>278</v>
      </c>
      <c r="C8" s="6" t="s">
        <v>12</v>
      </c>
      <c r="D8" s="5" t="s">
        <v>272</v>
      </c>
      <c r="E8" s="5" t="s">
        <v>20</v>
      </c>
      <c r="F8" s="16">
        <v>5.19</v>
      </c>
      <c r="G8" s="16">
        <v>3.84</v>
      </c>
      <c r="H8" s="15">
        <v>1.54</v>
      </c>
      <c r="I8" s="15">
        <v>1.65</v>
      </c>
      <c r="J8" s="10">
        <f>(F8*Notes!$B$15)+(H8*Notes!$B$16)</f>
        <v>560.55000000000007</v>
      </c>
      <c r="K8" s="10">
        <f>(G8*Notes!$B$15)+(I8*Notes!$B$16)</f>
        <v>554.13</v>
      </c>
      <c r="L8" s="15">
        <v>5.3</v>
      </c>
      <c r="M8" s="15">
        <v>5.86</v>
      </c>
      <c r="N8" s="22">
        <f t="shared" si="0"/>
        <v>105.76415094339625</v>
      </c>
      <c r="O8" s="22">
        <f t="shared" si="1"/>
        <v>94.561433447098963</v>
      </c>
      <c r="P8" s="12">
        <f t="shared" si="2"/>
        <v>-1.1453037195611582E-2</v>
      </c>
      <c r="Q8" s="12">
        <f t="shared" si="3"/>
        <v>-0.1059216889311847</v>
      </c>
      <c r="R8" s="12">
        <f t="shared" si="4"/>
        <v>0.10566037735849067</v>
      </c>
      <c r="S8" s="5" t="s">
        <v>45</v>
      </c>
      <c r="T8" s="5" t="s">
        <v>104</v>
      </c>
      <c r="U8" s="5" t="s">
        <v>46</v>
      </c>
      <c r="V8" s="5" t="s">
        <v>105</v>
      </c>
      <c r="W8" s="5"/>
      <c r="X8" s="13" t="s">
        <v>236</v>
      </c>
      <c r="Y8" s="5" t="s">
        <v>179</v>
      </c>
      <c r="Z8" s="5" t="s">
        <v>180</v>
      </c>
      <c r="AA8" s="5" t="s">
        <v>181</v>
      </c>
      <c r="AB8" s="5" t="s">
        <v>182</v>
      </c>
      <c r="AC8" s="5"/>
      <c r="AD8" s="5"/>
    </row>
    <row r="9" spans="1:31" ht="26" customHeight="1" x14ac:dyDescent="0.15">
      <c r="A9" s="5" t="s">
        <v>18</v>
      </c>
      <c r="B9" s="23" t="s">
        <v>280</v>
      </c>
      <c r="C9" s="6" t="s">
        <v>19</v>
      </c>
      <c r="D9" s="5" t="s">
        <v>273</v>
      </c>
      <c r="E9" s="5" t="s">
        <v>20</v>
      </c>
      <c r="F9" s="16">
        <v>85.33</v>
      </c>
      <c r="G9" s="16">
        <v>55.94</v>
      </c>
      <c r="H9" s="15">
        <v>1.51</v>
      </c>
      <c r="I9" s="15">
        <v>1.92</v>
      </c>
      <c r="J9" s="10">
        <f>(F9*Notes!$B$15)+(H9*Notes!$B$16)</f>
        <v>2716.14</v>
      </c>
      <c r="K9" s="10">
        <f>(G9*Notes!$B$15)+(I9*Notes!$B$16)</f>
        <v>2034.54</v>
      </c>
      <c r="L9" s="15">
        <v>5.4</v>
      </c>
      <c r="M9" s="15">
        <v>12.25</v>
      </c>
      <c r="N9" s="22">
        <f>IF(L9=0,"n/a",J9/L9)</f>
        <v>502.98888888888882</v>
      </c>
      <c r="O9" s="22">
        <f>IF(M9=0,"n/a",K9/M9)</f>
        <v>166.08489795918368</v>
      </c>
      <c r="P9" s="12">
        <f>IF(J9=0,"n/a",((K9-J9)/J9))</f>
        <v>-0.25094435485652433</v>
      </c>
      <c r="Q9" s="12">
        <f>IF(N9=0,"n/a",IF(N9="n/a","n/a",((O9-N9)/N9)))</f>
        <v>-0.66980404214083522</v>
      </c>
      <c r="R9" s="12">
        <f>IF(M9=0,"n/a",((M9-L9)/L9))</f>
        <v>1.2685185185185184</v>
      </c>
      <c r="W9" s="5" t="s">
        <v>239</v>
      </c>
      <c r="X9" s="13"/>
      <c r="Y9" s="5" t="s">
        <v>190</v>
      </c>
      <c r="Z9" s="5" t="s">
        <v>191</v>
      </c>
      <c r="AA9" s="5" t="s">
        <v>192</v>
      </c>
      <c r="AB9" s="5" t="s">
        <v>193</v>
      </c>
      <c r="AC9" s="5" t="s">
        <v>194</v>
      </c>
      <c r="AD9" s="5" t="s">
        <v>195</v>
      </c>
    </row>
    <row r="10" spans="1:31" ht="26" customHeight="1" x14ac:dyDescent="0.15">
      <c r="A10" s="5" t="s">
        <v>16</v>
      </c>
      <c r="B10" s="23" t="s">
        <v>279</v>
      </c>
      <c r="C10" s="6" t="s">
        <v>17</v>
      </c>
      <c r="D10" s="5" t="s">
        <v>273</v>
      </c>
      <c r="E10" s="5" t="s">
        <v>20</v>
      </c>
      <c r="F10" s="16">
        <v>102.3</v>
      </c>
      <c r="G10" s="16">
        <v>64.94</v>
      </c>
      <c r="H10" s="15">
        <v>1.48</v>
      </c>
      <c r="I10" s="15">
        <v>2.02</v>
      </c>
      <c r="J10" s="10">
        <f>(F10*Notes!$B$15)+(H10*Notes!$B$16)</f>
        <v>3166.14</v>
      </c>
      <c r="K10" s="10">
        <f>(G10*Notes!$B$15)+(I10*Notes!$B$16)</f>
        <v>2304.84</v>
      </c>
      <c r="L10" s="15">
        <v>4.4000000000000004</v>
      </c>
      <c r="M10" s="15">
        <v>11</v>
      </c>
      <c r="N10" s="22">
        <f t="shared" si="0"/>
        <v>719.57727272727266</v>
      </c>
      <c r="O10" s="22">
        <f t="shared" si="1"/>
        <v>209.53090909090909</v>
      </c>
      <c r="P10" s="12">
        <f t="shared" si="2"/>
        <v>-0.27203471735299128</v>
      </c>
      <c r="Q10" s="12">
        <f t="shared" si="3"/>
        <v>-0.70881388694119651</v>
      </c>
      <c r="R10" s="12">
        <f t="shared" si="4"/>
        <v>1.4999999999999998</v>
      </c>
      <c r="W10" s="5" t="s">
        <v>237</v>
      </c>
      <c r="X10" s="13" t="s">
        <v>183</v>
      </c>
      <c r="Y10" s="5" t="s">
        <v>184</v>
      </c>
      <c r="Z10" s="5" t="s">
        <v>185</v>
      </c>
      <c r="AA10" s="5" t="s">
        <v>186</v>
      </c>
      <c r="AB10" s="5" t="s">
        <v>187</v>
      </c>
      <c r="AC10" s="5" t="s">
        <v>188</v>
      </c>
      <c r="AD10" s="5" t="s">
        <v>189</v>
      </c>
    </row>
    <row r="12" spans="1:31" ht="26" customHeight="1" x14ac:dyDescent="0.15">
      <c r="F12" s="19"/>
      <c r="G12" s="19"/>
      <c r="H12" s="19"/>
      <c r="I12" s="2" t="s">
        <v>226</v>
      </c>
      <c r="J12" s="19">
        <f>MEDIAN(J$3:J$10)</f>
        <v>1183.02</v>
      </c>
      <c r="K12" s="19">
        <f>MEDIAN(K$3:K$10)</f>
        <v>746.19</v>
      </c>
      <c r="L12" s="19">
        <f>MEDIAN(L$3:L$10)</f>
        <v>4.53</v>
      </c>
      <c r="M12" s="19">
        <f>MEDIAN(M$3:M$10)</f>
        <v>5.86</v>
      </c>
      <c r="N12" s="19">
        <f>MEDIAN(N$3:N$10)</f>
        <v>368.97818181818184</v>
      </c>
      <c r="O12" s="19">
        <f>MEDIAN(O$3:O$10)</f>
        <v>106.98011928429423</v>
      </c>
      <c r="P12" s="20">
        <f>MEDIAN(P$3:P$10)</f>
        <v>-0.34461950051186052</v>
      </c>
      <c r="Q12" s="20">
        <f>MEDIAN(Q$3:Q$10)</f>
        <v>-0.61554529977391481</v>
      </c>
      <c r="R12" s="20">
        <f>MEDIAN(R$3:R$10)</f>
        <v>0.51384615384615384</v>
      </c>
    </row>
    <row r="13" spans="1:31" ht="26" customHeight="1" x14ac:dyDescent="0.15">
      <c r="F13" s="19"/>
      <c r="G13" s="19"/>
      <c r="H13" s="19"/>
      <c r="I13" s="2" t="s">
        <v>227</v>
      </c>
      <c r="J13" s="19">
        <f>AVERAGE(J$3:J$10)</f>
        <v>1526.8030125</v>
      </c>
      <c r="K13" s="19">
        <f>AVERAGE(K$3:K$10)</f>
        <v>1015.9060500000001</v>
      </c>
      <c r="L13" s="19">
        <f>AVERAGE(L$3:L$10)</f>
        <v>4.5014285714285709</v>
      </c>
      <c r="M13" s="19">
        <f>AVERAGE(M$3:M$10)</f>
        <v>7.25</v>
      </c>
      <c r="N13" s="19">
        <f>AVERAGE(N$3:N$10)</f>
        <v>366.05988821226453</v>
      </c>
      <c r="O13" s="19">
        <f>AVERAGE(O$3:O$10)</f>
        <v>130.25149376522344</v>
      </c>
      <c r="P13" s="20">
        <f>AVERAGE(P$3:P$10)</f>
        <v>-0.34667928189930897</v>
      </c>
      <c r="Q13" s="20">
        <f>AVERAGE(Q$3:Q$10)</f>
        <v>-0.54217533060248779</v>
      </c>
      <c r="R13" s="20">
        <f>AVERAGE(R$3:R$10)</f>
        <v>0.66398651175849521</v>
      </c>
    </row>
    <row r="14" spans="1:31" ht="26" customHeight="1" x14ac:dyDescent="0.15">
      <c r="F14" s="19"/>
      <c r="G14" s="19"/>
      <c r="H14" s="19"/>
      <c r="I14" s="2" t="s">
        <v>228</v>
      </c>
      <c r="J14" s="19">
        <f>MAX(J$3:J$10)</f>
        <v>3166.14</v>
      </c>
      <c r="K14" s="19">
        <f>MAX(K$3:K$10)</f>
        <v>2304.84</v>
      </c>
      <c r="L14" s="19">
        <f>MAX(L$3:L$10)</f>
        <v>5.88</v>
      </c>
      <c r="M14" s="19">
        <f>MAX(M$3:M$10)</f>
        <v>12.25</v>
      </c>
      <c r="N14" s="19">
        <f>MAX(N$3:N$10)</f>
        <v>719.57727272727266</v>
      </c>
      <c r="O14" s="19">
        <f>MAX(O$3:O$10)</f>
        <v>209.53090909090909</v>
      </c>
      <c r="P14" s="20">
        <f>MAX(P$3:P$10)</f>
        <v>-1.1453037195611582E-2</v>
      </c>
      <c r="Q14" s="20">
        <f>MAX(Q$3:Q$10)</f>
        <v>-0.1059216889311847</v>
      </c>
      <c r="R14" s="20">
        <f>MAX(R$3:R$10)</f>
        <v>1.4999999999999998</v>
      </c>
    </row>
    <row r="15" spans="1:31" ht="26" customHeight="1" x14ac:dyDescent="0.15">
      <c r="F15" s="19"/>
      <c r="G15" s="19"/>
      <c r="H15" s="19"/>
      <c r="I15" s="2" t="s">
        <v>229</v>
      </c>
      <c r="J15" s="19">
        <f t="shared" ref="J15:R15" si="5">MIN(J$3:J$10)</f>
        <v>560.55000000000007</v>
      </c>
      <c r="K15" s="19">
        <f t="shared" si="5"/>
        <v>260.33999999999997</v>
      </c>
      <c r="L15" s="19">
        <f t="shared" si="5"/>
        <v>2.75</v>
      </c>
      <c r="M15" s="19">
        <f t="shared" si="5"/>
        <v>4.92</v>
      </c>
      <c r="N15" s="19">
        <f t="shared" si="5"/>
        <v>105.76415094339625</v>
      </c>
      <c r="O15" s="19">
        <f t="shared" si="5"/>
        <v>43.389999999999993</v>
      </c>
      <c r="P15" s="20">
        <f t="shared" si="5"/>
        <v>-0.74342902758477969</v>
      </c>
      <c r="Q15" s="20">
        <f t="shared" si="5"/>
        <v>-0.88240497097635739</v>
      </c>
      <c r="R15" s="20">
        <f t="shared" si="5"/>
        <v>-3.2312925170067945E-2</v>
      </c>
    </row>
    <row r="16" spans="1:31" ht="26" customHeight="1" x14ac:dyDescent="0.15"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</sheetData>
  <mergeCells count="6">
    <mergeCell ref="P1:R1"/>
    <mergeCell ref="F1:G1"/>
    <mergeCell ref="H1:I1"/>
    <mergeCell ref="J1:K1"/>
    <mergeCell ref="L1:M1"/>
    <mergeCell ref="N1:O1"/>
  </mergeCells>
  <hyperlinks>
    <hyperlink ref="C3" r:id="rId1" xr:uid="{B6399614-9703-4B43-88F2-FB1FFAD6B7C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E24"/>
  <sheetViews>
    <sheetView zoomScale="130" zoomScaleNormal="130" workbookViewId="0">
      <pane ySplit="2" topLeftCell="A9" activePane="bottomLeft" state="frozen"/>
      <selection pane="bottomLeft" activeCell="C24" sqref="C24:C25"/>
    </sheetView>
  </sheetViews>
  <sheetFormatPr baseColWidth="10" defaultColWidth="12.6640625" defaultRowHeight="26" customHeight="1" x14ac:dyDescent="0.15"/>
  <cols>
    <col min="1" max="1" width="38" style="2" customWidth="1"/>
    <col min="2" max="2" width="16" style="2" customWidth="1"/>
    <col min="3" max="3" width="41" style="2" customWidth="1"/>
    <col min="4" max="4" width="22.33203125" style="2" customWidth="1"/>
    <col min="5" max="5" width="14" style="2" customWidth="1"/>
    <col min="6" max="8" width="11.6640625" style="2" customWidth="1"/>
    <col min="9" max="17" width="11.83203125" style="2" customWidth="1"/>
    <col min="18" max="18" width="11.6640625" style="2" customWidth="1"/>
    <col min="19" max="19" width="38" style="2" hidden="1" customWidth="1"/>
    <col min="20" max="20" width="50.6640625" style="2" hidden="1" customWidth="1"/>
    <col min="21" max="21" width="34" style="2" hidden="1" customWidth="1"/>
    <col min="22" max="22" width="0.1640625" style="2" hidden="1" customWidth="1"/>
    <col min="23" max="23" width="15.5" style="2" customWidth="1"/>
    <col min="24" max="24" width="107.1640625" style="2" customWidth="1"/>
    <col min="25" max="25" width="64" style="2" customWidth="1"/>
    <col min="26" max="16384" width="12.6640625" style="2"/>
  </cols>
  <sheetData>
    <row r="1" spans="1:31" ht="26" customHeight="1" x14ac:dyDescent="0.15">
      <c r="F1" s="25" t="s">
        <v>218</v>
      </c>
      <c r="G1" s="25"/>
      <c r="H1" s="25" t="s">
        <v>219</v>
      </c>
      <c r="I1" s="25"/>
      <c r="J1" s="25" t="s">
        <v>220</v>
      </c>
      <c r="K1" s="25"/>
      <c r="L1" s="25" t="s">
        <v>221</v>
      </c>
      <c r="M1" s="25"/>
      <c r="N1" s="25" t="s">
        <v>222</v>
      </c>
      <c r="O1" s="25"/>
      <c r="P1" s="25" t="s">
        <v>225</v>
      </c>
      <c r="Q1" s="25"/>
      <c r="R1" s="25"/>
    </row>
    <row r="2" spans="1:31" s="4" customFormat="1" ht="26" customHeight="1" x14ac:dyDescent="0.15">
      <c r="A2" s="3" t="s">
        <v>0</v>
      </c>
      <c r="B2" s="3" t="s">
        <v>289</v>
      </c>
      <c r="C2" s="3" t="s">
        <v>1</v>
      </c>
      <c r="D2" s="3" t="s">
        <v>254</v>
      </c>
      <c r="E2" s="3" t="s">
        <v>217</v>
      </c>
      <c r="F2" s="3" t="s">
        <v>205</v>
      </c>
      <c r="G2" s="3" t="s">
        <v>207</v>
      </c>
      <c r="H2" s="3" t="s">
        <v>205</v>
      </c>
      <c r="I2" s="3" t="s">
        <v>207</v>
      </c>
      <c r="J2" s="3" t="s">
        <v>205</v>
      </c>
      <c r="K2" s="3" t="s">
        <v>207</v>
      </c>
      <c r="L2" s="3" t="s">
        <v>205</v>
      </c>
      <c r="M2" s="3" t="s">
        <v>207</v>
      </c>
      <c r="N2" s="3" t="s">
        <v>205</v>
      </c>
      <c r="O2" s="3" t="s">
        <v>207</v>
      </c>
      <c r="P2" s="3" t="s">
        <v>230</v>
      </c>
      <c r="Q2" s="3" t="s">
        <v>223</v>
      </c>
      <c r="R2" s="3" t="s">
        <v>224</v>
      </c>
      <c r="S2" s="3" t="s">
        <v>2</v>
      </c>
      <c r="T2" s="3" t="s">
        <v>51</v>
      </c>
      <c r="U2" s="3" t="s">
        <v>3</v>
      </c>
      <c r="V2" s="3" t="s">
        <v>52</v>
      </c>
      <c r="W2" s="3" t="s">
        <v>53</v>
      </c>
      <c r="X2" s="3" t="s">
        <v>54</v>
      </c>
      <c r="Y2" s="3" t="s">
        <v>55</v>
      </c>
    </row>
    <row r="3" spans="1:31" ht="26" customHeight="1" x14ac:dyDescent="0.15">
      <c r="A3" s="5" t="s">
        <v>29</v>
      </c>
      <c r="B3" s="23" t="s">
        <v>283</v>
      </c>
      <c r="C3" s="6" t="s">
        <v>30</v>
      </c>
      <c r="D3" s="5" t="s">
        <v>257</v>
      </c>
      <c r="E3" s="5" t="s">
        <v>20</v>
      </c>
      <c r="F3" s="8">
        <v>70.099999999999994</v>
      </c>
      <c r="G3" s="8">
        <v>18.8</v>
      </c>
      <c r="H3" s="9">
        <v>9.64</v>
      </c>
      <c r="I3" s="9">
        <v>10.7</v>
      </c>
      <c r="J3" s="10">
        <f>(F3*Notes!$B$15)+(H3*Notes!$B$16)</f>
        <v>4524.42</v>
      </c>
      <c r="K3" s="10">
        <f>(G3*Notes!$B$15)+(I3*Notes!$B$16)</f>
        <v>3428.7</v>
      </c>
      <c r="L3" s="9">
        <v>7.85</v>
      </c>
      <c r="M3" s="9">
        <v>8.06</v>
      </c>
      <c r="N3" s="9">
        <f>J3/L3</f>
        <v>576.35923566878989</v>
      </c>
      <c r="O3" s="9">
        <f t="shared" ref="O3" si="0">K3/M3</f>
        <v>425.39702233250614</v>
      </c>
      <c r="P3" s="11">
        <f>((K3-J3)/J3)</f>
        <v>-0.24217910804036766</v>
      </c>
      <c r="Q3" s="12">
        <f>IF(N3=0,"n/a",((O3-N3)/N3))</f>
        <v>-0.26192382110631357</v>
      </c>
      <c r="R3" s="12">
        <f>IF(M3=0,"n/a",((M3-L3)/L3))</f>
        <v>2.6751592356688007E-2</v>
      </c>
      <c r="S3" s="5" t="s">
        <v>31</v>
      </c>
      <c r="T3" s="5" t="s">
        <v>70</v>
      </c>
      <c r="U3" s="5" t="s">
        <v>32</v>
      </c>
      <c r="V3" s="5" t="s">
        <v>71</v>
      </c>
      <c r="W3" s="5" t="s">
        <v>72</v>
      </c>
      <c r="X3" s="13" t="s">
        <v>242</v>
      </c>
    </row>
    <row r="4" spans="1:31" ht="26" customHeight="1" x14ac:dyDescent="0.15">
      <c r="A4" s="5" t="s">
        <v>47</v>
      </c>
      <c r="B4" s="23" t="s">
        <v>288</v>
      </c>
      <c r="C4" s="6" t="s">
        <v>48</v>
      </c>
      <c r="D4" s="5" t="s">
        <v>262</v>
      </c>
      <c r="E4" s="5" t="s">
        <v>20</v>
      </c>
      <c r="F4" s="16">
        <v>378.63</v>
      </c>
      <c r="G4" s="16">
        <v>191.1</v>
      </c>
      <c r="H4" s="15">
        <v>0.56999999999999995</v>
      </c>
      <c r="I4" s="15">
        <v>0.76</v>
      </c>
      <c r="J4" s="10">
        <f>(F4*Notes!$B$15)+(H4*Notes!$B$16)</f>
        <v>10378.620000000001</v>
      </c>
      <c r="K4" s="10">
        <f>(G4*Notes!$B$15)+(I4*Notes!$B$16)</f>
        <v>5367.1799999999994</v>
      </c>
      <c r="L4" s="15">
        <v>5.47</v>
      </c>
      <c r="M4" s="15">
        <v>5.55</v>
      </c>
      <c r="N4" s="9">
        <f>J4/L4</f>
        <v>1897.3711151736748</v>
      </c>
      <c r="O4" s="9">
        <f t="shared" ref="O4" si="1">K4/M4</f>
        <v>967.05945945945939</v>
      </c>
      <c r="P4" s="11">
        <f>((K4-J4)/J4)</f>
        <v>-0.48286188337177788</v>
      </c>
      <c r="Q4" s="12">
        <f>IF(N4=0,"n/a",((O4-N4)/N4))</f>
        <v>-0.4903161264943468</v>
      </c>
      <c r="R4" s="12">
        <f>IF(M4=0,"n/a",((M4-L4)/L4))</f>
        <v>1.4625228519195626E-2</v>
      </c>
      <c r="S4" s="5" t="s">
        <v>28</v>
      </c>
      <c r="T4" s="5" t="s">
        <v>113</v>
      </c>
      <c r="U4" s="5" t="s">
        <v>49</v>
      </c>
      <c r="V4" s="5" t="s">
        <v>114</v>
      </c>
      <c r="W4" s="5" t="s">
        <v>115</v>
      </c>
      <c r="X4" s="13" t="s">
        <v>248</v>
      </c>
      <c r="Y4" s="5" t="s">
        <v>116</v>
      </c>
      <c r="Z4" s="5" t="s">
        <v>117</v>
      </c>
      <c r="AA4" s="5" t="s">
        <v>118</v>
      </c>
      <c r="AB4" s="5" t="s">
        <v>119</v>
      </c>
      <c r="AC4" s="5" t="s">
        <v>120</v>
      </c>
      <c r="AD4" s="5" t="s">
        <v>121</v>
      </c>
    </row>
    <row r="5" spans="1:31" ht="26" customHeight="1" x14ac:dyDescent="0.15">
      <c r="A5" s="5" t="s">
        <v>39</v>
      </c>
      <c r="B5" s="23" t="s">
        <v>292</v>
      </c>
      <c r="C5" s="6" t="s">
        <v>40</v>
      </c>
      <c r="D5" s="7" t="s">
        <v>259</v>
      </c>
      <c r="E5" s="5" t="s">
        <v>20</v>
      </c>
      <c r="F5" s="8">
        <v>105</v>
      </c>
      <c r="G5" s="8">
        <v>7.31</v>
      </c>
      <c r="H5" s="9">
        <v>3.1E-2</v>
      </c>
      <c r="I5" s="9">
        <v>0.39050000000000001</v>
      </c>
      <c r="J5" s="10">
        <f>(F5*Notes!$B$15)+(H5*Notes!$B$16)</f>
        <v>2843.4630000000002</v>
      </c>
      <c r="K5" s="10">
        <f>(G5*Notes!$B$15)+(I5*Notes!$B$16)</f>
        <v>303.97649999999999</v>
      </c>
      <c r="L5" s="9">
        <v>10.26</v>
      </c>
      <c r="M5" s="9">
        <v>9.35</v>
      </c>
      <c r="N5" s="9">
        <f>J5/L5</f>
        <v>277.1406432748538</v>
      </c>
      <c r="O5" s="9">
        <f t="shared" ref="O5" si="2">K5/M5</f>
        <v>32.510855614973259</v>
      </c>
      <c r="P5" s="11">
        <f>((K5-J5)/J5)</f>
        <v>-0.89309637579247547</v>
      </c>
      <c r="Q5" s="12">
        <f>IF(N5=0,"n/a",((O5-N5)/N5))</f>
        <v>-0.88269185193912303</v>
      </c>
      <c r="R5" s="12">
        <f>IF(M5=0,"n/a",((M5-L5)/L5))</f>
        <v>-8.8693957115009756E-2</v>
      </c>
      <c r="S5" s="5" t="s">
        <v>28</v>
      </c>
      <c r="T5" s="5" t="s">
        <v>88</v>
      </c>
      <c r="U5" s="5" t="s">
        <v>89</v>
      </c>
      <c r="V5" s="5" t="s">
        <v>90</v>
      </c>
      <c r="W5" s="5" t="s">
        <v>91</v>
      </c>
      <c r="X5" s="13" t="s">
        <v>245</v>
      </c>
      <c r="Y5" s="5" t="s">
        <v>92</v>
      </c>
      <c r="Z5" s="5" t="s">
        <v>93</v>
      </c>
      <c r="AA5" s="5" t="s">
        <v>94</v>
      </c>
      <c r="AB5" s="5" t="s">
        <v>95</v>
      </c>
      <c r="AC5" s="5" t="s">
        <v>96</v>
      </c>
    </row>
    <row r="6" spans="1:31" ht="26" customHeight="1" x14ac:dyDescent="0.15">
      <c r="A6" s="5" t="s">
        <v>36</v>
      </c>
      <c r="B6" s="23" t="s">
        <v>285</v>
      </c>
      <c r="C6" s="6" t="s">
        <v>37</v>
      </c>
      <c r="D6" s="5" t="s">
        <v>258</v>
      </c>
      <c r="E6" s="5" t="s">
        <v>198</v>
      </c>
      <c r="F6" s="8">
        <v>937</v>
      </c>
      <c r="G6" s="8">
        <v>266.75</v>
      </c>
      <c r="H6" s="9">
        <v>7.2</v>
      </c>
      <c r="I6" s="9">
        <v>9.93</v>
      </c>
      <c r="J6" s="10">
        <f>(F6*Notes!$B$15)+(H6*Notes!$B$16)</f>
        <v>27264.6</v>
      </c>
      <c r="K6" s="10">
        <f>(G6*Notes!$B$15)+(I6*Notes!$B$16)</f>
        <v>9913.14</v>
      </c>
      <c r="L6" s="9">
        <v>7.46</v>
      </c>
      <c r="M6" s="9">
        <v>6.71</v>
      </c>
      <c r="N6" s="9">
        <f>J6/L6</f>
        <v>3654.7721179624664</v>
      </c>
      <c r="O6" s="9">
        <f t="shared" ref="O6" si="3">K6/M6</f>
        <v>1477.3681073025334</v>
      </c>
      <c r="P6" s="11">
        <f>((K6-J6)/J6)</f>
        <v>-0.63640985013534035</v>
      </c>
      <c r="Q6" s="12">
        <f>IF(N6=0,"n/a",((O6-N6)/N6))</f>
        <v>-0.59577011654391054</v>
      </c>
      <c r="R6" s="12">
        <f>IF(M6=0,"n/a",((M6-L6)/L6))</f>
        <v>-0.10053619302949061</v>
      </c>
      <c r="S6" s="5" t="s">
        <v>28</v>
      </c>
      <c r="T6" s="5" t="s">
        <v>80</v>
      </c>
      <c r="U6" s="5" t="s">
        <v>38</v>
      </c>
      <c r="V6" s="5" t="s">
        <v>81</v>
      </c>
      <c r="W6" s="5" t="s">
        <v>72</v>
      </c>
      <c r="X6" s="13" t="s">
        <v>244</v>
      </c>
      <c r="Y6" s="5" t="s">
        <v>82</v>
      </c>
      <c r="Z6" s="5" t="s">
        <v>83</v>
      </c>
      <c r="AA6" s="5" t="s">
        <v>84</v>
      </c>
      <c r="AB6" s="5" t="s">
        <v>85</v>
      </c>
      <c r="AC6" s="5" t="s">
        <v>86</v>
      </c>
      <c r="AD6" s="5" t="s">
        <v>87</v>
      </c>
      <c r="AE6" s="5"/>
    </row>
    <row r="7" spans="1:31" ht="26" customHeight="1" x14ac:dyDescent="0.15">
      <c r="A7" s="5" t="s">
        <v>22</v>
      </c>
      <c r="B7" s="23" t="s">
        <v>281</v>
      </c>
      <c r="C7" s="6" t="s">
        <v>23</v>
      </c>
      <c r="D7" s="7" t="s">
        <v>255</v>
      </c>
      <c r="E7" s="5" t="s">
        <v>20</v>
      </c>
      <c r="F7" s="8">
        <v>424</v>
      </c>
      <c r="G7" s="8">
        <v>225</v>
      </c>
      <c r="H7" s="9">
        <v>0.39300000000000002</v>
      </c>
      <c r="I7" s="9">
        <v>3.8340000000000001</v>
      </c>
      <c r="J7" s="10">
        <f>(F7*Notes!$B$15)+(H7*Notes!$B$16)</f>
        <v>11555.289000000001</v>
      </c>
      <c r="K7" s="10">
        <f>(G7*Notes!$B$15)+(I7*Notes!$B$16)</f>
        <v>7121.6819999999998</v>
      </c>
      <c r="L7" s="9"/>
      <c r="M7" s="9"/>
      <c r="N7" s="9"/>
      <c r="O7" s="9"/>
      <c r="P7" s="11">
        <f>((K7-J7)/J7)</f>
        <v>-0.38368637945792622</v>
      </c>
      <c r="Q7" s="12" t="str">
        <f>IF(N7=0,"n/a",((O7-N7)/N7))</f>
        <v>n/a</v>
      </c>
      <c r="R7" s="12" t="str">
        <f>IF(M7=0,"n/a",((M7-L7)/L7))</f>
        <v>n/a</v>
      </c>
      <c r="S7" s="5" t="s">
        <v>24</v>
      </c>
      <c r="T7" s="5" t="s">
        <v>56</v>
      </c>
      <c r="U7" s="5" t="s">
        <v>25</v>
      </c>
      <c r="V7" s="5" t="s">
        <v>57</v>
      </c>
      <c r="W7" s="5" t="s">
        <v>58</v>
      </c>
      <c r="X7" s="13" t="s">
        <v>59</v>
      </c>
    </row>
    <row r="8" spans="1:31" ht="26" customHeight="1" x14ac:dyDescent="0.15">
      <c r="A8" s="5" t="s">
        <v>33</v>
      </c>
      <c r="B8" s="23" t="s">
        <v>284</v>
      </c>
      <c r="C8" s="6" t="s">
        <v>34</v>
      </c>
      <c r="D8" s="7" t="s">
        <v>269</v>
      </c>
      <c r="E8" s="5" t="s">
        <v>20</v>
      </c>
      <c r="F8" s="8">
        <v>175</v>
      </c>
      <c r="G8" s="8">
        <v>56.35</v>
      </c>
      <c r="H8" s="9">
        <v>0.10199999999999999</v>
      </c>
      <c r="I8" s="9">
        <v>0.379</v>
      </c>
      <c r="J8" s="10">
        <f>(F8*Notes!$B$15)+(H8*Notes!$B$16)</f>
        <v>4752.8459999999995</v>
      </c>
      <c r="K8" s="10">
        <f>(G8*Notes!$B$15)+(I8*Notes!$B$16)</f>
        <v>1624.9170000000001</v>
      </c>
      <c r="L8" s="15">
        <v>9.41</v>
      </c>
      <c r="M8" s="15">
        <v>10.210000000000001</v>
      </c>
      <c r="N8" s="9">
        <f t="shared" ref="N8:N16" si="4">J8/L8</f>
        <v>505.08459086078636</v>
      </c>
      <c r="O8" s="9">
        <f t="shared" ref="O8" si="5">K8/M8</f>
        <v>159.14955925563174</v>
      </c>
      <c r="P8" s="11">
        <f t="shared" ref="P8:P16" si="6">((K8-J8)/J8)</f>
        <v>-0.65811705239345009</v>
      </c>
      <c r="Q8" s="12">
        <f t="shared" ref="Q8:Q16" si="7">IF(N8=0,"n/a",((O8-N8)/N8))</f>
        <v>-0.68490513839592215</v>
      </c>
      <c r="R8" s="12">
        <f t="shared" ref="R8:R16" si="8">IF(M8=0,"n/a",((M8-L8)/L8))</f>
        <v>8.5015940488841729E-2</v>
      </c>
      <c r="S8" s="5" t="s">
        <v>28</v>
      </c>
      <c r="T8" s="5" t="s">
        <v>73</v>
      </c>
      <c r="U8" s="5" t="s">
        <v>35</v>
      </c>
      <c r="V8" s="5" t="s">
        <v>74</v>
      </c>
      <c r="W8" s="5" t="s">
        <v>75</v>
      </c>
      <c r="X8" s="13" t="s">
        <v>243</v>
      </c>
      <c r="Y8" s="5" t="s">
        <v>76</v>
      </c>
      <c r="Z8" s="5" t="s">
        <v>77</v>
      </c>
      <c r="AA8" s="5" t="s">
        <v>78</v>
      </c>
      <c r="AB8" s="5" t="s">
        <v>79</v>
      </c>
    </row>
    <row r="9" spans="1:31" ht="26" customHeight="1" x14ac:dyDescent="0.15">
      <c r="A9" s="5" t="s">
        <v>97</v>
      </c>
      <c r="B9" s="23" t="s">
        <v>286</v>
      </c>
      <c r="C9" s="6" t="s">
        <v>41</v>
      </c>
      <c r="D9" s="5" t="s">
        <v>260</v>
      </c>
      <c r="E9" s="5" t="s">
        <v>6</v>
      </c>
      <c r="F9" s="8">
        <v>153.5</v>
      </c>
      <c r="G9" s="8">
        <v>63.25</v>
      </c>
      <c r="H9" s="9"/>
      <c r="I9" s="9"/>
      <c r="J9" s="10">
        <f>(F9*Notes!$B$15)+(H9*Notes!$B$16)</f>
        <v>4144.5</v>
      </c>
      <c r="K9" s="10">
        <f>(G9*Notes!$B$15)+(I9*Notes!$B$16)</f>
        <v>1707.75</v>
      </c>
      <c r="L9" s="9">
        <v>6.8440000000000003</v>
      </c>
      <c r="M9" s="9">
        <v>6.98</v>
      </c>
      <c r="N9" s="9">
        <f t="shared" si="4"/>
        <v>605.56691992986555</v>
      </c>
      <c r="O9" s="9">
        <f t="shared" ref="O9" si="9">K9/M9</f>
        <v>244.66332378223495</v>
      </c>
      <c r="P9" s="11">
        <f t="shared" si="6"/>
        <v>-0.58794788273615639</v>
      </c>
      <c r="Q9" s="12">
        <f t="shared" si="7"/>
        <v>-0.59597640536479279</v>
      </c>
      <c r="R9" s="12">
        <f t="shared" si="8"/>
        <v>1.9871420222092359E-2</v>
      </c>
      <c r="S9" s="5" t="s">
        <v>28</v>
      </c>
      <c r="T9" s="5" t="s">
        <v>99</v>
      </c>
      <c r="U9" s="5" t="s">
        <v>42</v>
      </c>
      <c r="V9" s="5" t="s">
        <v>100</v>
      </c>
      <c r="W9" s="5" t="s">
        <v>101</v>
      </c>
      <c r="X9" s="13" t="s">
        <v>246</v>
      </c>
      <c r="Y9" s="5" t="s">
        <v>102</v>
      </c>
      <c r="Z9" s="5" t="s">
        <v>103</v>
      </c>
    </row>
    <row r="10" spans="1:31" ht="26" customHeight="1" x14ac:dyDescent="0.15">
      <c r="A10" s="5" t="s">
        <v>13</v>
      </c>
      <c r="B10" s="23" t="s">
        <v>277</v>
      </c>
      <c r="C10" s="17" t="s">
        <v>14</v>
      </c>
      <c r="D10" s="7" t="s">
        <v>263</v>
      </c>
      <c r="E10" s="5" t="s">
        <v>198</v>
      </c>
      <c r="F10" s="8">
        <v>61.69</v>
      </c>
      <c r="G10" s="8">
        <v>36.270000000000003</v>
      </c>
      <c r="H10" s="9">
        <v>0.33169999999999999</v>
      </c>
      <c r="I10" s="9">
        <v>0.34139999999999998</v>
      </c>
      <c r="J10" s="10">
        <f>(F10*Notes!$B$15)+(H10*Notes!$B$16)</f>
        <v>1756.1840999999999</v>
      </c>
      <c r="K10" s="10">
        <f>(G10*Notes!$B$15)+(I10*Notes!$B$16)</f>
        <v>1072.4922000000001</v>
      </c>
      <c r="L10" s="9">
        <v>3.25</v>
      </c>
      <c r="M10" s="9">
        <v>3.6</v>
      </c>
      <c r="N10" s="9">
        <f>J10/L10</f>
        <v>540.36433846153841</v>
      </c>
      <c r="O10" s="9">
        <f t="shared" ref="O10" si="10">K10/M10</f>
        <v>297.91450000000003</v>
      </c>
      <c r="P10" s="11">
        <f>((K10-J10)/J10)</f>
        <v>-0.38930536952247763</v>
      </c>
      <c r="Q10" s="12">
        <f>IF(N10=0,"n/a",((O10-N10)/N10))</f>
        <v>-0.44867845859668121</v>
      </c>
      <c r="R10" s="12">
        <f>IF(M10=0,"n/a",((M10-L10)/L10))</f>
        <v>0.10769230769230773</v>
      </c>
      <c r="S10" s="5" t="s">
        <v>28</v>
      </c>
      <c r="T10" s="5" t="s">
        <v>122</v>
      </c>
      <c r="U10" s="5" t="s">
        <v>15</v>
      </c>
      <c r="V10" s="5" t="s">
        <v>123</v>
      </c>
      <c r="X10" s="18"/>
    </row>
    <row r="11" spans="1:31" ht="26" customHeight="1" x14ac:dyDescent="0.15">
      <c r="A11" s="5" t="s">
        <v>124</v>
      </c>
      <c r="B11" s="23" t="s">
        <v>293</v>
      </c>
      <c r="C11" s="6" t="s">
        <v>125</v>
      </c>
      <c r="D11" s="5" t="s">
        <v>264</v>
      </c>
      <c r="E11" s="5" t="s">
        <v>20</v>
      </c>
      <c r="F11" s="16">
        <v>693.67</v>
      </c>
      <c r="G11" s="16">
        <v>281</v>
      </c>
      <c r="H11" s="15">
        <v>-0.03</v>
      </c>
      <c r="I11" s="15">
        <v>0.35</v>
      </c>
      <c r="J11" s="10">
        <f>(F11*Notes!$B$15)+(H11*Notes!$B$16)</f>
        <v>18720.900000000001</v>
      </c>
      <c r="K11" s="10">
        <f>(G11*Notes!$B$15)+(I11*Notes!$B$16)</f>
        <v>7682.55</v>
      </c>
      <c r="L11" s="15">
        <v>8.2899999999999991</v>
      </c>
      <c r="M11" s="15">
        <v>9</v>
      </c>
      <c r="N11" s="9">
        <f t="shared" si="4"/>
        <v>2258.2509047044637</v>
      </c>
      <c r="O11" s="9">
        <f t="shared" ref="O11" si="11">K11/M11</f>
        <v>853.61666666666667</v>
      </c>
      <c r="P11" s="11">
        <f t="shared" si="6"/>
        <v>-0.58962710126115736</v>
      </c>
      <c r="Q11" s="12">
        <f t="shared" si="7"/>
        <v>-0.6220009632727771</v>
      </c>
      <c r="R11" s="12">
        <f t="shared" si="8"/>
        <v>8.5645355850422308E-2</v>
      </c>
      <c r="W11" s="5" t="s">
        <v>63</v>
      </c>
      <c r="X11" s="13" t="s">
        <v>249</v>
      </c>
      <c r="Y11" s="5" t="s">
        <v>126</v>
      </c>
      <c r="Z11" s="5" t="s">
        <v>127</v>
      </c>
      <c r="AA11" s="5" t="s">
        <v>128</v>
      </c>
      <c r="AB11" s="5" t="s">
        <v>129</v>
      </c>
      <c r="AC11" s="5" t="s">
        <v>130</v>
      </c>
      <c r="AD11" s="5" t="s">
        <v>131</v>
      </c>
    </row>
    <row r="12" spans="1:31" ht="26" customHeight="1" x14ac:dyDescent="0.15">
      <c r="A12" s="5" t="s">
        <v>132</v>
      </c>
      <c r="B12" s="23" t="s">
        <v>294</v>
      </c>
      <c r="C12" s="6" t="s">
        <v>133</v>
      </c>
      <c r="D12" s="5" t="s">
        <v>265</v>
      </c>
      <c r="E12" s="5" t="s">
        <v>20</v>
      </c>
      <c r="F12" s="16">
        <v>199.4</v>
      </c>
      <c r="G12" s="16">
        <v>204.78</v>
      </c>
      <c r="H12" s="15">
        <v>1.05</v>
      </c>
      <c r="I12" s="15">
        <v>1.82</v>
      </c>
      <c r="J12" s="10">
        <f>(F12*Notes!$B$15)+(H12*Notes!$B$16)</f>
        <v>5670.45</v>
      </c>
      <c r="K12" s="10">
        <f>(G12*Notes!$B$15)+(I12*Notes!$B$16)</f>
        <v>6025.92</v>
      </c>
      <c r="L12" s="15">
        <v>6.16</v>
      </c>
      <c r="M12" s="15">
        <v>6.26</v>
      </c>
      <c r="N12" s="9">
        <f t="shared" si="4"/>
        <v>920.52759740259739</v>
      </c>
      <c r="O12" s="9">
        <f t="shared" ref="O12" si="12">K12/M12</f>
        <v>962.60702875399363</v>
      </c>
      <c r="P12" s="11">
        <f t="shared" si="6"/>
        <v>6.2688146443404008E-2</v>
      </c>
      <c r="Q12" s="12">
        <f t="shared" si="7"/>
        <v>4.5712297458685082E-2</v>
      </c>
      <c r="R12" s="12">
        <f t="shared" si="8"/>
        <v>1.6233766233766177E-2</v>
      </c>
      <c r="W12" s="5" t="s">
        <v>134</v>
      </c>
      <c r="X12" s="13" t="s">
        <v>250</v>
      </c>
      <c r="Y12" s="5" t="s">
        <v>135</v>
      </c>
      <c r="Z12" s="5" t="s">
        <v>136</v>
      </c>
      <c r="AA12" s="5" t="s">
        <v>137</v>
      </c>
      <c r="AB12" s="5" t="s">
        <v>138</v>
      </c>
      <c r="AC12" s="5" t="s">
        <v>139</v>
      </c>
      <c r="AD12" s="5" t="s">
        <v>140</v>
      </c>
    </row>
    <row r="13" spans="1:31" ht="26" customHeight="1" x14ac:dyDescent="0.15">
      <c r="A13" s="5" t="s">
        <v>141</v>
      </c>
      <c r="B13" s="23" t="s">
        <v>295</v>
      </c>
      <c r="C13" s="6" t="s">
        <v>142</v>
      </c>
      <c r="D13" s="2" t="s">
        <v>266</v>
      </c>
      <c r="E13" s="5" t="s">
        <v>20</v>
      </c>
      <c r="F13" s="16">
        <v>572</v>
      </c>
      <c r="G13" s="16">
        <v>421.25</v>
      </c>
      <c r="H13" s="15">
        <v>0.49</v>
      </c>
      <c r="I13" s="15">
        <v>0.36</v>
      </c>
      <c r="J13" s="10">
        <f>(F13*Notes!$B$15)+(H13*Notes!$B$16)</f>
        <v>15577.77</v>
      </c>
      <c r="K13" s="10">
        <f>(G13*Notes!$B$15)+(I13*Notes!$B$16)</f>
        <v>11472.03</v>
      </c>
      <c r="L13" s="15">
        <v>4.43</v>
      </c>
      <c r="M13" s="15">
        <v>4.75</v>
      </c>
      <c r="N13" s="9">
        <f t="shared" si="4"/>
        <v>3516.4266365688491</v>
      </c>
      <c r="O13" s="9">
        <f t="shared" ref="O13" si="13">K13/M13</f>
        <v>2415.1642105263159</v>
      </c>
      <c r="P13" s="11">
        <f t="shared" si="6"/>
        <v>-0.26356404029588315</v>
      </c>
      <c r="Q13" s="12">
        <f t="shared" si="7"/>
        <v>-0.31317656810752897</v>
      </c>
      <c r="R13" s="12">
        <f t="shared" si="8"/>
        <v>7.2234762979684036E-2</v>
      </c>
      <c r="W13" s="5" t="s">
        <v>63</v>
      </c>
      <c r="X13" s="13" t="s">
        <v>250</v>
      </c>
      <c r="Y13" s="5" t="s">
        <v>143</v>
      </c>
      <c r="Z13" s="5" t="s">
        <v>144</v>
      </c>
      <c r="AA13" s="5" t="s">
        <v>145</v>
      </c>
      <c r="AB13" s="5" t="s">
        <v>146</v>
      </c>
      <c r="AC13" s="5" t="s">
        <v>147</v>
      </c>
      <c r="AD13" s="5" t="s">
        <v>148</v>
      </c>
    </row>
    <row r="14" spans="1:31" ht="26" customHeight="1" x14ac:dyDescent="0.15">
      <c r="A14" s="5" t="s">
        <v>149</v>
      </c>
      <c r="B14" s="23" t="s">
        <v>298</v>
      </c>
      <c r="C14" s="6" t="s">
        <v>150</v>
      </c>
      <c r="D14" s="2" t="s">
        <v>267</v>
      </c>
      <c r="E14" s="5" t="s">
        <v>20</v>
      </c>
      <c r="F14" s="16">
        <v>309.95</v>
      </c>
      <c r="G14" s="16">
        <v>266.31</v>
      </c>
      <c r="H14" s="15">
        <v>0.78</v>
      </c>
      <c r="I14" s="15">
        <v>1.06</v>
      </c>
      <c r="J14" s="10">
        <f>(F14*Notes!$B$15)+(H14*Notes!$B$16)</f>
        <v>8581.59</v>
      </c>
      <c r="K14" s="10">
        <f>(G14*Notes!$B$15)+(I14*Notes!$B$16)</f>
        <v>7479.75</v>
      </c>
      <c r="L14" s="15">
        <v>5.26</v>
      </c>
      <c r="M14" s="15">
        <v>5.41</v>
      </c>
      <c r="N14" s="9">
        <f t="shared" si="4"/>
        <v>1631.4809885931561</v>
      </c>
      <c r="O14" s="9">
        <f t="shared" ref="O14" si="14">K14/M14</f>
        <v>1382.5785582255082</v>
      </c>
      <c r="P14" s="11">
        <f t="shared" si="6"/>
        <v>-0.12839578679475483</v>
      </c>
      <c r="Q14" s="12">
        <f t="shared" si="7"/>
        <v>-0.15256226220710004</v>
      </c>
      <c r="R14" s="12">
        <f t="shared" si="8"/>
        <v>2.8517110266159766E-2</v>
      </c>
      <c r="W14" s="5" t="s">
        <v>63</v>
      </c>
      <c r="X14" s="13" t="s">
        <v>251</v>
      </c>
      <c r="Y14" s="5" t="s">
        <v>151</v>
      </c>
      <c r="Z14" s="5" t="s">
        <v>152</v>
      </c>
      <c r="AA14" s="5" t="s">
        <v>153</v>
      </c>
      <c r="AB14" s="5" t="s">
        <v>154</v>
      </c>
      <c r="AC14" s="5" t="s">
        <v>155</v>
      </c>
      <c r="AD14" s="5" t="s">
        <v>156</v>
      </c>
    </row>
    <row r="15" spans="1:31" ht="26" customHeight="1" x14ac:dyDescent="0.15">
      <c r="A15" s="5" t="s">
        <v>157</v>
      </c>
      <c r="B15" s="23" t="s">
        <v>296</v>
      </c>
      <c r="C15" s="6" t="s">
        <v>158</v>
      </c>
      <c r="D15" s="2" t="s">
        <v>268</v>
      </c>
      <c r="E15" s="5" t="s">
        <v>20</v>
      </c>
      <c r="F15" s="16">
        <v>450</v>
      </c>
      <c r="G15" s="16">
        <v>284.75</v>
      </c>
      <c r="H15" s="15">
        <v>0.97</v>
      </c>
      <c r="I15" s="15">
        <v>0.99</v>
      </c>
      <c r="J15" s="10">
        <f>(F15*Notes!$B$15)+(H15*Notes!$B$16)</f>
        <v>12414.81</v>
      </c>
      <c r="K15" s="10">
        <f>(G15*Notes!$B$15)+(I15*Notes!$B$16)</f>
        <v>7958.52</v>
      </c>
      <c r="L15" s="15">
        <v>6</v>
      </c>
      <c r="M15" s="15">
        <v>5.92</v>
      </c>
      <c r="N15" s="9">
        <f t="shared" si="4"/>
        <v>2069.1349999999998</v>
      </c>
      <c r="O15" s="9">
        <f t="shared" ref="O15" si="15">K15/M15</f>
        <v>1344.3445945945946</v>
      </c>
      <c r="P15" s="11">
        <f t="shared" si="6"/>
        <v>-0.35894951271908304</v>
      </c>
      <c r="Q15" s="12">
        <f t="shared" si="7"/>
        <v>-0.35028666829636795</v>
      </c>
      <c r="R15" s="12">
        <f t="shared" si="8"/>
        <v>-1.3333333333333345E-2</v>
      </c>
      <c r="W15" s="5" t="s">
        <v>63</v>
      </c>
      <c r="X15" s="13" t="s">
        <v>252</v>
      </c>
      <c r="Y15" s="5" t="s">
        <v>159</v>
      </c>
      <c r="Z15" s="5" t="s">
        <v>160</v>
      </c>
      <c r="AA15" s="5" t="s">
        <v>161</v>
      </c>
      <c r="AB15" s="5" t="s">
        <v>162</v>
      </c>
      <c r="AC15" s="5" t="s">
        <v>163</v>
      </c>
      <c r="AD15" s="5" t="s">
        <v>164</v>
      </c>
    </row>
    <row r="16" spans="1:31" ht="26" customHeight="1" x14ac:dyDescent="0.15">
      <c r="A16" s="5" t="s">
        <v>165</v>
      </c>
      <c r="B16" s="23" t="s">
        <v>297</v>
      </c>
      <c r="C16" s="6" t="s">
        <v>166</v>
      </c>
      <c r="D16" s="2" t="s">
        <v>253</v>
      </c>
      <c r="E16" s="5" t="s">
        <v>20</v>
      </c>
      <c r="F16" s="8">
        <v>17.3</v>
      </c>
      <c r="G16" s="16">
        <v>14.9</v>
      </c>
      <c r="H16" s="9">
        <v>0.79</v>
      </c>
      <c r="I16" s="15">
        <v>0.91500000000000004</v>
      </c>
      <c r="J16" s="10">
        <f>(F16*Notes!$B$15)+(H16*Notes!$B$16)</f>
        <v>682.77</v>
      </c>
      <c r="K16" s="10">
        <f>(G16*Notes!$B$15)+(I16*Notes!$B$16)</f>
        <v>652.09500000000003</v>
      </c>
      <c r="L16" s="9">
        <v>4.5</v>
      </c>
      <c r="M16" s="15">
        <v>4.32</v>
      </c>
      <c r="N16" s="9">
        <f t="shared" si="4"/>
        <v>151.72666666666666</v>
      </c>
      <c r="O16" s="9">
        <f t="shared" ref="O16" si="16">K16/M16</f>
        <v>150.94791666666666</v>
      </c>
      <c r="P16" s="11">
        <f t="shared" si="6"/>
        <v>-4.492728151500499E-2</v>
      </c>
      <c r="Q16" s="12">
        <f t="shared" si="7"/>
        <v>-5.132584911463612E-3</v>
      </c>
      <c r="R16" s="12">
        <f t="shared" si="8"/>
        <v>-3.9999999999999938E-2</v>
      </c>
      <c r="W16" s="5" t="s">
        <v>63</v>
      </c>
      <c r="X16" s="18" t="s">
        <v>167</v>
      </c>
      <c r="Y16" s="5" t="s">
        <v>168</v>
      </c>
      <c r="Z16" s="5" t="s">
        <v>169</v>
      </c>
      <c r="AA16" s="5" t="s">
        <v>170</v>
      </c>
    </row>
    <row r="17" spans="1:30" ht="26" customHeight="1" x14ac:dyDescent="0.15">
      <c r="A17" s="5" t="s">
        <v>43</v>
      </c>
      <c r="B17" s="23" t="s">
        <v>287</v>
      </c>
      <c r="C17" s="6" t="s">
        <v>44</v>
      </c>
      <c r="D17" s="5" t="s">
        <v>261</v>
      </c>
      <c r="E17" s="5" t="s">
        <v>20</v>
      </c>
      <c r="F17" s="16">
        <v>126.7</v>
      </c>
      <c r="G17" s="16">
        <v>86.23</v>
      </c>
      <c r="H17" s="15">
        <v>1.04</v>
      </c>
      <c r="I17" s="15">
        <v>1.62</v>
      </c>
      <c r="J17" s="10">
        <f>(F17*Notes!$B$15)+(H17*Notes!$B$16)</f>
        <v>3704.82</v>
      </c>
      <c r="K17" s="10">
        <f>(G17*Notes!$B$15)+(I17*Notes!$B$16)</f>
        <v>2770.4700000000003</v>
      </c>
      <c r="L17" s="15">
        <v>6.33</v>
      </c>
      <c r="M17" s="15">
        <v>6.85</v>
      </c>
      <c r="N17" s="9">
        <f>J17/L17</f>
        <v>585.27962085308059</v>
      </c>
      <c r="O17" s="9">
        <f t="shared" ref="O17" si="17">K17/M17</f>
        <v>404.4481751824818</v>
      </c>
      <c r="P17" s="11">
        <f>((K17-J17)/J17)</f>
        <v>-0.25219848737590489</v>
      </c>
      <c r="Q17" s="12">
        <f>IF(N17=0,"n/a",((O17-N17)/N17))</f>
        <v>-0.30896590147291642</v>
      </c>
      <c r="R17" s="12">
        <f>IF(M17=0,"n/a",((M17-L17)/L17))</f>
        <v>8.2148499210110512E-2</v>
      </c>
      <c r="S17" s="5" t="s">
        <v>45</v>
      </c>
      <c r="T17" s="5" t="s">
        <v>104</v>
      </c>
      <c r="U17" s="5" t="s">
        <v>46</v>
      </c>
      <c r="V17" s="5" t="s">
        <v>105</v>
      </c>
      <c r="W17" s="5" t="s">
        <v>106</v>
      </c>
      <c r="X17" s="13" t="s">
        <v>247</v>
      </c>
      <c r="Y17" s="5" t="s">
        <v>107</v>
      </c>
      <c r="Z17" s="5" t="s">
        <v>108</v>
      </c>
      <c r="AA17" s="5" t="s">
        <v>109</v>
      </c>
      <c r="AB17" s="5" t="s">
        <v>110</v>
      </c>
      <c r="AC17" s="5" t="s">
        <v>111</v>
      </c>
      <c r="AD17" s="5" t="s">
        <v>112</v>
      </c>
    </row>
    <row r="18" spans="1:30" ht="26" customHeight="1" x14ac:dyDescent="0.15">
      <c r="A18" s="14" t="s">
        <v>26</v>
      </c>
      <c r="B18" s="23" t="s">
        <v>282</v>
      </c>
      <c r="C18" s="6" t="s">
        <v>27</v>
      </c>
      <c r="D18" s="7" t="s">
        <v>256</v>
      </c>
      <c r="E18" s="5" t="s">
        <v>20</v>
      </c>
      <c r="F18" s="8">
        <v>112.06</v>
      </c>
      <c r="G18" s="8">
        <v>30.51</v>
      </c>
      <c r="H18" s="9">
        <v>0.46</v>
      </c>
      <c r="I18" s="9">
        <v>1.02</v>
      </c>
      <c r="J18" s="10">
        <f>(F18*Notes!$B$15)+(H18*Notes!$B$16)</f>
        <v>3151.2</v>
      </c>
      <c r="K18" s="10">
        <f>(G18*Notes!$B$15)+(I18*Notes!$B$16)</f>
        <v>1102.23</v>
      </c>
      <c r="L18" s="15">
        <v>5.97</v>
      </c>
      <c r="M18" s="9">
        <v>6.32</v>
      </c>
      <c r="N18" s="9">
        <f>J18/L18</f>
        <v>527.8391959798995</v>
      </c>
      <c r="O18" s="9">
        <f t="shared" ref="O18" si="18">K18/M18</f>
        <v>174.40348101265823</v>
      </c>
      <c r="P18" s="11">
        <f>((K18-J18)/J18)</f>
        <v>-0.65021896420411274</v>
      </c>
      <c r="Q18" s="12">
        <f>IF(N18=0,"n/a",((O18-N18)/N18))</f>
        <v>-0.66958974941432803</v>
      </c>
      <c r="R18" s="12">
        <f>IF(M18=0,"n/a",((M18-L18)/L18))</f>
        <v>5.8626465661641633E-2</v>
      </c>
      <c r="S18" s="5" t="s">
        <v>28</v>
      </c>
      <c r="T18" s="5" t="s">
        <v>60</v>
      </c>
      <c r="U18" s="5" t="s">
        <v>61</v>
      </c>
      <c r="V18" s="5" t="s">
        <v>62</v>
      </c>
      <c r="W18" s="5" t="s">
        <v>63</v>
      </c>
      <c r="X18" s="13" t="s">
        <v>241</v>
      </c>
      <c r="Y18" s="5" t="s">
        <v>64</v>
      </c>
      <c r="Z18" s="5" t="s">
        <v>65</v>
      </c>
      <c r="AA18" s="5" t="s">
        <v>66</v>
      </c>
      <c r="AB18" s="5" t="s">
        <v>67</v>
      </c>
      <c r="AC18" s="5" t="s">
        <v>68</v>
      </c>
      <c r="AD18" s="5" t="s">
        <v>69</v>
      </c>
    </row>
    <row r="20" spans="1:30" ht="26" customHeight="1" x14ac:dyDescent="0.15">
      <c r="A20" s="2">
        <v>1.1000000000000001</v>
      </c>
      <c r="B20" s="2">
        <v>10232</v>
      </c>
      <c r="F20" s="19"/>
      <c r="G20" s="19"/>
      <c r="H20" s="19"/>
      <c r="I20" s="2" t="s">
        <v>226</v>
      </c>
      <c r="J20" s="19">
        <f>MEDIAN(J$3:J$18)</f>
        <v>5211.6479999999992</v>
      </c>
      <c r="K20" s="19">
        <f t="shared" ref="K20:R20" si="19">MEDIAN(K$3:K$18)</f>
        <v>4397.9399999999996</v>
      </c>
      <c r="L20" s="19">
        <f t="shared" si="19"/>
        <v>6.16</v>
      </c>
      <c r="M20" s="19">
        <f t="shared" si="19"/>
        <v>6.32</v>
      </c>
      <c r="N20" s="19">
        <f t="shared" si="19"/>
        <v>605.56691992986555</v>
      </c>
      <c r="O20" s="19">
        <f t="shared" si="19"/>
        <v>425.39702233250614</v>
      </c>
      <c r="P20" s="20">
        <f t="shared" si="19"/>
        <v>-0.38649587449020195</v>
      </c>
      <c r="Q20" s="20">
        <f t="shared" si="19"/>
        <v>-0.44867845859668121</v>
      </c>
      <c r="R20" s="20">
        <f t="shared" si="19"/>
        <v>2.6751592356688007E-2</v>
      </c>
    </row>
    <row r="21" spans="1:30" ht="26" customHeight="1" x14ac:dyDescent="0.15">
      <c r="A21" s="2">
        <v>2.8</v>
      </c>
      <c r="B21" s="2">
        <v>13981</v>
      </c>
      <c r="F21" s="19"/>
      <c r="G21" s="19"/>
      <c r="H21" s="19"/>
      <c r="I21" s="2" t="s">
        <v>227</v>
      </c>
      <c r="J21" s="19">
        <f>AVERAGE(J$3:J$18)</f>
        <v>8482.7645062500014</v>
      </c>
      <c r="K21" s="19">
        <f t="shared" ref="K21:R21" si="20">AVERAGE(K$3:K$18)</f>
        <v>4730.2126687500004</v>
      </c>
      <c r="L21" s="19">
        <f t="shared" si="20"/>
        <v>6.4989333333333343</v>
      </c>
      <c r="M21" s="19">
        <f t="shared" si="20"/>
        <v>6.6193333333333326</v>
      </c>
      <c r="N21" s="19">
        <f t="shared" si="20"/>
        <v>1314.4883714733792</v>
      </c>
      <c r="O21" s="19">
        <f t="shared" si="20"/>
        <v>752.81156395841492</v>
      </c>
      <c r="P21" s="20">
        <f t="shared" si="20"/>
        <v>-0.40617480807327921</v>
      </c>
      <c r="Q21" s="20">
        <f t="shared" si="20"/>
        <v>-0.42241762124432586</v>
      </c>
      <c r="R21" s="20">
        <f t="shared" si="20"/>
        <v>2.3653264400205085E-2</v>
      </c>
    </row>
    <row r="22" spans="1:30" ht="26" customHeight="1" x14ac:dyDescent="0.15">
      <c r="A22" s="2">
        <f>+A20/A21</f>
        <v>0.3928571428571429</v>
      </c>
      <c r="B22" s="2">
        <f>+B20/B21</f>
        <v>0.73185036835705597</v>
      </c>
      <c r="F22" s="19"/>
      <c r="G22" s="19"/>
      <c r="H22" s="19"/>
      <c r="I22" s="2" t="s">
        <v>228</v>
      </c>
      <c r="J22" s="19">
        <f>MAX(J$3:J$18)</f>
        <v>27264.6</v>
      </c>
      <c r="K22" s="19">
        <f t="shared" ref="K22:R22" si="21">MAX(K$3:K$18)</f>
        <v>11472.03</v>
      </c>
      <c r="L22" s="19">
        <f t="shared" si="21"/>
        <v>10.26</v>
      </c>
      <c r="M22" s="19">
        <f t="shared" si="21"/>
        <v>10.210000000000001</v>
      </c>
      <c r="N22" s="19">
        <f t="shared" si="21"/>
        <v>3654.7721179624664</v>
      </c>
      <c r="O22" s="19">
        <f t="shared" si="21"/>
        <v>2415.1642105263159</v>
      </c>
      <c r="P22" s="20">
        <f t="shared" si="21"/>
        <v>6.2688146443404008E-2</v>
      </c>
      <c r="Q22" s="20">
        <f t="shared" si="21"/>
        <v>4.5712297458685082E-2</v>
      </c>
      <c r="R22" s="20">
        <f t="shared" si="21"/>
        <v>0.10769230769230773</v>
      </c>
    </row>
    <row r="23" spans="1:30" ht="26" customHeight="1" x14ac:dyDescent="0.15">
      <c r="A23" s="2">
        <f>1-A22</f>
        <v>0.6071428571428571</v>
      </c>
      <c r="B23" s="2">
        <f>1-B22</f>
        <v>0.26814963164294403</v>
      </c>
      <c r="F23" s="19"/>
      <c r="G23" s="19"/>
      <c r="H23" s="19"/>
      <c r="I23" s="2" t="s">
        <v>229</v>
      </c>
      <c r="J23" s="19">
        <f>MIN(J$3:J$18)</f>
        <v>682.77</v>
      </c>
      <c r="K23" s="19">
        <f t="shared" ref="K23:R23" si="22">MIN(K$3:K$18)</f>
        <v>303.97649999999999</v>
      </c>
      <c r="L23" s="19">
        <f t="shared" si="22"/>
        <v>3.25</v>
      </c>
      <c r="M23" s="19">
        <f t="shared" si="22"/>
        <v>3.6</v>
      </c>
      <c r="N23" s="19">
        <f t="shared" si="22"/>
        <v>151.72666666666666</v>
      </c>
      <c r="O23" s="19">
        <f t="shared" si="22"/>
        <v>32.510855614973259</v>
      </c>
      <c r="P23" s="20">
        <f t="shared" si="22"/>
        <v>-0.89309637579247547</v>
      </c>
      <c r="Q23" s="20">
        <f t="shared" si="22"/>
        <v>-0.88269185193912303</v>
      </c>
      <c r="R23" s="20">
        <f t="shared" si="22"/>
        <v>-0.10053619302949061</v>
      </c>
    </row>
    <row r="24" spans="1:30" ht="26" customHeight="1" x14ac:dyDescent="0.15"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</sheetData>
  <mergeCells count="6">
    <mergeCell ref="P1:R1"/>
    <mergeCell ref="F1:G1"/>
    <mergeCell ref="H1:I1"/>
    <mergeCell ref="J1:K1"/>
    <mergeCell ref="L1:M1"/>
    <mergeCell ref="N1:O1"/>
  </mergeCells>
  <hyperlinks>
    <hyperlink ref="C7" r:id="rId1" xr:uid="{00000000-0004-0000-0100-000000000000}"/>
    <hyperlink ref="C18" r:id="rId2" xr:uid="{00000000-0004-0000-0100-000001000000}"/>
    <hyperlink ref="C3" r:id="rId3" xr:uid="{00000000-0004-0000-0100-000002000000}"/>
    <hyperlink ref="C8" r:id="rId4" xr:uid="{00000000-0004-0000-0100-000003000000}"/>
    <hyperlink ref="C6" r:id="rId5" xr:uid="{00000000-0004-0000-0100-000004000000}"/>
    <hyperlink ref="C5" r:id="rId6" xr:uid="{00000000-0004-0000-0100-000005000000}"/>
    <hyperlink ref="C9" r:id="rId7" xr:uid="{00000000-0004-0000-0100-000006000000}"/>
    <hyperlink ref="C17" r:id="rId8" xr:uid="{00000000-0004-0000-0100-000007000000}"/>
    <hyperlink ref="C4" r:id="rId9" xr:uid="{00000000-0004-0000-0100-000008000000}"/>
    <hyperlink ref="C11" r:id="rId10" xr:uid="{00000000-0004-0000-0100-000009000000}"/>
    <hyperlink ref="C12" r:id="rId11" xr:uid="{00000000-0004-0000-0100-00000A000000}"/>
    <hyperlink ref="C13" r:id="rId12" xr:uid="{00000000-0004-0000-0100-00000B000000}"/>
    <hyperlink ref="C14" r:id="rId13" xr:uid="{00000000-0004-0000-0100-00000C000000}"/>
    <hyperlink ref="C15" r:id="rId14" xr:uid="{00000000-0004-0000-0100-00000D000000}"/>
    <hyperlink ref="C16" r:id="rId15" xr:uid="{00000000-0004-0000-0100-00000E000000}"/>
    <hyperlink ref="C10" r:id="rId16" xr:uid="{15A6DE55-C61C-7D40-80D9-018BE4B6953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F3629-0AB9-DD4D-90F0-75B5CAF2B254}">
  <sheetPr>
    <outlinePr summaryBelow="0" summaryRight="0"/>
  </sheetPr>
  <dimension ref="A1:AD9"/>
  <sheetViews>
    <sheetView zoomScale="130" zoomScaleNormal="130" workbookViewId="0">
      <pane ySplit="2" topLeftCell="A3" activePane="bottomLeft" state="frozen"/>
      <selection pane="bottomLeft" activeCell="C7" sqref="C7"/>
    </sheetView>
  </sheetViews>
  <sheetFormatPr baseColWidth="10" defaultColWidth="12.6640625" defaultRowHeight="26" customHeight="1" x14ac:dyDescent="0.15"/>
  <cols>
    <col min="1" max="1" width="38" style="2" customWidth="1"/>
    <col min="2" max="2" width="13.1640625" style="2" customWidth="1"/>
    <col min="3" max="3" width="41" style="2" customWidth="1"/>
    <col min="4" max="4" width="22.33203125" style="2" customWidth="1"/>
    <col min="5" max="5" width="14" style="2" customWidth="1"/>
    <col min="6" max="8" width="11.6640625" style="2" customWidth="1"/>
    <col min="9" max="17" width="11.83203125" style="2" customWidth="1"/>
    <col min="18" max="18" width="11.6640625" style="2" customWidth="1"/>
    <col min="19" max="19" width="38" style="2" hidden="1" customWidth="1"/>
    <col min="20" max="20" width="50.6640625" style="2" hidden="1" customWidth="1"/>
    <col min="21" max="21" width="34" style="2" hidden="1" customWidth="1"/>
    <col min="22" max="22" width="0.1640625" style="2" hidden="1" customWidth="1"/>
    <col min="23" max="23" width="15.5" style="2" customWidth="1"/>
    <col min="24" max="24" width="56.6640625" style="2" customWidth="1"/>
    <col min="25" max="30" width="22.1640625" style="2" customWidth="1"/>
    <col min="31" max="16384" width="12.6640625" style="2"/>
  </cols>
  <sheetData>
    <row r="1" spans="1:30" ht="26" customHeight="1" x14ac:dyDescent="0.15">
      <c r="F1" s="25" t="s">
        <v>218</v>
      </c>
      <c r="G1" s="25"/>
      <c r="H1" s="25" t="s">
        <v>219</v>
      </c>
      <c r="I1" s="25"/>
      <c r="J1" s="25" t="s">
        <v>220</v>
      </c>
      <c r="K1" s="25"/>
      <c r="L1" s="25" t="s">
        <v>221</v>
      </c>
      <c r="M1" s="25"/>
      <c r="N1" s="25" t="s">
        <v>222</v>
      </c>
      <c r="O1" s="25"/>
      <c r="P1" s="25" t="s">
        <v>302</v>
      </c>
      <c r="Q1" s="25"/>
      <c r="R1" s="25"/>
    </row>
    <row r="2" spans="1:30" s="4" customFormat="1" ht="26" customHeight="1" x14ac:dyDescent="0.15">
      <c r="A2" s="3" t="s">
        <v>0</v>
      </c>
      <c r="B2" s="3" t="s">
        <v>289</v>
      </c>
      <c r="C2" s="3" t="s">
        <v>1</v>
      </c>
      <c r="D2" s="3" t="s">
        <v>50</v>
      </c>
      <c r="E2" s="3" t="s">
        <v>217</v>
      </c>
      <c r="F2" s="3" t="s">
        <v>207</v>
      </c>
      <c r="G2" s="3" t="s">
        <v>209</v>
      </c>
      <c r="H2" s="3" t="s">
        <v>207</v>
      </c>
      <c r="I2" s="3" t="s">
        <v>209</v>
      </c>
      <c r="J2" s="3" t="s">
        <v>207</v>
      </c>
      <c r="K2" s="3" t="s">
        <v>209</v>
      </c>
      <c r="L2" s="3" t="s">
        <v>207</v>
      </c>
      <c r="M2" s="3" t="s">
        <v>209</v>
      </c>
      <c r="N2" s="3" t="s">
        <v>207</v>
      </c>
      <c r="O2" s="3" t="s">
        <v>209</v>
      </c>
      <c r="P2" s="3" t="s">
        <v>230</v>
      </c>
      <c r="Q2" s="3" t="s">
        <v>223</v>
      </c>
      <c r="R2" s="3" t="s">
        <v>224</v>
      </c>
      <c r="S2" s="3" t="s">
        <v>2</v>
      </c>
      <c r="T2" s="3" t="s">
        <v>51</v>
      </c>
      <c r="U2" s="3" t="s">
        <v>3</v>
      </c>
      <c r="V2" s="3" t="s">
        <v>52</v>
      </c>
      <c r="W2" s="3" t="s">
        <v>53</v>
      </c>
      <c r="X2" s="13" t="s">
        <v>54</v>
      </c>
      <c r="Y2" s="13" t="s">
        <v>55</v>
      </c>
    </row>
    <row r="3" spans="1:30" ht="26" customHeight="1" x14ac:dyDescent="0.15">
      <c r="A3" s="5" t="s">
        <v>13</v>
      </c>
      <c r="B3" s="23" t="s">
        <v>277</v>
      </c>
      <c r="C3" s="24" t="s">
        <v>14</v>
      </c>
      <c r="D3" s="7" t="s">
        <v>263</v>
      </c>
      <c r="E3" s="5" t="s">
        <v>198</v>
      </c>
      <c r="F3" s="8">
        <v>36.270000000000003</v>
      </c>
      <c r="G3" s="8">
        <v>34.409999999999997</v>
      </c>
      <c r="H3" s="9">
        <v>0.34139999999999998</v>
      </c>
      <c r="I3" s="9">
        <v>0.34079999999999999</v>
      </c>
      <c r="J3" s="10">
        <f>(F3*Notes!$B$15)+(H3*Notes!$B$16)</f>
        <v>1072.4922000000001</v>
      </c>
      <c r="K3" s="10">
        <f>(G3*Notes!$B$15)+(I3*Notes!$B$16)</f>
        <v>1022.1084</v>
      </c>
      <c r="L3" s="9">
        <v>3.6</v>
      </c>
      <c r="M3" s="9">
        <v>4.92</v>
      </c>
      <c r="N3" s="22">
        <f>IF(L3=0,"n/a",J3/L3)</f>
        <v>297.91450000000003</v>
      </c>
      <c r="O3" s="22">
        <f>IF(M3=0,"n/a",K3/M3)</f>
        <v>207.74560975609756</v>
      </c>
      <c r="P3" s="12">
        <f>IF(J3=0,"n/a",((K3-J3)/J3))</f>
        <v>-4.6978243757856863E-2</v>
      </c>
      <c r="Q3" s="12">
        <f>IF(N3=0,"n/a",IF(N3="n/a","n/a",((O3-N3)/N3)))</f>
        <v>-0.3026670076277001</v>
      </c>
      <c r="R3" s="12">
        <f>IF(M3=0,"n/a",((M3-L3)/L3))</f>
        <v>0.36666666666666664</v>
      </c>
      <c r="S3" s="5" t="s">
        <v>28</v>
      </c>
      <c r="T3" s="5" t="s">
        <v>88</v>
      </c>
      <c r="U3" s="5" t="s">
        <v>89</v>
      </c>
      <c r="V3" s="5" t="s">
        <v>90</v>
      </c>
      <c r="W3" s="5" t="s">
        <v>310</v>
      </c>
      <c r="X3" s="13"/>
      <c r="Y3" s="5"/>
      <c r="Z3" s="5"/>
      <c r="AA3" s="5"/>
      <c r="AB3" s="5"/>
      <c r="AC3" s="5"/>
    </row>
    <row r="4" spans="1:30" ht="26" customHeight="1" x14ac:dyDescent="0.15">
      <c r="A4" s="5" t="s">
        <v>299</v>
      </c>
      <c r="B4" s="23" t="s">
        <v>279</v>
      </c>
      <c r="C4" s="24" t="s">
        <v>300</v>
      </c>
      <c r="D4" s="5" t="s">
        <v>301</v>
      </c>
      <c r="E4" s="5" t="s">
        <v>198</v>
      </c>
      <c r="F4" s="16">
        <v>65.98</v>
      </c>
      <c r="G4" s="16">
        <v>63.1</v>
      </c>
      <c r="H4" s="15">
        <v>1.47</v>
      </c>
      <c r="I4" s="15">
        <v>1.28</v>
      </c>
      <c r="J4" s="10">
        <f>(F4*Notes!$B$15)+(H4*Notes!$B$16)</f>
        <v>2182.77</v>
      </c>
      <c r="K4" s="10">
        <f>(G4*Notes!$B$15)+(I4*Notes!$B$16)</f>
        <v>2053.14</v>
      </c>
      <c r="L4" s="15">
        <v>4.68</v>
      </c>
      <c r="M4" s="15">
        <v>5.47</v>
      </c>
      <c r="N4" s="22">
        <f t="shared" ref="N4:O4" si="0">IF(L4=0,"n/a",J4/L4)</f>
        <v>466.40384615384619</v>
      </c>
      <c r="O4" s="22">
        <f t="shared" si="0"/>
        <v>375.34552102376597</v>
      </c>
      <c r="P4" s="12">
        <f t="shared" ref="P4" si="1">IF(J4=0,"n/a",((K4-J4)/J4))</f>
        <v>-5.9387842053904037E-2</v>
      </c>
      <c r="Q4" s="12">
        <f t="shared" ref="Q4" si="2">IF(N4=0,"n/a",IF(N4="n/a","n/a",((O4-N4)/N4)))</f>
        <v>-0.1952349361631209</v>
      </c>
      <c r="R4" s="12">
        <f t="shared" ref="R4" si="3">IF(M4=0,"n/a",((M4-L4)/L4))</f>
        <v>0.16880341880341881</v>
      </c>
      <c r="W4" s="5" t="s">
        <v>311</v>
      </c>
      <c r="X4" s="13" t="s">
        <v>309</v>
      </c>
      <c r="Y4" s="5" t="s">
        <v>303</v>
      </c>
      <c r="Z4" s="5" t="s">
        <v>304</v>
      </c>
      <c r="AA4" s="5" t="s">
        <v>305</v>
      </c>
      <c r="AB4" s="5" t="s">
        <v>306</v>
      </c>
      <c r="AC4" s="5" t="s">
        <v>307</v>
      </c>
      <c r="AD4" s="5" t="s">
        <v>308</v>
      </c>
    </row>
    <row r="6" spans="1:30" ht="26" customHeight="1" x14ac:dyDescent="0.15">
      <c r="F6" s="19"/>
      <c r="G6" s="19"/>
      <c r="H6" s="19"/>
      <c r="I6" s="2" t="s">
        <v>227</v>
      </c>
      <c r="J6" s="19">
        <f t="shared" ref="J6:R6" si="4">AVERAGE(J$3:J$4)</f>
        <v>1627.6311000000001</v>
      </c>
      <c r="K6" s="19">
        <f t="shared" si="4"/>
        <v>1537.6242</v>
      </c>
      <c r="L6" s="19">
        <f t="shared" si="4"/>
        <v>4.1399999999999997</v>
      </c>
      <c r="M6" s="19">
        <f t="shared" si="4"/>
        <v>5.1950000000000003</v>
      </c>
      <c r="N6" s="19">
        <f t="shared" si="4"/>
        <v>382.15917307692314</v>
      </c>
      <c r="O6" s="19">
        <f t="shared" si="4"/>
        <v>291.54556538993177</v>
      </c>
      <c r="P6" s="20">
        <f t="shared" si="4"/>
        <v>-5.3183042905880454E-2</v>
      </c>
      <c r="Q6" s="20">
        <f t="shared" si="4"/>
        <v>-0.24895097189541049</v>
      </c>
      <c r="R6" s="20">
        <f t="shared" si="4"/>
        <v>0.26773504273504273</v>
      </c>
    </row>
    <row r="7" spans="1:30" ht="26" customHeight="1" x14ac:dyDescent="0.15">
      <c r="F7" s="19"/>
      <c r="G7" s="19"/>
      <c r="H7" s="19"/>
      <c r="I7" s="2" t="s">
        <v>228</v>
      </c>
      <c r="J7" s="19">
        <f t="shared" ref="J7:R7" si="5">MAX(J$3:J$4)</f>
        <v>2182.77</v>
      </c>
      <c r="K7" s="19">
        <f t="shared" si="5"/>
        <v>2053.14</v>
      </c>
      <c r="L7" s="19">
        <f t="shared" si="5"/>
        <v>4.68</v>
      </c>
      <c r="M7" s="19">
        <f t="shared" si="5"/>
        <v>5.47</v>
      </c>
      <c r="N7" s="19">
        <f t="shared" si="5"/>
        <v>466.40384615384619</v>
      </c>
      <c r="O7" s="19">
        <f t="shared" si="5"/>
        <v>375.34552102376597</v>
      </c>
      <c r="P7" s="20">
        <f t="shared" si="5"/>
        <v>-4.6978243757856863E-2</v>
      </c>
      <c r="Q7" s="20">
        <f t="shared" si="5"/>
        <v>-0.1952349361631209</v>
      </c>
      <c r="R7" s="20">
        <f t="shared" si="5"/>
        <v>0.36666666666666664</v>
      </c>
    </row>
    <row r="8" spans="1:30" ht="26" customHeight="1" x14ac:dyDescent="0.15">
      <c r="F8" s="19"/>
      <c r="G8" s="19"/>
      <c r="H8" s="19"/>
      <c r="I8" s="2" t="s">
        <v>229</v>
      </c>
      <c r="J8" s="19">
        <f t="shared" ref="J8:R8" si="6">MIN(J$3:J$4)</f>
        <v>1072.4922000000001</v>
      </c>
      <c r="K8" s="19">
        <f t="shared" si="6"/>
        <v>1022.1084</v>
      </c>
      <c r="L8" s="19">
        <f t="shared" si="6"/>
        <v>3.6</v>
      </c>
      <c r="M8" s="19">
        <f t="shared" si="6"/>
        <v>4.92</v>
      </c>
      <c r="N8" s="19">
        <f t="shared" si="6"/>
        <v>297.91450000000003</v>
      </c>
      <c r="O8" s="19">
        <f t="shared" si="6"/>
        <v>207.74560975609756</v>
      </c>
      <c r="P8" s="20">
        <f t="shared" si="6"/>
        <v>-5.9387842053904037E-2</v>
      </c>
      <c r="Q8" s="20">
        <f t="shared" si="6"/>
        <v>-0.3026670076277001</v>
      </c>
      <c r="R8" s="20">
        <f t="shared" si="6"/>
        <v>0.16880341880341881</v>
      </c>
    </row>
    <row r="9" spans="1:30" ht="26" customHeight="1" x14ac:dyDescent="0.15"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</sheetData>
  <mergeCells count="6">
    <mergeCell ref="P1:R1"/>
    <mergeCell ref="F1:G1"/>
    <mergeCell ref="H1:I1"/>
    <mergeCell ref="J1:K1"/>
    <mergeCell ref="L1:M1"/>
    <mergeCell ref="N1:O1"/>
  </mergeCells>
  <hyperlinks>
    <hyperlink ref="C3" r:id="rId1" display="https://nmbu.brage.unit.no/nmbu-xmlui/handle/11250/187733" xr:uid="{70FBA4EF-84B7-C44E-A61B-D9D3D0CC9C57}"/>
    <hyperlink ref="C4" r:id="rId2" xr:uid="{DD368BD7-9DC4-0C4C-B47C-0AEB03D20AC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T1. SRI vs CRC</vt:lpstr>
      <vt:lpstr>T2. AWD vs CRC </vt:lpstr>
      <vt:lpstr>T3. SRI vs AWD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Adam Parr</cp:lastModifiedBy>
  <dcterms:modified xsi:type="dcterms:W3CDTF">2023-10-29T11:02:48Z</dcterms:modified>
</cp:coreProperties>
</file>